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ristine\Documents\Kriksis\Mani Projekti\Proj_VARAM EJZAF\5.MansDarbs\2.T_D10\4.Riks\"/>
    </mc:Choice>
  </mc:AlternateContent>
  <bookViews>
    <workbookView xWindow="0" yWindow="0" windowWidth="19100" windowHeight="7010" tabRatio="659"/>
  </bookViews>
  <sheets>
    <sheet name="Apraksts" sheetId="1" r:id="rId1"/>
    <sheet name="Rīka saturs" sheetId="14" r:id="rId2"/>
    <sheet name="Slodzes dati" sheetId="9" r:id="rId3"/>
    <sheet name="SlodzesAvotuNov" sheetId="3" r:id="rId4"/>
    <sheet name="BSPasākApkop" sheetId="12" r:id="rId5"/>
    <sheet name="PasākRakst" sheetId="4" r:id="rId6"/>
    <sheet name="Pasāk&lt;-&gt;AtkrVeidi" sheetId="11" r:id="rId7"/>
    <sheet name="PasākEfektiv" sheetId="10" r:id="rId8"/>
    <sheet name="BSPasākEfekt&amp;Pietiek" sheetId="13" r:id="rId9"/>
    <sheet name="LabklājIeguv" sheetId="6" r:id="rId10"/>
    <sheet name="SocIetekmes" sheetId="7"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3" l="1"/>
  <c r="C18" i="13"/>
  <c r="B18" i="13"/>
  <c r="O15" i="10" l="1"/>
  <c r="N11" i="10" l="1"/>
  <c r="B32" i="13" l="1"/>
  <c r="B23" i="13"/>
  <c r="C23" i="13"/>
  <c r="F23" i="13"/>
  <c r="F18" i="13"/>
  <c r="F20" i="13"/>
  <c r="F19" i="13"/>
  <c r="C19" i="13"/>
  <c r="B19" i="13"/>
  <c r="B20" i="13"/>
  <c r="C12" i="13" l="1"/>
  <c r="B12" i="13"/>
  <c r="C11" i="13"/>
  <c r="B11" i="13"/>
  <c r="C16" i="13" l="1"/>
  <c r="C29" i="13" s="1"/>
  <c r="C38" i="13" s="1"/>
  <c r="B14" i="13"/>
  <c r="B15" i="13"/>
  <c r="F16" i="13"/>
  <c r="F14" i="13"/>
  <c r="F15" i="13"/>
  <c r="C15" i="13"/>
  <c r="C24" i="13" s="1"/>
  <c r="C33" i="13" s="1"/>
  <c r="C14" i="13"/>
  <c r="C32" i="13" s="1"/>
  <c r="B16" i="13"/>
  <c r="B25" i="13" s="1"/>
  <c r="B34" i="13" s="1"/>
  <c r="O9" i="10"/>
  <c r="BJ17" i="11"/>
  <c r="O14" i="11"/>
  <c r="O11" i="11"/>
  <c r="C25" i="13" l="1"/>
  <c r="C34" i="13" s="1"/>
  <c r="C27" i="13"/>
  <c r="C36" i="13" s="1"/>
  <c r="B27" i="13"/>
  <c r="B36" i="13" s="1"/>
  <c r="B24" i="13"/>
  <c r="B33" i="13" s="1"/>
  <c r="B28" i="13"/>
  <c r="B37" i="13" s="1"/>
  <c r="B29" i="13"/>
  <c r="B38" i="13" s="1"/>
  <c r="C28" i="13"/>
  <c r="C37" i="13" s="1"/>
  <c r="BJ11" i="11"/>
  <c r="L7" i="10"/>
  <c r="U17" i="3"/>
  <c r="V20" i="3"/>
  <c r="U20" i="3"/>
  <c r="C26" i="10" l="1"/>
  <c r="L44" i="11" l="1"/>
  <c r="B6" i="11" l="1"/>
  <c r="BJ12" i="11" l="1"/>
  <c r="E10" i="9" l="1"/>
  <c r="E26" i="10"/>
  <c r="D26" i="10"/>
  <c r="M31" i="10"/>
  <c r="M30" i="10"/>
  <c r="M29" i="10"/>
  <c r="M28" i="10"/>
  <c r="M27" i="10"/>
  <c r="M26" i="10"/>
  <c r="M20" i="10"/>
  <c r="M19" i="10"/>
  <c r="M18" i="10"/>
  <c r="M17" i="10"/>
  <c r="M16" i="10"/>
  <c r="M15" i="10"/>
  <c r="M14" i="10"/>
  <c r="M13" i="10"/>
  <c r="M12" i="10"/>
  <c r="M11" i="10"/>
  <c r="M10" i="10"/>
  <c r="M9" i="10"/>
  <c r="M8" i="10"/>
  <c r="M7" i="10"/>
  <c r="L56" i="11"/>
  <c r="J56" i="11"/>
  <c r="BJ35" i="11"/>
  <c r="BJ36" i="11"/>
  <c r="BJ57" i="11"/>
  <c r="BJ48" i="11"/>
  <c r="BK24" i="11"/>
  <c r="BJ24" i="11"/>
  <c r="E8" i="9"/>
  <c r="D36" i="10" l="1"/>
  <c r="I34" i="10"/>
  <c r="F21" i="10" l="1"/>
  <c r="BI9" i="11"/>
  <c r="Z41" i="11"/>
  <c r="D15" i="10" l="1"/>
  <c r="D8" i="10"/>
  <c r="D7" i="10"/>
  <c r="W15" i="3"/>
  <c r="V15" i="3"/>
  <c r="U15" i="3"/>
  <c r="I15" i="10"/>
  <c r="BK36" i="11"/>
  <c r="BJ45" i="11"/>
  <c r="BJ42" i="11"/>
  <c r="BJ39" i="11"/>
  <c r="N15" i="10" l="1"/>
  <c r="P15" i="10"/>
  <c r="BJ33" i="11"/>
  <c r="BJ30" i="11"/>
  <c r="BJ27" i="11"/>
  <c r="F207" i="9"/>
  <c r="F208" i="9"/>
  <c r="F209" i="9"/>
  <c r="F210" i="9"/>
  <c r="F211" i="9"/>
  <c r="F212" i="9"/>
  <c r="F213" i="9"/>
  <c r="F214" i="9"/>
  <c r="F215" i="9"/>
  <c r="F216" i="9"/>
  <c r="F217" i="9"/>
  <c r="F218" i="9"/>
  <c r="F219" i="9"/>
  <c r="F220" i="9"/>
  <c r="F206" i="9"/>
  <c r="F183" i="9"/>
  <c r="F184" i="9"/>
  <c r="F185" i="9"/>
  <c r="F186" i="9"/>
  <c r="F187" i="9"/>
  <c r="F188" i="9"/>
  <c r="F189" i="9"/>
  <c r="F190" i="9"/>
  <c r="F191" i="9"/>
  <c r="F192" i="9"/>
  <c r="F193" i="9"/>
  <c r="F194" i="9"/>
  <c r="F195" i="9"/>
  <c r="F196" i="9"/>
  <c r="F182" i="9"/>
  <c r="F159" i="9"/>
  <c r="F160" i="9"/>
  <c r="F161" i="9"/>
  <c r="F162" i="9"/>
  <c r="F163" i="9"/>
  <c r="F164" i="9"/>
  <c r="F165" i="9"/>
  <c r="F166" i="9"/>
  <c r="F167" i="9"/>
  <c r="F168" i="9"/>
  <c r="F169" i="9"/>
  <c r="F170" i="9"/>
  <c r="F171" i="9"/>
  <c r="F172" i="9"/>
  <c r="F158" i="9"/>
  <c r="F135" i="9"/>
  <c r="F136" i="9"/>
  <c r="F137" i="9"/>
  <c r="F138" i="9"/>
  <c r="F139" i="9"/>
  <c r="F140" i="9"/>
  <c r="F141" i="9"/>
  <c r="F142" i="9"/>
  <c r="F143" i="9"/>
  <c r="F144" i="9"/>
  <c r="F145" i="9"/>
  <c r="F146" i="9"/>
  <c r="F147" i="9"/>
  <c r="F148" i="9"/>
  <c r="F134" i="9"/>
  <c r="F111" i="9"/>
  <c r="F112" i="9"/>
  <c r="F113" i="9"/>
  <c r="F114" i="9"/>
  <c r="F115" i="9"/>
  <c r="F116" i="9"/>
  <c r="F117" i="9"/>
  <c r="F118" i="9"/>
  <c r="F119" i="9"/>
  <c r="F120" i="9"/>
  <c r="F121" i="9"/>
  <c r="F122" i="9"/>
  <c r="F123" i="9"/>
  <c r="F124" i="9"/>
  <c r="F110" i="9"/>
  <c r="F87" i="9"/>
  <c r="F88" i="9"/>
  <c r="F89" i="9"/>
  <c r="F90" i="9"/>
  <c r="F91" i="9"/>
  <c r="F92" i="9"/>
  <c r="F93" i="9"/>
  <c r="F94" i="9"/>
  <c r="F95" i="9"/>
  <c r="F96" i="9"/>
  <c r="F97" i="9"/>
  <c r="F98" i="9"/>
  <c r="F99" i="9"/>
  <c r="F100" i="9"/>
  <c r="F86" i="9"/>
  <c r="F63" i="9"/>
  <c r="F64" i="9"/>
  <c r="F65" i="9"/>
  <c r="F66" i="9"/>
  <c r="F67" i="9"/>
  <c r="F68" i="9"/>
  <c r="F69" i="9"/>
  <c r="F70" i="9"/>
  <c r="F71" i="9"/>
  <c r="F72" i="9"/>
  <c r="F73" i="9"/>
  <c r="F74" i="9"/>
  <c r="F75" i="9"/>
  <c r="F76" i="9"/>
  <c r="F62" i="9"/>
  <c r="F39" i="9"/>
  <c r="F40" i="9"/>
  <c r="F41" i="9"/>
  <c r="F42" i="9"/>
  <c r="F43" i="9"/>
  <c r="F44" i="9"/>
  <c r="F45" i="9"/>
  <c r="F46" i="9"/>
  <c r="F47" i="9"/>
  <c r="F48" i="9"/>
  <c r="F49" i="9"/>
  <c r="F50" i="9"/>
  <c r="F51" i="9"/>
  <c r="F52" i="9"/>
  <c r="F38" i="9"/>
  <c r="F28" i="9"/>
  <c r="F27" i="9"/>
  <c r="F26" i="9"/>
  <c r="F25" i="9"/>
  <c r="F24" i="9"/>
  <c r="F23" i="9"/>
  <c r="F22" i="9"/>
  <c r="F21" i="9"/>
  <c r="F20" i="9"/>
  <c r="F19" i="9"/>
  <c r="F18" i="9"/>
  <c r="F17" i="9"/>
  <c r="F16" i="9"/>
  <c r="F15" i="9"/>
  <c r="F14" i="9"/>
  <c r="BJ54" i="11"/>
  <c r="BJ51" i="11"/>
  <c r="BJ21" i="11"/>
  <c r="BJ18" i="11"/>
  <c r="L41" i="11" l="1"/>
  <c r="J41" i="11"/>
  <c r="B41" i="11"/>
  <c r="AM41" i="11"/>
  <c r="AU41" i="11"/>
  <c r="AU56" i="11"/>
  <c r="O56" i="11"/>
  <c r="F56" i="11"/>
  <c r="L47" i="11"/>
  <c r="Z38" i="11"/>
  <c r="T38" i="11"/>
  <c r="L38" i="11"/>
  <c r="F38" i="11"/>
  <c r="B38" i="11"/>
  <c r="J35" i="11"/>
  <c r="B35" i="11"/>
  <c r="R32" i="11"/>
  <c r="J23" i="11"/>
  <c r="B23" i="11"/>
  <c r="L20" i="11"/>
  <c r="Z17" i="11"/>
  <c r="F17" i="11"/>
  <c r="T17" i="11"/>
  <c r="BC6" i="11" l="1"/>
  <c r="BJ29" i="11" s="1"/>
  <c r="I13" i="10" s="1"/>
  <c r="BB6" i="11"/>
  <c r="AU6" i="11"/>
  <c r="AQ6" i="11"/>
  <c r="AP6" i="11"/>
  <c r="AN6" i="11"/>
  <c r="AM6" i="11"/>
  <c r="AL6" i="11"/>
  <c r="AK6" i="11"/>
  <c r="AJ6" i="11"/>
  <c r="AI6" i="11"/>
  <c r="Z6" i="11"/>
  <c r="T6" i="11"/>
  <c r="R6" i="11"/>
  <c r="BJ32" i="11" s="1"/>
  <c r="I14" i="10" s="1"/>
  <c r="Q6" i="11"/>
  <c r="I32" i="10" s="1"/>
  <c r="O6" i="11"/>
  <c r="L6" i="11"/>
  <c r="J6" i="11"/>
  <c r="F6" i="11"/>
  <c r="BJ47" i="11" l="1"/>
  <c r="BJ44" i="11"/>
  <c r="I19" i="10" s="1"/>
  <c r="BK23" i="11"/>
  <c r="I11" i="10" s="1"/>
  <c r="I7" i="10"/>
  <c r="BJ50" i="11"/>
  <c r="BI6" i="11"/>
  <c r="I21" i="10" s="1"/>
  <c r="BJ23" i="11"/>
  <c r="I10" i="10" s="1"/>
  <c r="BK35" i="11"/>
  <c r="I16" i="10" s="1"/>
  <c r="I8" i="10"/>
  <c r="I33" i="10"/>
  <c r="BJ20" i="11"/>
  <c r="I9" i="10" s="1"/>
  <c r="I27" i="10"/>
  <c r="BJ26" i="11"/>
  <c r="I12" i="10" s="1"/>
  <c r="I35" i="10"/>
  <c r="BJ41" i="11"/>
  <c r="I18" i="10" s="1"/>
  <c r="BJ38" i="11"/>
  <c r="I17" i="10" s="1"/>
  <c r="BJ53" i="11"/>
  <c r="BJ56" i="11"/>
  <c r="I20" i="10" s="1"/>
  <c r="I36" i="10" l="1"/>
  <c r="P17" i="10"/>
  <c r="N17" i="10"/>
  <c r="O17" i="10"/>
  <c r="O18" i="10"/>
  <c r="N18" i="10"/>
  <c r="P18" i="10"/>
  <c r="N8" i="10"/>
  <c r="P8" i="10"/>
  <c r="O8" i="10"/>
  <c r="O21" i="10"/>
  <c r="P21" i="10"/>
  <c r="N21" i="10"/>
  <c r="P20" i="10"/>
  <c r="N20" i="10"/>
  <c r="O20" i="10"/>
  <c r="I26" i="10"/>
  <c r="M201" i="9"/>
  <c r="N197" i="9"/>
  <c r="N198" i="9" s="1"/>
  <c r="M197" i="9"/>
  <c r="M198" i="9" s="1"/>
  <c r="M177" i="9"/>
  <c r="N173" i="9"/>
  <c r="N174" i="9" s="1"/>
  <c r="M173" i="9"/>
  <c r="M174" i="9" s="1"/>
  <c r="M153" i="9"/>
  <c r="N149" i="9"/>
  <c r="N150" i="9" s="1"/>
  <c r="M149" i="9"/>
  <c r="M150" i="9" s="1"/>
  <c r="M129" i="9"/>
  <c r="N125" i="9"/>
  <c r="N126" i="9" s="1"/>
  <c r="M125" i="9"/>
  <c r="M126" i="9" s="1"/>
  <c r="M105" i="9"/>
  <c r="N101" i="9"/>
  <c r="N102" i="9" s="1"/>
  <c r="M101" i="9"/>
  <c r="M102" i="9" s="1"/>
  <c r="M81" i="9"/>
  <c r="M77" i="9"/>
  <c r="M78" i="9" s="1"/>
  <c r="N76" i="9"/>
  <c r="N75" i="9"/>
  <c r="N74" i="9"/>
  <c r="N73" i="9"/>
  <c r="N72" i="9"/>
  <c r="N71" i="9"/>
  <c r="N70" i="9"/>
  <c r="N69" i="9"/>
  <c r="N68" i="9"/>
  <c r="N67" i="9"/>
  <c r="N66" i="9"/>
  <c r="N65" i="9"/>
  <c r="N64" i="9"/>
  <c r="N63" i="9"/>
  <c r="N62" i="9"/>
  <c r="M57" i="9"/>
  <c r="M53" i="9"/>
  <c r="M54" i="9" s="1"/>
  <c r="N52" i="9"/>
  <c r="N51" i="9"/>
  <c r="N50" i="9"/>
  <c r="N49" i="9"/>
  <c r="N48" i="9"/>
  <c r="N47" i="9"/>
  <c r="N46" i="9"/>
  <c r="N45" i="9"/>
  <c r="N44" i="9"/>
  <c r="N43" i="9"/>
  <c r="N42" i="9"/>
  <c r="N41" i="9"/>
  <c r="N40" i="9"/>
  <c r="N39" i="9"/>
  <c r="N38" i="9"/>
  <c r="M33" i="9"/>
  <c r="N29" i="9"/>
  <c r="N30" i="9" s="1"/>
  <c r="M29" i="9"/>
  <c r="M30" i="9" s="1"/>
  <c r="M7" i="9" l="1"/>
  <c r="F11" i="13" s="1"/>
  <c r="I30" i="10"/>
  <c r="M8" i="9"/>
  <c r="N53" i="9"/>
  <c r="N54" i="9" s="1"/>
  <c r="N77" i="9"/>
  <c r="N78" i="9" s="1"/>
  <c r="F221" i="9"/>
  <c r="F222" i="9" s="1"/>
  <c r="E221" i="9"/>
  <c r="E222" i="9" s="1"/>
  <c r="E201" i="9"/>
  <c r="F197" i="9"/>
  <c r="F198" i="9" s="1"/>
  <c r="E197" i="9"/>
  <c r="E198" i="9" s="1"/>
  <c r="E177" i="9"/>
  <c r="F173" i="9"/>
  <c r="F174" i="9" s="1"/>
  <c r="E173" i="9"/>
  <c r="E174" i="9" s="1"/>
  <c r="E153" i="9"/>
  <c r="F149" i="9"/>
  <c r="F150" i="9" s="1"/>
  <c r="E149" i="9"/>
  <c r="E150" i="9" s="1"/>
  <c r="E129" i="9"/>
  <c r="F125" i="9"/>
  <c r="F126" i="9" s="1"/>
  <c r="E125" i="9"/>
  <c r="E126" i="9" s="1"/>
  <c r="E105" i="9"/>
  <c r="F101" i="9"/>
  <c r="F102" i="9" s="1"/>
  <c r="E101" i="9"/>
  <c r="E102" i="9" s="1"/>
  <c r="E81" i="9"/>
  <c r="F77" i="9"/>
  <c r="F78" i="9" s="1"/>
  <c r="E77" i="9"/>
  <c r="E78" i="9" s="1"/>
  <c r="E57" i="9"/>
  <c r="F53" i="9"/>
  <c r="F54" i="9" s="1"/>
  <c r="E53" i="9"/>
  <c r="E54" i="9" s="1"/>
  <c r="E33" i="9"/>
  <c r="F29" i="9"/>
  <c r="F30" i="9" s="1"/>
  <c r="E29" i="9"/>
  <c r="E30" i="9" s="1"/>
  <c r="F25" i="13" l="1"/>
  <c r="F34" i="13" s="1"/>
  <c r="F24" i="13"/>
  <c r="F33" i="13" s="1"/>
  <c r="F32" i="13"/>
  <c r="E7" i="9"/>
  <c r="E9" i="9"/>
  <c r="S68" i="3"/>
  <c r="R68" i="3"/>
  <c r="Q68" i="3"/>
  <c r="O68" i="3"/>
  <c r="N68" i="3"/>
  <c r="M68" i="3"/>
  <c r="K68" i="3"/>
  <c r="J68" i="3"/>
  <c r="I68" i="3"/>
  <c r="AA68" i="3" s="1"/>
  <c r="AC67" i="3"/>
  <c r="AB67" i="3"/>
  <c r="AA67" i="3"/>
  <c r="Z67" i="3"/>
  <c r="Y67" i="3"/>
  <c r="X67" i="3"/>
  <c r="W67" i="3"/>
  <c r="V67" i="3"/>
  <c r="U67" i="3"/>
  <c r="AC66" i="3"/>
  <c r="AB66" i="3"/>
  <c r="AA66" i="3"/>
  <c r="Z66" i="3"/>
  <c r="Y66" i="3"/>
  <c r="X66" i="3"/>
  <c r="W66" i="3"/>
  <c r="L13" i="10" s="1"/>
  <c r="P13" i="10" s="1"/>
  <c r="V66" i="3"/>
  <c r="K13" i="10" s="1"/>
  <c r="O13" i="10" s="1"/>
  <c r="U66" i="3"/>
  <c r="J13" i="10" s="1"/>
  <c r="N13" i="10" s="1"/>
  <c r="AC59" i="3"/>
  <c r="AB59" i="3"/>
  <c r="AA59" i="3"/>
  <c r="Z59" i="3"/>
  <c r="Y59" i="3"/>
  <c r="X59" i="3"/>
  <c r="W59" i="3"/>
  <c r="V59" i="3"/>
  <c r="U59" i="3"/>
  <c r="AC55" i="3"/>
  <c r="AB55" i="3"/>
  <c r="AA55" i="3"/>
  <c r="Z55" i="3"/>
  <c r="Y55" i="3"/>
  <c r="X55" i="3"/>
  <c r="W55" i="3"/>
  <c r="V55" i="3"/>
  <c r="U55" i="3"/>
  <c r="AC54" i="3"/>
  <c r="AB54" i="3"/>
  <c r="AA54" i="3"/>
  <c r="Z54" i="3"/>
  <c r="Y54" i="3"/>
  <c r="X54" i="3"/>
  <c r="W54" i="3"/>
  <c r="V54" i="3"/>
  <c r="U54" i="3"/>
  <c r="AC52" i="3"/>
  <c r="AB52" i="3"/>
  <c r="AA52" i="3"/>
  <c r="Z52" i="3"/>
  <c r="Y52" i="3"/>
  <c r="X52" i="3"/>
  <c r="W52" i="3"/>
  <c r="V52" i="3"/>
  <c r="U52" i="3"/>
  <c r="AC51" i="3"/>
  <c r="AB51" i="3"/>
  <c r="AA51" i="3"/>
  <c r="Z51" i="3"/>
  <c r="Y51" i="3"/>
  <c r="X51" i="3"/>
  <c r="W51" i="3"/>
  <c r="V51" i="3"/>
  <c r="U51" i="3"/>
  <c r="AC50" i="3"/>
  <c r="AB50" i="3"/>
  <c r="AA50" i="3"/>
  <c r="Z50" i="3"/>
  <c r="Y50" i="3"/>
  <c r="X50" i="3"/>
  <c r="W50" i="3"/>
  <c r="V50" i="3"/>
  <c r="U50" i="3"/>
  <c r="AC49" i="3"/>
  <c r="AB49" i="3"/>
  <c r="AA49" i="3"/>
  <c r="Z49" i="3"/>
  <c r="Y49" i="3"/>
  <c r="X49" i="3"/>
  <c r="W49" i="3"/>
  <c r="V49" i="3"/>
  <c r="U49" i="3"/>
  <c r="AC48" i="3"/>
  <c r="AB48" i="3"/>
  <c r="AA48" i="3"/>
  <c r="Z48" i="3"/>
  <c r="Y48" i="3"/>
  <c r="X48" i="3"/>
  <c r="W48" i="3"/>
  <c r="V48" i="3"/>
  <c r="U48" i="3"/>
  <c r="AC46" i="3"/>
  <c r="AB46" i="3"/>
  <c r="AA46" i="3"/>
  <c r="Z46" i="3"/>
  <c r="Y46" i="3"/>
  <c r="X46" i="3"/>
  <c r="W46" i="3"/>
  <c r="V46" i="3"/>
  <c r="U46" i="3"/>
  <c r="AC45" i="3"/>
  <c r="AB45" i="3"/>
  <c r="AA45" i="3"/>
  <c r="Z45" i="3"/>
  <c r="Y45" i="3"/>
  <c r="X45" i="3"/>
  <c r="W45" i="3"/>
  <c r="V45" i="3"/>
  <c r="U45" i="3"/>
  <c r="AC44" i="3"/>
  <c r="AB44" i="3"/>
  <c r="AA44" i="3"/>
  <c r="Z44" i="3"/>
  <c r="Y44" i="3"/>
  <c r="X44" i="3"/>
  <c r="W44" i="3"/>
  <c r="V44" i="3"/>
  <c r="U44" i="3"/>
  <c r="AC43" i="3"/>
  <c r="AB43" i="3"/>
  <c r="AA43" i="3"/>
  <c r="Z43" i="3"/>
  <c r="Y43" i="3"/>
  <c r="X43" i="3"/>
  <c r="W43" i="3"/>
  <c r="V43" i="3"/>
  <c r="U43" i="3"/>
  <c r="AC42" i="3"/>
  <c r="AB42" i="3"/>
  <c r="AA42" i="3"/>
  <c r="Z42" i="3"/>
  <c r="Y42" i="3"/>
  <c r="X42" i="3"/>
  <c r="W42" i="3"/>
  <c r="V42" i="3"/>
  <c r="U42" i="3"/>
  <c r="AC41" i="3"/>
  <c r="AB41" i="3"/>
  <c r="AA41" i="3"/>
  <c r="Z41" i="3"/>
  <c r="Y41" i="3"/>
  <c r="X41" i="3"/>
  <c r="W41" i="3"/>
  <c r="V41" i="3"/>
  <c r="U41" i="3"/>
  <c r="AC38" i="3"/>
  <c r="AB38" i="3"/>
  <c r="AA38" i="3"/>
  <c r="Z38" i="3"/>
  <c r="Y38" i="3"/>
  <c r="X38" i="3"/>
  <c r="W38" i="3"/>
  <c r="V38" i="3"/>
  <c r="U38" i="3"/>
  <c r="AC32" i="3"/>
  <c r="AB32" i="3"/>
  <c r="AA32" i="3"/>
  <c r="Z32" i="3"/>
  <c r="Y32" i="3"/>
  <c r="X32" i="3"/>
  <c r="W32" i="3"/>
  <c r="V32" i="3"/>
  <c r="U32" i="3"/>
  <c r="AC25" i="3"/>
  <c r="J14" i="10" s="1"/>
  <c r="N14" i="10" s="1"/>
  <c r="AB25" i="3"/>
  <c r="K14" i="10" s="1"/>
  <c r="O14" i="10" s="1"/>
  <c r="AA25" i="3"/>
  <c r="L14" i="10" s="1"/>
  <c r="P14" i="10" s="1"/>
  <c r="Z25" i="3"/>
  <c r="Y25" i="3"/>
  <c r="X25" i="3"/>
  <c r="W25" i="3"/>
  <c r="V25" i="3"/>
  <c r="U25" i="3"/>
  <c r="AC20" i="3"/>
  <c r="AB20" i="3"/>
  <c r="AA20" i="3"/>
  <c r="Z20" i="3"/>
  <c r="Y20" i="3"/>
  <c r="X20" i="3"/>
  <c r="W20" i="3"/>
  <c r="P7" i="10" s="1"/>
  <c r="K7" i="10"/>
  <c r="O7" i="10" s="1"/>
  <c r="AC17" i="3"/>
  <c r="AB17" i="3"/>
  <c r="AA17" i="3"/>
  <c r="Z17" i="3"/>
  <c r="Y17" i="3"/>
  <c r="X17" i="3"/>
  <c r="W17" i="3"/>
  <c r="V17" i="3"/>
  <c r="AC15" i="3"/>
  <c r="AB15" i="3"/>
  <c r="AA15" i="3"/>
  <c r="Z15" i="3"/>
  <c r="J11" i="10" s="1"/>
  <c r="Y15" i="3"/>
  <c r="K11" i="10" s="1"/>
  <c r="O11" i="10" s="1"/>
  <c r="X15" i="3"/>
  <c r="L11" i="10" s="1"/>
  <c r="P11" i="10" s="1"/>
  <c r="AC11" i="3"/>
  <c r="AB11" i="3"/>
  <c r="AA11" i="3"/>
  <c r="Z11" i="3"/>
  <c r="Y11" i="3"/>
  <c r="X11" i="3"/>
  <c r="W11" i="3"/>
  <c r="V11" i="3"/>
  <c r="U11" i="3"/>
  <c r="AC7" i="3"/>
  <c r="AB7" i="3"/>
  <c r="AA7" i="3"/>
  <c r="Z7" i="3"/>
  <c r="Y7" i="3"/>
  <c r="X7" i="3"/>
  <c r="W7" i="3"/>
  <c r="V7" i="3"/>
  <c r="U7" i="3"/>
  <c r="AC6" i="3"/>
  <c r="AB6" i="3"/>
  <c r="AA6" i="3"/>
  <c r="Z6" i="3"/>
  <c r="Y6" i="3"/>
  <c r="X6" i="3"/>
  <c r="W6" i="3"/>
  <c r="V6" i="3"/>
  <c r="U6" i="3"/>
  <c r="V68" i="3" l="1"/>
  <c r="U68" i="3"/>
  <c r="L10" i="10"/>
  <c r="P10" i="10" s="1"/>
  <c r="L16" i="10"/>
  <c r="P16" i="10" s="1"/>
  <c r="J26" i="10"/>
  <c r="N26" i="10" s="1"/>
  <c r="J12" i="10"/>
  <c r="N12" i="10" s="1"/>
  <c r="W68" i="3"/>
  <c r="K12" i="10"/>
  <c r="O12" i="10" s="1"/>
  <c r="K26" i="10"/>
  <c r="O26" i="10" s="1"/>
  <c r="X68" i="3"/>
  <c r="L9" i="10"/>
  <c r="P9" i="10" s="1"/>
  <c r="L27" i="10"/>
  <c r="P27" i="10" s="1"/>
  <c r="L19" i="10"/>
  <c r="P19" i="10" s="1"/>
  <c r="J10" i="10"/>
  <c r="N10" i="10" s="1"/>
  <c r="J16" i="10"/>
  <c r="N16" i="10" s="1"/>
  <c r="J9" i="10"/>
  <c r="N9" i="10" s="1"/>
  <c r="J27" i="10"/>
  <c r="N27" i="10" s="1"/>
  <c r="J19" i="10"/>
  <c r="N19" i="10" s="1"/>
  <c r="L26" i="10"/>
  <c r="P26" i="10" s="1"/>
  <c r="L12" i="10"/>
  <c r="P12" i="10" s="1"/>
  <c r="K16" i="10"/>
  <c r="O16" i="10" s="1"/>
  <c r="K10" i="10"/>
  <c r="O10" i="10" s="1"/>
  <c r="K27" i="10"/>
  <c r="O27" i="10" s="1"/>
  <c r="K19" i="10"/>
  <c r="O19" i="10" s="1"/>
  <c r="K9" i="10"/>
  <c r="J7" i="10"/>
  <c r="N7" i="10" s="1"/>
  <c r="Y68" i="3"/>
  <c r="AC68" i="3"/>
  <c r="Z68" i="3"/>
  <c r="AB68" i="3"/>
  <c r="P22" i="10" l="1"/>
  <c r="N22" i="10"/>
  <c r="O22" i="10"/>
  <c r="R7" i="10" s="1"/>
  <c r="R18" i="10"/>
  <c r="R21" i="10"/>
  <c r="R17" i="10"/>
  <c r="R8" i="10"/>
  <c r="R14" i="10"/>
  <c r="R13" i="10"/>
  <c r="J36" i="10"/>
  <c r="N36" i="10" s="1"/>
  <c r="J32" i="10"/>
  <c r="N32" i="10" s="1"/>
  <c r="J35" i="10"/>
  <c r="N35" i="10" s="1"/>
  <c r="J33" i="10"/>
  <c r="N33" i="10" s="1"/>
  <c r="J34" i="10"/>
  <c r="N34" i="10" s="1"/>
  <c r="J28" i="10"/>
  <c r="N28" i="10" s="1"/>
  <c r="N29" i="10" s="1"/>
  <c r="R12" i="10"/>
  <c r="K34" i="10"/>
  <c r="O34" i="10" s="1"/>
  <c r="K35" i="10"/>
  <c r="O35" i="10" s="1"/>
  <c r="K32" i="10"/>
  <c r="O32" i="10" s="1"/>
  <c r="K36" i="10"/>
  <c r="O36" i="10" s="1"/>
  <c r="K33" i="10"/>
  <c r="O33" i="10" s="1"/>
  <c r="K28" i="10"/>
  <c r="O28" i="10" s="1"/>
  <c r="O29" i="10" s="1"/>
  <c r="R9" i="10"/>
  <c r="R10" i="10"/>
  <c r="L34" i="10"/>
  <c r="P34" i="10" s="1"/>
  <c r="L36" i="10"/>
  <c r="P36" i="10" s="1"/>
  <c r="L33" i="10"/>
  <c r="P33" i="10" s="1"/>
  <c r="L32" i="10"/>
  <c r="P32" i="10" s="1"/>
  <c r="L35" i="10"/>
  <c r="P35" i="10" s="1"/>
  <c r="L28" i="10"/>
  <c r="P28" i="10" s="1"/>
  <c r="P29" i="10" s="1"/>
  <c r="R15" i="10"/>
  <c r="R19" i="10"/>
  <c r="R20" i="10" l="1"/>
  <c r="P30" i="10"/>
  <c r="P31" i="10" s="1"/>
  <c r="O30" i="10"/>
  <c r="O31" i="10" s="1"/>
  <c r="O37" i="10" s="1"/>
  <c r="N30" i="10"/>
  <c r="N31" i="10" s="1"/>
  <c r="N37" i="10" s="1"/>
  <c r="P37" i="10"/>
  <c r="R22" i="10"/>
</calcChain>
</file>

<file path=xl/comments1.xml><?xml version="1.0" encoding="utf-8"?>
<comments xmlns="http://schemas.openxmlformats.org/spreadsheetml/2006/main">
  <authors>
    <author>Kristine Pakalniete</author>
  </authors>
  <commentList>
    <comment ref="U3" authorId="0" shapeId="0">
      <text>
        <r>
          <rPr>
            <b/>
            <sz val="9"/>
            <color indexed="81"/>
            <rFont val="Tahoma"/>
            <family val="2"/>
            <charset val="186"/>
          </rPr>
          <t>Kristine Pakalniete:</t>
        </r>
        <r>
          <rPr>
            <sz val="9"/>
            <color indexed="81"/>
            <rFont val="Tahoma"/>
            <family val="2"/>
            <charset val="186"/>
          </rPr>
          <t xml:space="preserve">
Šīs vērtības tiek izmantotas pasākumu efektivitātes aprēķinam.</t>
        </r>
      </text>
    </comment>
    <comment ref="D4" authorId="0" shapeId="0">
      <text>
        <r>
          <rPr>
            <b/>
            <sz val="9"/>
            <color indexed="81"/>
            <rFont val="Tahoma"/>
            <family val="2"/>
            <charset val="186"/>
          </rPr>
          <t>Kristine Pakalniete:</t>
        </r>
        <r>
          <rPr>
            <sz val="9"/>
            <color indexed="81"/>
            <rFont val="Tahoma"/>
            <family val="2"/>
            <charset val="186"/>
          </rPr>
          <t xml:space="preserve">
Balstoties uz koriģētiem UNEP datiem, lai būtu salīdzināmība ar JRC.</t>
        </r>
      </text>
    </comment>
    <comment ref="M25" authorId="0" shapeId="0">
      <text>
        <r>
          <rPr>
            <b/>
            <sz val="9"/>
            <color indexed="81"/>
            <rFont val="Tahoma"/>
            <family val="2"/>
            <charset val="186"/>
          </rPr>
          <t>Kristine Pakalniete:</t>
        </r>
        <r>
          <rPr>
            <sz val="9"/>
            <color indexed="81"/>
            <rFont val="Tahoma"/>
            <family val="2"/>
            <charset val="186"/>
          </rPr>
          <t xml:space="preserve">
Koriģēts kategorijas intervāls.</t>
        </r>
      </text>
    </comment>
    <comment ref="N25" authorId="0" shapeId="0">
      <text>
        <r>
          <rPr>
            <b/>
            <sz val="9"/>
            <color indexed="81"/>
            <rFont val="Tahoma"/>
            <family val="2"/>
            <charset val="186"/>
          </rPr>
          <t>Kristine Pakalniete:</t>
        </r>
        <r>
          <rPr>
            <sz val="9"/>
            <color indexed="81"/>
            <rFont val="Tahoma"/>
            <family val="2"/>
            <charset val="186"/>
          </rPr>
          <t xml:space="preserve">
Koriģēts kategorijas intervāls.</t>
        </r>
      </text>
    </comment>
    <comment ref="O25" authorId="0" shapeId="0">
      <text>
        <r>
          <rPr>
            <b/>
            <sz val="9"/>
            <color indexed="81"/>
            <rFont val="Tahoma"/>
            <family val="2"/>
            <charset val="186"/>
          </rPr>
          <t>Kristine Pakalniete:</t>
        </r>
        <r>
          <rPr>
            <sz val="9"/>
            <color indexed="81"/>
            <rFont val="Tahoma"/>
            <family val="2"/>
            <charset val="186"/>
          </rPr>
          <t xml:space="preserve">
Koriģēts kategorijas intervāls.</t>
        </r>
      </text>
    </comment>
    <comment ref="Q25" authorId="0" shapeId="0">
      <text>
        <r>
          <rPr>
            <b/>
            <sz val="9"/>
            <color indexed="81"/>
            <rFont val="Tahoma"/>
            <family val="2"/>
            <charset val="186"/>
          </rPr>
          <t>Kristine Pakalniete:</t>
        </r>
        <r>
          <rPr>
            <sz val="9"/>
            <color indexed="81"/>
            <rFont val="Tahoma"/>
            <family val="2"/>
            <charset val="186"/>
          </rPr>
          <t xml:space="preserve">
Koriģēts kategorijas intervāls.</t>
        </r>
      </text>
    </comment>
    <comment ref="R25" authorId="0" shapeId="0">
      <text>
        <r>
          <rPr>
            <b/>
            <sz val="9"/>
            <color indexed="81"/>
            <rFont val="Tahoma"/>
            <family val="2"/>
            <charset val="186"/>
          </rPr>
          <t>Kristine Pakalniete:</t>
        </r>
        <r>
          <rPr>
            <sz val="9"/>
            <color indexed="81"/>
            <rFont val="Tahoma"/>
            <family val="2"/>
            <charset val="186"/>
          </rPr>
          <t xml:space="preserve">
Koriģēts kategorijas intervāls.</t>
        </r>
      </text>
    </comment>
    <comment ref="S25" authorId="0" shapeId="0">
      <text>
        <r>
          <rPr>
            <b/>
            <sz val="9"/>
            <color indexed="81"/>
            <rFont val="Tahoma"/>
            <family val="2"/>
            <charset val="186"/>
          </rPr>
          <t>Kristine Pakalniete:</t>
        </r>
        <r>
          <rPr>
            <sz val="9"/>
            <color indexed="81"/>
            <rFont val="Tahoma"/>
            <family val="2"/>
            <charset val="186"/>
          </rPr>
          <t xml:space="preserve">
Koriģēts kategorijas intervāls.</t>
        </r>
      </text>
    </comment>
    <comment ref="E41" authorId="0" shapeId="0">
      <text>
        <r>
          <rPr>
            <b/>
            <sz val="9"/>
            <color indexed="81"/>
            <rFont val="Tahoma"/>
            <family val="2"/>
            <charset val="186"/>
          </rPr>
          <t>Kristine Pakalniete:</t>
        </r>
        <r>
          <rPr>
            <sz val="9"/>
            <color indexed="81"/>
            <rFont val="Tahoma"/>
            <family val="2"/>
            <charset val="186"/>
          </rPr>
          <t xml:space="preserve">
Nav salīdzināmu kodu, jo tas galvenokārt bija PL24.</t>
        </r>
      </text>
    </comment>
    <comment ref="E42" authorId="0" shapeId="0">
      <text>
        <r>
          <rPr>
            <b/>
            <sz val="9"/>
            <color indexed="81"/>
            <rFont val="Tahoma"/>
            <family val="2"/>
            <charset val="186"/>
          </rPr>
          <t>Kristine Pakalniete:</t>
        </r>
        <r>
          <rPr>
            <sz val="9"/>
            <color indexed="81"/>
            <rFont val="Tahoma"/>
            <family val="2"/>
            <charset val="186"/>
          </rPr>
          <t xml:space="preserve">
Nav salīdzināmu kodu, jo tas galvenokārt bija PL24.</t>
        </r>
      </text>
    </comment>
    <comment ref="E43" authorId="0" shapeId="0">
      <text>
        <r>
          <rPr>
            <b/>
            <sz val="9"/>
            <color indexed="81"/>
            <rFont val="Tahoma"/>
            <family val="2"/>
            <charset val="186"/>
          </rPr>
          <t>Kristine Pakalniete:</t>
        </r>
        <r>
          <rPr>
            <sz val="9"/>
            <color indexed="81"/>
            <rFont val="Tahoma"/>
            <family val="2"/>
            <charset val="186"/>
          </rPr>
          <t xml:space="preserve">
Nav salīdzināmu kodu, jo tas galvenokārt bija PL24.
Kampaņas Mana Jūra papilddati, sākot ar 2020. gadu, ļauj noteikt datu kopu no šā perioda.</t>
        </r>
      </text>
    </comment>
    <comment ref="E44" authorId="0" shapeId="0">
      <text>
        <r>
          <rPr>
            <b/>
            <sz val="9"/>
            <color indexed="81"/>
            <rFont val="Tahoma"/>
            <family val="2"/>
            <charset val="186"/>
          </rPr>
          <t>Kristine Pakalniete:</t>
        </r>
        <r>
          <rPr>
            <sz val="9"/>
            <color indexed="81"/>
            <rFont val="Tahoma"/>
            <family val="2"/>
            <charset val="186"/>
          </rPr>
          <t xml:space="preserve">
Nav salīdzināmu kodu, jo tas galvenokārt bija PL24 un citu materiālu grupā.</t>
        </r>
      </text>
    </comment>
    <comment ref="I67" authorId="0" shapeId="0">
      <text>
        <r>
          <rPr>
            <b/>
            <sz val="9"/>
            <color indexed="81"/>
            <rFont val="Tahoma"/>
            <family val="2"/>
            <charset val="186"/>
          </rPr>
          <t>Kristine Pakalniete:</t>
        </r>
        <r>
          <rPr>
            <sz val="9"/>
            <color indexed="81"/>
            <rFont val="Tahoma"/>
            <family val="2"/>
            <charset val="186"/>
          </rPr>
          <t xml:space="preserve">
Koriģēts kategorijas intervāls.</t>
        </r>
      </text>
    </comment>
    <comment ref="J67" authorId="0" shapeId="0">
      <text>
        <r>
          <rPr>
            <b/>
            <sz val="9"/>
            <color indexed="81"/>
            <rFont val="Tahoma"/>
            <family val="2"/>
            <charset val="186"/>
          </rPr>
          <t>Kristine Pakalniete:</t>
        </r>
        <r>
          <rPr>
            <sz val="9"/>
            <color indexed="81"/>
            <rFont val="Tahoma"/>
            <family val="2"/>
            <charset val="186"/>
          </rPr>
          <t xml:space="preserve">
Koriģēts kategorijas intervāls.</t>
        </r>
      </text>
    </comment>
    <comment ref="K67" authorId="0" shapeId="0">
      <text>
        <r>
          <rPr>
            <b/>
            <sz val="9"/>
            <color indexed="81"/>
            <rFont val="Tahoma"/>
            <family val="2"/>
            <charset val="186"/>
          </rPr>
          <t>Kristine Pakalniete:</t>
        </r>
        <r>
          <rPr>
            <sz val="9"/>
            <color indexed="81"/>
            <rFont val="Tahoma"/>
            <family val="2"/>
            <charset val="186"/>
          </rPr>
          <t xml:space="preserve">
Koriģēts kategorijas intervāls.</t>
        </r>
      </text>
    </comment>
    <comment ref="M67" authorId="0" shapeId="0">
      <text>
        <r>
          <rPr>
            <b/>
            <sz val="9"/>
            <color indexed="81"/>
            <rFont val="Tahoma"/>
            <family val="2"/>
            <charset val="186"/>
          </rPr>
          <t>Kristine Pakalniete:</t>
        </r>
        <r>
          <rPr>
            <sz val="9"/>
            <color indexed="81"/>
            <rFont val="Tahoma"/>
            <family val="2"/>
            <charset val="186"/>
          </rPr>
          <t xml:space="preserve">
Koriģēts kategorijas intervāls.</t>
        </r>
      </text>
    </comment>
    <comment ref="N67" authorId="0" shapeId="0">
      <text>
        <r>
          <rPr>
            <b/>
            <sz val="9"/>
            <color indexed="81"/>
            <rFont val="Tahoma"/>
            <family val="2"/>
            <charset val="186"/>
          </rPr>
          <t>Kristine Pakalniete:</t>
        </r>
        <r>
          <rPr>
            <sz val="9"/>
            <color indexed="81"/>
            <rFont val="Tahoma"/>
            <family val="2"/>
            <charset val="186"/>
          </rPr>
          <t xml:space="preserve">
Koriģēts kategorijas intervāls.</t>
        </r>
      </text>
    </comment>
    <comment ref="O67" authorId="0" shapeId="0">
      <text>
        <r>
          <rPr>
            <b/>
            <sz val="9"/>
            <color indexed="81"/>
            <rFont val="Tahoma"/>
            <family val="2"/>
            <charset val="186"/>
          </rPr>
          <t>Kristine Pakalniete:</t>
        </r>
        <r>
          <rPr>
            <sz val="9"/>
            <color indexed="81"/>
            <rFont val="Tahoma"/>
            <family val="2"/>
            <charset val="186"/>
          </rPr>
          <t xml:space="preserve">
Koriģēts kategorijas intervāls.</t>
        </r>
      </text>
    </comment>
  </commentList>
</comments>
</file>

<file path=xl/comments2.xml><?xml version="1.0" encoding="utf-8"?>
<comments xmlns="http://schemas.openxmlformats.org/spreadsheetml/2006/main">
  <authors>
    <author>Kristine Pakalniete</author>
  </authors>
  <commentList>
    <comment ref="M5" authorId="0" shapeId="0">
      <text>
        <r>
          <rPr>
            <b/>
            <sz val="9"/>
            <color indexed="81"/>
            <rFont val="Tahoma"/>
            <family val="2"/>
            <charset val="186"/>
          </rPr>
          <t>Kristine Pakalniete:</t>
        </r>
        <r>
          <rPr>
            <sz val="9"/>
            <color indexed="81"/>
            <rFont val="Tahoma"/>
            <family val="2"/>
            <charset val="186"/>
          </rPr>
          <t xml:space="preserve">
Nenoteiktība par iespējamiem pasākumiem.</t>
        </r>
      </text>
    </comment>
    <comment ref="M6" authorId="0" shapeId="0">
      <text>
        <r>
          <rPr>
            <b/>
            <sz val="9"/>
            <color indexed="81"/>
            <rFont val="Tahoma"/>
            <family val="2"/>
            <charset val="186"/>
          </rPr>
          <t>Kristine Pakalniete:</t>
        </r>
        <r>
          <rPr>
            <sz val="9"/>
            <color indexed="81"/>
            <rFont val="Tahoma"/>
            <family val="2"/>
            <charset val="186"/>
          </rPr>
          <t xml:space="preserve">
Skaidrāk definēta prasība putu polistirolam.</t>
        </r>
      </text>
    </comment>
    <comment ref="N6" authorId="0" shapeId="0">
      <text>
        <r>
          <rPr>
            <b/>
            <sz val="9"/>
            <color indexed="81"/>
            <rFont val="Tahoma"/>
            <family val="2"/>
            <charset val="186"/>
          </rPr>
          <t>Kristine Pakalniete:</t>
        </r>
        <r>
          <rPr>
            <sz val="9"/>
            <color indexed="81"/>
            <rFont val="Tahoma"/>
            <family val="2"/>
            <charset val="186"/>
          </rPr>
          <t xml:space="preserve">
Konfeti no 2026.g.</t>
        </r>
      </text>
    </comment>
    <comment ref="B9" authorId="0" shapeId="0">
      <text>
        <r>
          <rPr>
            <b/>
            <sz val="9"/>
            <color indexed="81"/>
            <rFont val="Tahoma"/>
            <family val="2"/>
            <charset val="186"/>
          </rPr>
          <t>Kristine Pakalniete:</t>
        </r>
        <r>
          <rPr>
            <sz val="9"/>
            <color indexed="81"/>
            <rFont val="Tahoma"/>
            <family val="2"/>
            <charset val="186"/>
          </rPr>
          <t xml:space="preserve">
Direktīvas 8.panta 2.punkts:
2. Dalībvalstis nodrošina, ka šīs direktīvas pielikuma E daļas I sadaļā uzskaitīto vienreizlietojamo plastmasas izstrādājumu ražotāji sedz izmaksas, ievērojot noteikumus par ražotāja paplašināto atbildību Direktīvā 2008/98/EK un 94/62/EK un, ciktāl tās jau nav ietvertas, sedz šādas izmaksas: 
a) izmaksas saistībā ar šīs direktīvas 10. pantā minētajiem </t>
        </r>
        <r>
          <rPr>
            <b/>
            <sz val="9"/>
            <color indexed="81"/>
            <rFont val="Tahoma"/>
            <family val="2"/>
            <charset val="186"/>
          </rPr>
          <t>informētības vairošanas pasākumiem</t>
        </r>
        <r>
          <rPr>
            <sz val="9"/>
            <color indexed="81"/>
            <rFont val="Tahoma"/>
            <family val="2"/>
            <charset val="186"/>
          </rPr>
          <t xml:space="preserve"> attiecībā uz minētajiem izstrādājumiem; 
b) izmaksas saistībā ar to izstrādājumu </t>
        </r>
        <r>
          <rPr>
            <b/>
            <sz val="9"/>
            <color indexed="81"/>
            <rFont val="Tahoma"/>
            <family val="2"/>
            <charset val="186"/>
          </rPr>
          <t>atkritumu savākšanu, kuri izmesti publiskās savākšanas sistēmās, tostarp infrastruktūru un tās darbību, un minēto atkritumu pēcāku transportēšanu un apstrādi</t>
        </r>
        <r>
          <rPr>
            <sz val="9"/>
            <color indexed="81"/>
            <rFont val="Tahoma"/>
            <family val="2"/>
            <charset val="186"/>
          </rPr>
          <t xml:space="preserve">; un 
c) izmaksas saistībā ar minēto izstrādājumu </t>
        </r>
        <r>
          <rPr>
            <b/>
            <sz val="9"/>
            <color indexed="81"/>
            <rFont val="Tahoma"/>
            <family val="2"/>
            <charset val="186"/>
          </rPr>
          <t>radīta piegružojuma satīrīšanu un tā pēcāku transportēšanu un apstrādi</t>
        </r>
        <r>
          <rPr>
            <sz val="9"/>
            <color indexed="81"/>
            <rFont val="Tahoma"/>
            <family val="2"/>
            <charset val="186"/>
          </rPr>
          <t xml:space="preserve">. </t>
        </r>
        <r>
          <rPr>
            <sz val="9"/>
            <color indexed="39"/>
            <rFont val="Tahoma"/>
            <family val="2"/>
            <charset val="186"/>
          </rPr>
          <t xml:space="preserve">[KP: Nacionālajā RAS atbilstoši MK not. 480 šis nav iekļauts kā prasība/pasākums, kas jāveic RAS ietvaros.]
</t>
        </r>
      </text>
    </comment>
    <comment ref="F9" authorId="0" shapeId="0">
      <text>
        <r>
          <rPr>
            <b/>
            <sz val="9"/>
            <color indexed="81"/>
            <rFont val="Tahoma"/>
            <family val="2"/>
            <charset val="186"/>
          </rPr>
          <t>Kristine Pakalniete:</t>
        </r>
        <r>
          <rPr>
            <sz val="9"/>
            <color indexed="81"/>
            <rFont val="Tahoma"/>
            <family val="2"/>
            <charset val="186"/>
          </rPr>
          <t xml:space="preserve">
Tiesību akta projekta "Grozījumi Dabas resursu nodokļa likumā" (25-TA-745) sākotnējās ietekmes (ex-ante) novērtējuma ziņojums (anotācija). 
"No Dabas resursu nodokļa likuma 8. panta 1.1 daļas spēkā esošās un precizētās redakcijas izriet, ka vienreiz lietojamām plastmasu saturošām glāzēm un to vāciņiem nepiemēro atbrīvojumu no nodokļa samaksas. Līdz ar to šo glāžu ražotājs un tirgotājs nepiedalās ražotāja paplašinātās atbildības sistēmā. Turpretim Plastmasu saturošu izstrādājumu patēriņa samazināšanas likuma 8. pantā noteikta obligāta prasība piemērot ražotāja paplašinātās atbildības sistēmu vienreiz lietojamām plastmasu saturošām dzērienu glāzēm un to vāciņiem.
Šobrīd ir izveidojusies situācija, ka attiecībā uz vienreiz lietojamām plastmasu saturošām glāzēm Plastmasu saturošu izstrādājumu patēriņa samazināšanas likuma 8. panta pirmās daļas 4. punkts ir pretrunā ar Dabas resursu nodokļa likuma 8. panta 1.1 daļu."</t>
        </r>
      </text>
    </comment>
    <comment ref="N9" authorId="0" shapeId="0">
      <text>
        <r>
          <rPr>
            <b/>
            <sz val="9"/>
            <color indexed="81"/>
            <rFont val="Tahoma"/>
            <family val="2"/>
            <charset val="186"/>
          </rPr>
          <t>Kristine Pakalniete:</t>
        </r>
        <r>
          <rPr>
            <sz val="9"/>
            <color indexed="81"/>
            <rFont val="Tahoma"/>
            <family val="2"/>
            <charset val="186"/>
          </rPr>
          <t xml:space="preserve">
plastmasu saturošām glāzēm un to vāciņiem</t>
        </r>
      </text>
    </comment>
    <comment ref="B10" authorId="0" shapeId="0">
      <text>
        <r>
          <rPr>
            <b/>
            <sz val="9"/>
            <color indexed="81"/>
            <rFont val="Tahoma"/>
            <family val="2"/>
            <charset val="186"/>
          </rPr>
          <t>Kristine Pakalniete:</t>
        </r>
        <r>
          <rPr>
            <sz val="9"/>
            <color indexed="81"/>
            <rFont val="Tahoma"/>
            <family val="2"/>
            <charset val="186"/>
          </rPr>
          <t xml:space="preserve">
Direktīvas 8.panta 3.punkts:
3. Dalībvalstis nodrošina, ka</t>
        </r>
        <r>
          <rPr>
            <b/>
            <sz val="9"/>
            <color indexed="81"/>
            <rFont val="Tahoma"/>
            <family val="2"/>
            <charset val="186"/>
          </rPr>
          <t xml:space="preserve"> pielikuma E daļas II un III sadaļā minēto </t>
        </r>
        <r>
          <rPr>
            <sz val="9"/>
            <color indexed="81"/>
            <rFont val="Tahoma"/>
            <family val="2"/>
            <charset val="186"/>
          </rPr>
          <t xml:space="preserve">vienreizlietojamo plastmasas izstrādājumu ražotāji sedz vismaz šādas izmaksas: 
a) izmaksas saistībā ar 10. pantā minētajiem </t>
        </r>
        <r>
          <rPr>
            <b/>
            <sz val="9"/>
            <color indexed="81"/>
            <rFont val="Tahoma"/>
            <family val="2"/>
            <charset val="186"/>
          </rPr>
          <t>informētības vairošanas pasākumiem</t>
        </r>
        <r>
          <rPr>
            <sz val="9"/>
            <color indexed="81"/>
            <rFont val="Tahoma"/>
            <family val="2"/>
            <charset val="186"/>
          </rPr>
          <t xml:space="preserve"> attiecībā uz minētajiem izstrādājumiem; 
b) izmaksas saistībā ar minēto izstrādājumu </t>
        </r>
        <r>
          <rPr>
            <b/>
            <sz val="9"/>
            <color indexed="81"/>
            <rFont val="Tahoma"/>
            <family val="2"/>
            <charset val="186"/>
          </rPr>
          <t>radīta piegružojuma satīrīšanu un tā pēcāku transportēšanu un apstrādi.</t>
        </r>
        <r>
          <rPr>
            <sz val="9"/>
            <color indexed="81"/>
            <rFont val="Tahoma"/>
            <family val="2"/>
            <charset val="186"/>
          </rPr>
          <t xml:space="preserve">
Attiecībā uz šīs </t>
        </r>
        <r>
          <rPr>
            <b/>
            <sz val="9"/>
            <color indexed="81"/>
            <rFont val="Tahoma"/>
            <family val="2"/>
            <charset val="186"/>
          </rPr>
          <t>direktīvas pielikuma E daļas III sadaļā uzskaitītajiem</t>
        </r>
        <r>
          <rPr>
            <sz val="9"/>
            <color indexed="81"/>
            <rFont val="Tahoma"/>
            <family val="2"/>
            <charset val="186"/>
          </rPr>
          <t xml:space="preserve"> vienreizlietojamiem plastmasas izstrādājumiem dalībvalstis nodrošina, ka ražotāji </t>
        </r>
        <r>
          <rPr>
            <b/>
            <sz val="9"/>
            <color indexed="81"/>
            <rFont val="Tahoma"/>
            <family val="2"/>
            <charset val="186"/>
          </rPr>
          <t xml:space="preserve">papildus minētajam sedz izmaksas saistībā ar minēto izstrādājumu atkritumu, kuri izmesti publiskās savākšanas sistēmās, savākšanu, tostarp infrastruktūru un tās darbību, un minēto atkritumu pēcāku transportēšanu un apstrādi. </t>
        </r>
        <r>
          <rPr>
            <sz val="9"/>
            <color indexed="81"/>
            <rFont val="Tahoma"/>
            <family val="2"/>
            <charset val="186"/>
          </rPr>
          <t xml:space="preserve">Izmaksas var ietvert īpašas infrastruktūras izveidi minēto izstrādājumu atkritumu savākšanai, piemēram, atbilstošas atkritumu tvertnes sabiedriskās vietās ar augstu piegružošanas tendenci.
4. Šā panta 2. un 3. punktā minētās sedzamās izmaksas nepārsniedz izmaksas, kas ir nepieciešamas, lai tajos minētos pakalpojumus sniegtu izmaksu ziņā optimālā veidā, un attiecīgie dalībnieki tās nosaka pārredzamā veidā. </t>
        </r>
        <r>
          <rPr>
            <u/>
            <sz val="9"/>
            <color indexed="81"/>
            <rFont val="Tahoma"/>
            <family val="2"/>
            <charset val="186"/>
          </rPr>
          <t>Izmaksas saistībā ar piegružojuma satīrīšanu ir ierobežotas un ietver vienīgi darbības, ko veic publiskas iestādes vai kas tiek veiktas to vārdā.</t>
        </r>
        <r>
          <rPr>
            <sz val="9"/>
            <color indexed="81"/>
            <rFont val="Tahoma"/>
            <family val="2"/>
            <charset val="186"/>
          </rPr>
          <t xml:space="preserve"> Aprēķināšanas metodiku izstrādā tā, lai izmaksas saistībā ar piegružojuma satīrīšanu varētu noteikt samērīgā veidā. Lai līdz minimumam samazinātu administratīvās izmaksas, dalībvalstis var noteikt finanšu iemaksas piegružojuma satīrīšanas izmaksām, nosakot pienācīgas fiksētas summas daudziem gadiem. 
Komisija, konsultējoties ar dalībvalstīm, publicē pamatnostādnes kritērijiem par izmaksām saistībā ar šā panta 2. un 3. punktā minētā piegružojuma satīrīšanu.</t>
        </r>
      </text>
    </comment>
    <comment ref="B12" authorId="0" shapeId="0">
      <text>
        <r>
          <rPr>
            <b/>
            <sz val="9"/>
            <color indexed="81"/>
            <rFont val="Tahoma"/>
            <family val="2"/>
            <charset val="186"/>
          </rPr>
          <t>Kristine Pakalniete:</t>
        </r>
        <r>
          <rPr>
            <sz val="9"/>
            <color indexed="81"/>
            <rFont val="Tahoma"/>
            <family val="2"/>
            <charset val="186"/>
          </rPr>
          <t xml:space="preserve">
8.panta 8.punkts:
8. Dalībvalstis nodrošina, ka attiecībā uz visiem plastmasu saturošiem zvejas rīkiem, kas laisti dalībvalsts tirgū, tiek izveidotas ražotāja paplašinātas atbildības shēmas saskaņā ar Direktīvas 2008/98/EK 8. un 8.a pantu. 
Dalībvalstis, kurām ir “jūras ūdeņi”, kā definēts Direktīvas 2008/56/EK 3. panta 1. punktā, nosaka</t>
        </r>
        <r>
          <rPr>
            <b/>
            <sz val="9"/>
            <color indexed="81"/>
            <rFont val="Tahoma"/>
            <family val="2"/>
            <charset val="186"/>
          </rPr>
          <t xml:space="preserve"> valsts minimālu ikgadēju rādītāju</t>
        </r>
        <r>
          <rPr>
            <sz val="9"/>
            <color indexed="81"/>
            <rFont val="Tahoma"/>
            <family val="2"/>
            <charset val="186"/>
          </rPr>
          <t xml:space="preserve"> par atkritumiem kļuvušu plastmasu saturošu zvejas rīku </t>
        </r>
        <r>
          <rPr>
            <b/>
            <sz val="9"/>
            <color indexed="81"/>
            <rFont val="Tahoma"/>
            <family val="2"/>
            <charset val="186"/>
          </rPr>
          <t>savākšanai pārstrādes nolūkā</t>
        </r>
        <r>
          <rPr>
            <sz val="9"/>
            <color indexed="81"/>
            <rFont val="Tahoma"/>
            <family val="2"/>
            <charset val="186"/>
          </rPr>
          <t xml:space="preserve">.
9. Attiecībā uz ražotāja paplašinātas atbildības shēmām, kas izveidotas saskaņā ar šā panta 8. punktu, dalībvalstis nodrošina, ka plastmasu saturošu zvejas rīku ražotāji sedz izmaksas par tādu par atkritumiem kļuvušu plastmasu saturošu zvejas rīku </t>
        </r>
        <r>
          <rPr>
            <b/>
            <sz val="9"/>
            <color indexed="81"/>
            <rFont val="Tahoma"/>
            <family val="2"/>
            <charset val="186"/>
          </rPr>
          <t>dalītu savākšanu</t>
        </r>
        <r>
          <rPr>
            <sz val="9"/>
            <color indexed="81"/>
            <rFont val="Tahoma"/>
            <family val="2"/>
            <charset val="186"/>
          </rPr>
          <t xml:space="preserve">, kas nogādāti pienācīgās ostas atkritumu pieņemšanas iekārtās saskaņā ar Direktīvu (ES) 2019/883 vai citās līdzvērtīgās savākšanas sistēmās, uz ko neattiecas minētā direktīva, un izmaksas par to </t>
        </r>
        <r>
          <rPr>
            <b/>
            <sz val="9"/>
            <color indexed="81"/>
            <rFont val="Tahoma"/>
            <family val="2"/>
            <charset val="186"/>
          </rPr>
          <t>pēcāku transportēšanu un apstrādi</t>
        </r>
        <r>
          <rPr>
            <sz val="9"/>
            <color indexed="81"/>
            <rFont val="Tahoma"/>
            <family val="2"/>
            <charset val="186"/>
          </rPr>
          <t xml:space="preserve">. Ražotāji sedz arī izmaksas par 10. pantā minētajiem </t>
        </r>
        <r>
          <rPr>
            <b/>
            <sz val="9"/>
            <color indexed="81"/>
            <rFont val="Tahoma"/>
            <family val="2"/>
            <charset val="186"/>
          </rPr>
          <t>informētības vairošanas pasākumiem</t>
        </r>
        <r>
          <rPr>
            <sz val="9"/>
            <color indexed="81"/>
            <rFont val="Tahoma"/>
            <family val="2"/>
            <charset val="186"/>
          </rPr>
          <t xml:space="preserve"> attiecībā uz plastmasu saturošiem zvejas rīkiem.</t>
        </r>
      </text>
    </comment>
    <comment ref="D14" authorId="0" shapeId="0">
      <text>
        <r>
          <rPr>
            <b/>
            <sz val="9"/>
            <color indexed="81"/>
            <rFont val="Tahoma"/>
            <family val="2"/>
            <charset val="186"/>
          </rPr>
          <t>Kristine Pakalniete:</t>
        </r>
        <r>
          <rPr>
            <sz val="9"/>
            <color indexed="81"/>
            <rFont val="Tahoma"/>
            <family val="2"/>
            <charset val="186"/>
          </rPr>
          <t xml:space="preserve">
Direktīvas izstrādājumu sarakstā (G daļā) ir iekļautas higiēnas izstrādājumi. Bet likumā tie nav iekļauti izstrādājumu sarakstā, uz kuriem attiecas šī prasība.
</t>
        </r>
        <r>
          <rPr>
            <u/>
            <sz val="9"/>
            <color indexed="81"/>
            <rFont val="Tahoma"/>
            <family val="2"/>
            <charset val="186"/>
          </rPr>
          <t>Likuma 13. pants. Patērētāja informēšanas pienākums</t>
        </r>
        <r>
          <rPr>
            <sz val="9"/>
            <color indexed="81"/>
            <rFont val="Tahoma"/>
            <family val="2"/>
            <charset val="186"/>
          </rPr>
          <t xml:space="preserve">
Ražotājs, kas laiž tirgū </t>
        </r>
        <r>
          <rPr>
            <u/>
            <sz val="9"/>
            <color indexed="81"/>
            <rFont val="Tahoma"/>
            <family val="2"/>
            <charset val="186"/>
          </rPr>
          <t>šā likuma 8. pantā noteiktos</t>
        </r>
        <r>
          <rPr>
            <sz val="9"/>
            <color indexed="81"/>
            <rFont val="Tahoma"/>
            <family val="2"/>
            <charset val="186"/>
          </rPr>
          <t xml:space="preserve"> vienreizlietojamus plastmasu saturošus izstrādājumus vai plastmasu saturošus zvejas rīkus, nodrošina, ka patērētājs tiek informēts par: (..) Bet 8.pantā šie izstrādājumi nav minēti.</t>
        </r>
      </text>
    </comment>
    <comment ref="D15" authorId="0" shapeId="0">
      <text>
        <r>
          <rPr>
            <b/>
            <sz val="9"/>
            <color indexed="81"/>
            <rFont val="Tahoma"/>
            <family val="2"/>
            <charset val="186"/>
          </rPr>
          <t>Kristine Pakalniete:</t>
        </r>
        <r>
          <rPr>
            <sz val="9"/>
            <color indexed="81"/>
            <rFont val="Tahoma"/>
            <family val="2"/>
            <charset val="186"/>
          </rPr>
          <t xml:space="preserve">
Netieša ietekme arī uz (ar pudelēm saistītiem) plastmasas korķiem un gredzeniem.</t>
        </r>
      </text>
    </comment>
    <comment ref="B17" authorId="0" shapeId="0">
      <text>
        <r>
          <rPr>
            <b/>
            <sz val="9"/>
            <color indexed="81"/>
            <rFont val="Tahoma"/>
            <family val="2"/>
            <charset val="186"/>
          </rPr>
          <t>Kristine Pakalniete:</t>
        </r>
        <r>
          <rPr>
            <sz val="9"/>
            <color indexed="81"/>
            <rFont val="Tahoma"/>
            <family val="2"/>
            <charset val="186"/>
          </rPr>
          <t xml:space="preserve">
Regula nosaka arī prasības/pasākumus attiecībā uz </t>
        </r>
        <r>
          <rPr>
            <b/>
            <sz val="9"/>
            <color indexed="81"/>
            <rFont val="Tahoma"/>
            <family val="2"/>
            <charset val="186"/>
          </rPr>
          <t xml:space="preserve">iepakojuma minimizēšanu. </t>
        </r>
        <r>
          <rPr>
            <sz val="9"/>
            <color indexed="81"/>
            <rFont val="Tahoma"/>
            <family val="2"/>
            <charset val="186"/>
          </rPr>
          <t>To īstenošanas termiņi ir tuvu BS perioda beigām, konkrēti nacionālie pasākumi šobrīd nav zināmi, kā arī nav noteiktas informācijas, vai šādiem pasākumiem būtu efekts uz JPA samazināšanu.
Tādēļ šīs prasības/pasākumi BS pasākumu apkopojumā nav ietverti.</t>
        </r>
      </text>
    </comment>
    <comment ref="J20" authorId="0" shapeId="0">
      <text>
        <r>
          <rPr>
            <b/>
            <sz val="9"/>
            <color indexed="81"/>
            <rFont val="Tahoma"/>
            <family val="2"/>
            <charset val="186"/>
          </rPr>
          <t>Kristine Pakalniete:</t>
        </r>
        <r>
          <rPr>
            <sz val="9"/>
            <color indexed="81"/>
            <rFont val="Tahoma"/>
            <family val="2"/>
            <charset val="186"/>
          </rPr>
          <t xml:space="preserve">
Iespējamās izmaiņas ar ļoti augstu nenoteiktību.</t>
        </r>
      </text>
    </comment>
    <comment ref="J21" authorId="0" shapeId="0">
      <text>
        <r>
          <rPr>
            <b/>
            <sz val="9"/>
            <color indexed="81"/>
            <rFont val="Tahoma"/>
            <family val="2"/>
            <charset val="186"/>
          </rPr>
          <t>Kristine Pakalniete:</t>
        </r>
        <r>
          <rPr>
            <sz val="9"/>
            <color indexed="81"/>
            <rFont val="Tahoma"/>
            <family val="2"/>
            <charset val="186"/>
          </rPr>
          <t xml:space="preserve">
Iespējamās izmaiņas ar ļoti augstu nenoteiktību.</t>
        </r>
      </text>
    </comment>
    <comment ref="G22" authorId="0" shapeId="0">
      <text>
        <r>
          <rPr>
            <b/>
            <sz val="9"/>
            <color indexed="81"/>
            <rFont val="Tahoma"/>
            <family val="2"/>
            <charset val="186"/>
          </rPr>
          <t>Kristine Pakalniete:</t>
        </r>
        <r>
          <rPr>
            <sz val="9"/>
            <color indexed="81"/>
            <rFont val="Tahoma"/>
            <family val="2"/>
            <charset val="186"/>
          </rPr>
          <t xml:space="preserve">
Avots: AKTiiVS (2022) Novērtējums riskam nesasniegt labu jūras vides stāvokli un priekšlikumi atjaunotajai jūras pasākumu programmai kvalitatīvajam raksturlielumam D10 “jūru piesārņojošie atkritumi”. ES EJZF finansēta projekta “Zināšanu uzlabošana jūras vides stāvokļa jomā” (Nr. 17-00-F06803-000001) atskaite. Pieejama https://www.varam.gov.lv/lv/media/32234/download?attachment.</t>
        </r>
      </text>
    </comment>
  </commentList>
</comments>
</file>

<file path=xl/comments3.xml><?xml version="1.0" encoding="utf-8"?>
<comments xmlns="http://schemas.openxmlformats.org/spreadsheetml/2006/main">
  <authors>
    <author>Kristine Pakalniete</author>
  </authors>
  <commentList>
    <comment ref="C3" authorId="0" shapeId="0">
      <text>
        <r>
          <rPr>
            <b/>
            <sz val="9"/>
            <color indexed="81"/>
            <rFont val="Tahoma"/>
            <family val="2"/>
            <charset val="186"/>
          </rPr>
          <t>Kristine Pakalniete:</t>
        </r>
        <r>
          <rPr>
            <sz val="9"/>
            <color indexed="81"/>
            <rFont val="Tahoma"/>
            <family val="2"/>
            <charset val="186"/>
          </rPr>
          <t xml:space="preserve">
(AKTiiVS, 2022) Administratīvie; Ekonomiskie instrumenti; Tehniskie; Informācijas; Papildinošie pasākumi.</t>
        </r>
      </text>
    </comment>
    <comment ref="D3" authorId="0" shapeId="0">
      <text>
        <r>
          <rPr>
            <b/>
            <sz val="9"/>
            <color indexed="81"/>
            <rFont val="Tahoma"/>
            <family val="2"/>
            <charset val="186"/>
          </rPr>
          <t>Kristine Pakalniete:</t>
        </r>
        <r>
          <rPr>
            <sz val="9"/>
            <color indexed="81"/>
            <rFont val="Tahoma"/>
            <family val="2"/>
            <charset val="186"/>
          </rPr>
          <t xml:space="preserve">
No JRC - Draft_Marine Litter Measures Map, 01/05/2024</t>
        </r>
      </text>
    </comment>
    <comment ref="E3" authorId="0" shapeId="0">
      <text>
        <r>
          <rPr>
            <b/>
            <sz val="9"/>
            <color indexed="81"/>
            <rFont val="Tahoma"/>
            <family val="2"/>
            <charset val="186"/>
          </rPr>
          <t>Kristine Pakalniete:</t>
        </r>
        <r>
          <rPr>
            <sz val="9"/>
            <color indexed="81"/>
            <rFont val="Tahoma"/>
            <family val="2"/>
            <charset val="186"/>
          </rPr>
          <t xml:space="preserve">
Atkritumu (piesārņojuma) plūsmas posmi (adaptēts no Saikkonen L. (2023)): 
(1) atkritumu (piesārņojuma) radīšana (R); 
(2) atkritumu apsaimniekošana (A); 
(3) atkritumu piesārņojuma plūsma (pārvietošanās) vidē (P); 
(4) atkritumu piesārņojuma savākšana no jūras vides/pludmales (S).</t>
        </r>
      </text>
    </comment>
    <comment ref="E9" authorId="0" shapeId="0">
      <text>
        <r>
          <rPr>
            <b/>
            <sz val="9"/>
            <color indexed="81"/>
            <rFont val="Tahoma"/>
            <family val="2"/>
            <charset val="186"/>
          </rPr>
          <t>Kristine Pakalniete:</t>
        </r>
        <r>
          <rPr>
            <sz val="9"/>
            <color indexed="81"/>
            <rFont val="Tahoma"/>
            <family val="2"/>
            <charset val="186"/>
          </rPr>
          <t xml:space="preserve">
1 Izglītošanas pasākumiem.
4 pasākumiem atkritumu piesārņojuma aizvākšanai no vides (RAS ietver arī uzkopšanas pasākumu izmaksu segšanu).</t>
        </r>
      </text>
    </comment>
    <comment ref="E10" authorId="0" shapeId="0">
      <text>
        <r>
          <rPr>
            <b/>
            <sz val="9"/>
            <color indexed="81"/>
            <rFont val="Tahoma"/>
            <family val="2"/>
            <charset val="186"/>
          </rPr>
          <t>Kristine Pakalniete:</t>
        </r>
        <r>
          <rPr>
            <sz val="9"/>
            <color indexed="81"/>
            <rFont val="Tahoma"/>
            <family val="2"/>
            <charset val="186"/>
          </rPr>
          <t xml:space="preserve">
1 Izglītošanas pasākumiem.
4 pasākumiem atkritumu piesārņojuma aizvākšanai no vides (RAS ietver arī uzkopšanas pasākumu izmaksu segšanu).</t>
        </r>
      </text>
    </comment>
    <comment ref="E18" authorId="0" shapeId="0">
      <text>
        <r>
          <rPr>
            <b/>
            <sz val="9"/>
            <color indexed="81"/>
            <rFont val="Tahoma"/>
            <family val="2"/>
            <charset val="186"/>
          </rPr>
          <t>Kristine Pakalniete:</t>
        </r>
        <r>
          <rPr>
            <sz val="9"/>
            <color indexed="81"/>
            <rFont val="Tahoma"/>
            <family val="2"/>
            <charset val="186"/>
          </rPr>
          <t xml:space="preserve">
1 izglītošanas u.c. preventīvajiem JPA pasākumiem;
2 atkritumu infrastruktūras apsaimniekošanas pasākumiem;
4 pludmaļu tīrīšanas pasākumiem.</t>
        </r>
      </text>
    </comment>
  </commentList>
</comments>
</file>

<file path=xl/comments4.xml><?xml version="1.0" encoding="utf-8"?>
<comments xmlns="http://schemas.openxmlformats.org/spreadsheetml/2006/main">
  <authors>
    <author>Kristine Pakalniete</author>
  </authors>
  <commentList>
    <comment ref="BE2" authorId="0" shapeId="0">
      <text>
        <r>
          <rPr>
            <b/>
            <sz val="9"/>
            <color indexed="81"/>
            <rFont val="Tahoma"/>
            <family val="2"/>
            <charset val="186"/>
          </rPr>
          <t>Kristine Pakalniete:</t>
        </r>
        <r>
          <rPr>
            <sz val="9"/>
            <color indexed="81"/>
            <rFont val="Tahoma"/>
            <family val="2"/>
            <charset val="186"/>
          </rPr>
          <t xml:space="preserve">
Nav TOP 15 frakcijās, bet ir BS pasākumi šīm frakcijām</t>
        </r>
      </text>
    </comment>
    <comment ref="BJ2" authorId="0" shapeId="0">
      <text>
        <r>
          <rPr>
            <b/>
            <sz val="9"/>
            <color indexed="81"/>
            <rFont val="Tahoma"/>
            <family val="2"/>
            <charset val="186"/>
          </rPr>
          <t>Kristine Pakalniete:</t>
        </r>
        <r>
          <rPr>
            <sz val="9"/>
            <color indexed="81"/>
            <rFont val="Tahoma"/>
            <family val="2"/>
            <charset val="186"/>
          </rPr>
          <t xml:space="preserve">
Ar pasākumu aptverto atkritumu veidu īpatsvars kopējā a.v. skaitā (%).</t>
        </r>
      </text>
    </comment>
    <comment ref="AH4" authorId="0" shapeId="0">
      <text>
        <r>
          <rPr>
            <b/>
            <sz val="9"/>
            <color indexed="81"/>
            <rFont val="Tahoma"/>
            <family val="2"/>
            <charset val="186"/>
          </rPr>
          <t>Kristine Pakalniete:</t>
        </r>
        <r>
          <rPr>
            <sz val="9"/>
            <color indexed="81"/>
            <rFont val="Tahoma"/>
            <family val="2"/>
            <charset val="186"/>
          </rPr>
          <t xml:space="preserve">
UNEP protokolā nav atsevišķi izdalīta koda.</t>
        </r>
      </text>
    </comment>
    <comment ref="AG6" authorId="0" shapeId="0">
      <text>
        <r>
          <rPr>
            <b/>
            <sz val="9"/>
            <color indexed="81"/>
            <rFont val="Tahoma"/>
            <family val="2"/>
            <charset val="186"/>
          </rPr>
          <t>Kristine Pakalniete:</t>
        </r>
        <r>
          <rPr>
            <sz val="9"/>
            <color indexed="81"/>
            <rFont val="Tahoma"/>
            <family val="2"/>
            <charset val="186"/>
          </rPr>
          <t xml:space="preserve">
UNEP periodā nav TOP15.</t>
        </r>
      </text>
    </comment>
    <comment ref="BD6" authorId="0" shapeId="0">
      <text>
        <r>
          <rPr>
            <b/>
            <sz val="9"/>
            <color indexed="81"/>
            <rFont val="Tahoma"/>
            <family val="2"/>
            <charset val="186"/>
          </rPr>
          <t>Kristine Pakalniete:</t>
        </r>
        <r>
          <rPr>
            <sz val="9"/>
            <color indexed="81"/>
            <rFont val="Tahoma"/>
            <family val="2"/>
            <charset val="186"/>
          </rPr>
          <t xml:space="preserve">
UNEP periodā nav TOP15.</t>
        </r>
      </text>
    </comment>
    <comment ref="O8" authorId="0" shapeId="0">
      <text>
        <r>
          <rPr>
            <b/>
            <sz val="9"/>
            <color indexed="81"/>
            <rFont val="Tahoma"/>
            <family val="2"/>
            <charset val="186"/>
          </rPr>
          <t>Kristine Pakalniete:</t>
        </r>
        <r>
          <rPr>
            <sz val="9"/>
            <color indexed="81"/>
            <rFont val="Tahoma"/>
            <family val="2"/>
            <charset val="186"/>
          </rPr>
          <t xml:space="preserve">
Vieglās plastmasas maisiņi (produktu iepakošanai)</t>
        </r>
      </text>
    </comment>
    <comment ref="BH9" authorId="0" shapeId="0">
      <text>
        <r>
          <rPr>
            <b/>
            <sz val="9"/>
            <color indexed="81"/>
            <rFont val="Tahoma"/>
            <family val="2"/>
            <charset val="186"/>
          </rPr>
          <t>Kristine Pakalniete:</t>
        </r>
        <r>
          <rPr>
            <sz val="9"/>
            <color indexed="81"/>
            <rFont val="Tahoma"/>
            <family val="2"/>
            <charset val="186"/>
          </rPr>
          <t xml:space="preserve">
Mitrajām salvetēm iespējams ielikt tikai 2023. gada vidējo, jo iepriekš nebija atsevišķa koda</t>
        </r>
      </text>
    </comment>
    <comment ref="BJ11" authorId="0" shapeId="0">
      <text>
        <r>
          <rPr>
            <b/>
            <sz val="9"/>
            <color indexed="81"/>
            <rFont val="Tahoma"/>
            <family val="2"/>
            <charset val="186"/>
          </rPr>
          <t>Kristine Pakalniete:</t>
        </r>
        <r>
          <rPr>
            <sz val="9"/>
            <color indexed="81"/>
            <rFont val="Tahoma"/>
            <family val="2"/>
            <charset val="186"/>
          </rPr>
          <t xml:space="preserve">
BSPas1+2.</t>
        </r>
      </text>
    </comment>
    <comment ref="BJ12" authorId="0" shapeId="0">
      <text>
        <r>
          <rPr>
            <b/>
            <sz val="9"/>
            <color indexed="81"/>
            <rFont val="Tahoma"/>
            <family val="2"/>
            <charset val="186"/>
          </rPr>
          <t>Kristine Pakalniete:</t>
        </r>
        <r>
          <rPr>
            <sz val="9"/>
            <color indexed="81"/>
            <rFont val="Tahoma"/>
            <family val="2"/>
            <charset val="186"/>
          </rPr>
          <t xml:space="preserve">
BSPas1+2.</t>
        </r>
      </text>
    </comment>
    <comment ref="O15" authorId="0" shapeId="0">
      <text>
        <r>
          <rPr>
            <b/>
            <sz val="9"/>
            <color indexed="81"/>
            <rFont val="Tahoma"/>
            <family val="2"/>
            <charset val="186"/>
          </rPr>
          <t>Kristine Pakalniete:</t>
        </r>
        <r>
          <rPr>
            <sz val="9"/>
            <color indexed="81"/>
            <rFont val="Tahoma"/>
            <family val="2"/>
            <charset val="186"/>
          </rPr>
          <t xml:space="preserve">
Pasākumus drīkst nepiemērot ļoti vieglās plastmasas maisiņiem.
Monitoringa datos nav iespējams izdalīt vieglās un ļoti vieglās plastmasas maisiņu proporciju. Pieņemts pēc sadalījuma plastmasas maisiņu patēriņa datos - ļoti vieglās plastmasas maisiņi veido ~ 80 % no visu vieglās plastmasas maisiņu patēriņa (pēc skaita uz 1 iedzīvotāju).</t>
        </r>
      </text>
    </comment>
    <comment ref="M21" authorId="0" shapeId="0">
      <text>
        <r>
          <rPr>
            <b/>
            <sz val="9"/>
            <color indexed="81"/>
            <rFont val="Tahoma"/>
            <family val="2"/>
            <charset val="186"/>
          </rPr>
          <t>Kristine Pakalniete:</t>
        </r>
        <r>
          <rPr>
            <sz val="9"/>
            <color indexed="81"/>
            <rFont val="Tahoma"/>
            <family val="2"/>
            <charset val="186"/>
          </rPr>
          <t xml:space="preserve">
izņēmums - ražošanās līnijās iepakotie.</t>
        </r>
      </text>
    </comment>
    <comment ref="BH29" authorId="0" shapeId="0">
      <text>
        <r>
          <rPr>
            <b/>
            <sz val="9"/>
            <color indexed="81"/>
            <rFont val="Tahoma"/>
            <family val="2"/>
            <charset val="186"/>
          </rPr>
          <t>Kristine Pakalniete:</t>
        </r>
        <r>
          <rPr>
            <sz val="9"/>
            <color indexed="81"/>
            <rFont val="Tahoma"/>
            <family val="2"/>
            <charset val="186"/>
          </rPr>
          <t xml:space="preserve">
UNEP datos nav atsevišķi izdalāms.</t>
        </r>
      </text>
    </comment>
    <comment ref="BH38" authorId="0" shapeId="0">
      <text>
        <r>
          <rPr>
            <b/>
            <sz val="9"/>
            <color indexed="81"/>
            <rFont val="Tahoma"/>
            <family val="2"/>
            <charset val="186"/>
          </rPr>
          <t>Kristine Pakalniete:</t>
        </r>
        <r>
          <rPr>
            <sz val="9"/>
            <color indexed="81"/>
            <rFont val="Tahoma"/>
            <family val="2"/>
            <charset val="186"/>
          </rPr>
          <t xml:space="preserve">
UNEP datos nav atsevišķi izdalāms.</t>
        </r>
      </text>
    </comment>
  </commentList>
</comments>
</file>

<file path=xl/comments5.xml><?xml version="1.0" encoding="utf-8"?>
<comments xmlns="http://schemas.openxmlformats.org/spreadsheetml/2006/main">
  <authors>
    <author>Kristine Pakalniete</author>
  </authors>
  <commentList>
    <comment ref="I6" authorId="0" shapeId="0">
      <text>
        <r>
          <rPr>
            <b/>
            <sz val="9"/>
            <color indexed="81"/>
            <rFont val="Tahoma"/>
            <family val="2"/>
            <charset val="186"/>
          </rPr>
          <t>Kristine Pakalniete:</t>
        </r>
        <r>
          <rPr>
            <sz val="9"/>
            <color indexed="81"/>
            <rFont val="Tahoma"/>
            <family val="2"/>
            <charset val="186"/>
          </rPr>
          <t xml:space="preserve">
Pēc UNEP kodiem un atkritumu frakcijas īpatsvara.</t>
        </r>
      </text>
    </comment>
    <comment ref="J7" authorId="0" shapeId="0">
      <text>
        <r>
          <rPr>
            <b/>
            <sz val="9"/>
            <color indexed="81"/>
            <rFont val="Tahoma"/>
            <family val="2"/>
            <charset val="186"/>
          </rPr>
          <t>Kristine Pakalniete:</t>
        </r>
        <r>
          <rPr>
            <sz val="9"/>
            <color indexed="81"/>
            <rFont val="Tahoma"/>
            <family val="2"/>
            <charset val="186"/>
          </rPr>
          <t xml:space="preserve">
Bez jūras avotiem</t>
        </r>
      </text>
    </comment>
    <comment ref="K7" authorId="0" shapeId="0">
      <text>
        <r>
          <rPr>
            <b/>
            <sz val="9"/>
            <color indexed="81"/>
            <rFont val="Tahoma"/>
            <family val="2"/>
            <charset val="186"/>
          </rPr>
          <t>Kristine Pakalniete:</t>
        </r>
        <r>
          <rPr>
            <sz val="9"/>
            <color indexed="81"/>
            <rFont val="Tahoma"/>
            <family val="2"/>
            <charset val="186"/>
          </rPr>
          <t xml:space="preserve">
Bez jūras avotiem</t>
        </r>
      </text>
    </comment>
    <comment ref="L7" authorId="0" shapeId="0">
      <text>
        <r>
          <rPr>
            <b/>
            <sz val="9"/>
            <color indexed="81"/>
            <rFont val="Tahoma"/>
            <family val="2"/>
            <charset val="186"/>
          </rPr>
          <t>Kristine Pakalniete:</t>
        </r>
        <r>
          <rPr>
            <sz val="9"/>
            <color indexed="81"/>
            <rFont val="Tahoma"/>
            <family val="2"/>
            <charset val="186"/>
          </rPr>
          <t xml:space="preserve">
Bez jūras avotiem</t>
        </r>
      </text>
    </comment>
    <comment ref="M7" authorId="0" shapeId="0">
      <text>
        <r>
          <rPr>
            <b/>
            <sz val="9"/>
            <color indexed="81"/>
            <rFont val="Tahoma"/>
            <family val="2"/>
            <charset val="186"/>
          </rPr>
          <t>Kristine Pakalniete:</t>
        </r>
        <r>
          <rPr>
            <sz val="9"/>
            <color indexed="81"/>
            <rFont val="Tahoma"/>
            <family val="2"/>
            <charset val="186"/>
          </rPr>
          <t xml:space="preserve">
Vienots efekta vērtījums visiem šiem pasākumiem vienas frakcijas ietvaros.</t>
        </r>
      </text>
    </comment>
    <comment ref="J9" authorId="0" shapeId="0">
      <text>
        <r>
          <rPr>
            <b/>
            <sz val="9"/>
            <color indexed="81"/>
            <rFont val="Tahoma"/>
            <family val="2"/>
            <charset val="186"/>
          </rPr>
          <t>Kristine Pakalniete:</t>
        </r>
        <r>
          <rPr>
            <sz val="9"/>
            <color indexed="81"/>
            <rFont val="Tahoma"/>
            <family val="2"/>
            <charset val="186"/>
          </rPr>
          <t xml:space="preserve">
Bez jūras avotiem</t>
        </r>
      </text>
    </comment>
    <comment ref="K9" authorId="0" shapeId="0">
      <text>
        <r>
          <rPr>
            <b/>
            <sz val="9"/>
            <color indexed="81"/>
            <rFont val="Tahoma"/>
            <family val="2"/>
            <charset val="186"/>
          </rPr>
          <t>Kristine Pakalniete:</t>
        </r>
        <r>
          <rPr>
            <sz val="9"/>
            <color indexed="81"/>
            <rFont val="Tahoma"/>
            <family val="2"/>
            <charset val="186"/>
          </rPr>
          <t xml:space="preserve">
Bez jūras avotiem</t>
        </r>
      </text>
    </comment>
    <comment ref="L9" authorId="0" shapeId="0">
      <text>
        <r>
          <rPr>
            <b/>
            <sz val="9"/>
            <color indexed="81"/>
            <rFont val="Tahoma"/>
            <family val="2"/>
            <charset val="186"/>
          </rPr>
          <t>Kristine Pakalniete:</t>
        </r>
        <r>
          <rPr>
            <sz val="9"/>
            <color indexed="81"/>
            <rFont val="Tahoma"/>
            <family val="2"/>
            <charset val="186"/>
          </rPr>
          <t xml:space="preserve">
Bez jūras avotiem</t>
        </r>
      </text>
    </comment>
    <comment ref="B10" authorId="0" shapeId="0">
      <text>
        <r>
          <rPr>
            <b/>
            <sz val="9"/>
            <color indexed="81"/>
            <rFont val="Tahoma"/>
            <family val="2"/>
            <charset val="186"/>
          </rPr>
          <t>Kristine Pakalniete:</t>
        </r>
        <r>
          <rPr>
            <sz val="9"/>
            <color indexed="81"/>
            <rFont val="Tahoma"/>
            <family val="2"/>
            <charset val="186"/>
          </rPr>
          <t xml:space="preserve">
Ietekmē 2 dažādas frakcijas.
10.rinda korķīšiem.
11.rinda gredzeniem.</t>
        </r>
      </text>
    </comment>
    <comment ref="J10" authorId="0" shapeId="0">
      <text>
        <r>
          <rPr>
            <b/>
            <sz val="9"/>
            <color indexed="81"/>
            <rFont val="Tahoma"/>
            <family val="2"/>
            <charset val="186"/>
          </rPr>
          <t>Kristine Pakalniete:</t>
        </r>
        <r>
          <rPr>
            <sz val="9"/>
            <color indexed="81"/>
            <rFont val="Tahoma"/>
            <family val="2"/>
            <charset val="186"/>
          </rPr>
          <t xml:space="preserve">
Bez jūras avotiem</t>
        </r>
      </text>
    </comment>
    <comment ref="K10" authorId="0" shapeId="0">
      <text>
        <r>
          <rPr>
            <b/>
            <sz val="9"/>
            <color indexed="81"/>
            <rFont val="Tahoma"/>
            <family val="2"/>
            <charset val="186"/>
          </rPr>
          <t>Kristine Pakalniete:</t>
        </r>
        <r>
          <rPr>
            <sz val="9"/>
            <color indexed="81"/>
            <rFont val="Tahoma"/>
            <family val="2"/>
            <charset val="186"/>
          </rPr>
          <t xml:space="preserve">
Bez jūras avotiem</t>
        </r>
      </text>
    </comment>
    <comment ref="L10" authorId="0" shapeId="0">
      <text>
        <r>
          <rPr>
            <b/>
            <sz val="9"/>
            <color indexed="81"/>
            <rFont val="Tahoma"/>
            <family val="2"/>
            <charset val="186"/>
          </rPr>
          <t>Kristine Pakalniete:</t>
        </r>
        <r>
          <rPr>
            <sz val="9"/>
            <color indexed="81"/>
            <rFont val="Tahoma"/>
            <family val="2"/>
            <charset val="186"/>
          </rPr>
          <t xml:space="preserve">
Bez jūras avotiem</t>
        </r>
      </text>
    </comment>
    <comment ref="J11" authorId="0" shapeId="0">
      <text>
        <r>
          <rPr>
            <b/>
            <sz val="9"/>
            <color indexed="81"/>
            <rFont val="Tahoma"/>
            <family val="2"/>
            <charset val="186"/>
          </rPr>
          <t>Kristine Pakalniete:</t>
        </r>
        <r>
          <rPr>
            <sz val="9"/>
            <color indexed="81"/>
            <rFont val="Tahoma"/>
            <family val="2"/>
            <charset val="186"/>
          </rPr>
          <t xml:space="preserve">
Bez jūras avotiem</t>
        </r>
      </text>
    </comment>
    <comment ref="K11" authorId="0" shapeId="0">
      <text>
        <r>
          <rPr>
            <b/>
            <sz val="9"/>
            <color indexed="81"/>
            <rFont val="Tahoma"/>
            <family val="2"/>
            <charset val="186"/>
          </rPr>
          <t>Kristine Pakalniete:</t>
        </r>
        <r>
          <rPr>
            <sz val="9"/>
            <color indexed="81"/>
            <rFont val="Tahoma"/>
            <family val="2"/>
            <charset val="186"/>
          </rPr>
          <t xml:space="preserve">
Bez jūras avotiem</t>
        </r>
      </text>
    </comment>
    <comment ref="L11" authorId="0" shapeId="0">
      <text>
        <r>
          <rPr>
            <b/>
            <sz val="9"/>
            <color indexed="81"/>
            <rFont val="Tahoma"/>
            <family val="2"/>
            <charset val="186"/>
          </rPr>
          <t>Kristine Pakalniete:</t>
        </r>
        <r>
          <rPr>
            <sz val="9"/>
            <color indexed="81"/>
            <rFont val="Tahoma"/>
            <family val="2"/>
            <charset val="186"/>
          </rPr>
          <t xml:space="preserve">
Bez jūras avotiem</t>
        </r>
      </text>
    </comment>
    <comment ref="J12" authorId="0" shapeId="0">
      <text>
        <r>
          <rPr>
            <b/>
            <sz val="9"/>
            <color indexed="81"/>
            <rFont val="Tahoma"/>
            <family val="2"/>
            <charset val="186"/>
          </rPr>
          <t>Kristine Pakalniete:</t>
        </r>
        <r>
          <rPr>
            <sz val="9"/>
            <color indexed="81"/>
            <rFont val="Tahoma"/>
            <family val="2"/>
            <charset val="186"/>
          </rPr>
          <t xml:space="preserve">
Bez jūras avotiem</t>
        </r>
      </text>
    </comment>
    <comment ref="K12" authorId="0" shapeId="0">
      <text>
        <r>
          <rPr>
            <b/>
            <sz val="9"/>
            <color indexed="81"/>
            <rFont val="Tahoma"/>
            <family val="2"/>
            <charset val="186"/>
          </rPr>
          <t>Kristine Pakalniete:</t>
        </r>
        <r>
          <rPr>
            <sz val="9"/>
            <color indexed="81"/>
            <rFont val="Tahoma"/>
            <family val="2"/>
            <charset val="186"/>
          </rPr>
          <t xml:space="preserve">
Bez jūras avotiem</t>
        </r>
      </text>
    </comment>
    <comment ref="L12" authorId="0" shapeId="0">
      <text>
        <r>
          <rPr>
            <b/>
            <sz val="9"/>
            <color indexed="81"/>
            <rFont val="Tahoma"/>
            <family val="2"/>
            <charset val="186"/>
          </rPr>
          <t>Kristine Pakalniete:</t>
        </r>
        <r>
          <rPr>
            <sz val="9"/>
            <color indexed="81"/>
            <rFont val="Tahoma"/>
            <family val="2"/>
            <charset val="186"/>
          </rPr>
          <t xml:space="preserve">
Bez jūras avotiem</t>
        </r>
      </text>
    </comment>
    <comment ref="M12" authorId="0" shapeId="0">
      <text>
        <r>
          <rPr>
            <b/>
            <sz val="9"/>
            <color indexed="81"/>
            <rFont val="Tahoma"/>
            <family val="2"/>
            <charset val="186"/>
          </rPr>
          <t>Kristine Pakalniete:</t>
        </r>
        <r>
          <rPr>
            <sz val="9"/>
            <color indexed="81"/>
            <rFont val="Tahoma"/>
            <family val="2"/>
            <charset val="186"/>
          </rPr>
          <t xml:space="preserve">
Vienots efekta vērtījums visiem šiem pasākumiem vienas frakcijas ietvaros.</t>
        </r>
      </text>
    </comment>
    <comment ref="B13" authorId="0" shapeId="0">
      <text>
        <r>
          <rPr>
            <b/>
            <sz val="9"/>
            <color indexed="81"/>
            <rFont val="Tahoma"/>
            <family val="2"/>
            <charset val="186"/>
          </rPr>
          <t>Kristine Pakalniete:</t>
        </r>
        <r>
          <rPr>
            <sz val="9"/>
            <color indexed="81"/>
            <rFont val="Tahoma"/>
            <family val="2"/>
            <charset val="186"/>
          </rPr>
          <t xml:space="preserve">
Ietekmē 2 dažādas frakcijas. Izmanoti dati tikai balonu frakcijai. Jo mitrās salvetes UNEP kodos nav atsevišķi izdalāmas.</t>
        </r>
      </text>
    </comment>
    <comment ref="J13" authorId="0" shapeId="0">
      <text>
        <r>
          <rPr>
            <b/>
            <sz val="9"/>
            <color indexed="81"/>
            <rFont val="Tahoma"/>
            <family val="2"/>
            <charset val="186"/>
          </rPr>
          <t>Kristine Pakalniete:</t>
        </r>
        <r>
          <rPr>
            <sz val="9"/>
            <color indexed="81"/>
            <rFont val="Tahoma"/>
            <family val="2"/>
            <charset val="186"/>
          </rPr>
          <t xml:space="preserve">
Bez jūras avotiem</t>
        </r>
      </text>
    </comment>
    <comment ref="K13" authorId="0" shapeId="0">
      <text>
        <r>
          <rPr>
            <b/>
            <sz val="9"/>
            <color indexed="81"/>
            <rFont val="Tahoma"/>
            <family val="2"/>
            <charset val="186"/>
          </rPr>
          <t>Kristine Pakalniete:</t>
        </r>
        <r>
          <rPr>
            <sz val="9"/>
            <color indexed="81"/>
            <rFont val="Tahoma"/>
            <family val="2"/>
            <charset val="186"/>
          </rPr>
          <t xml:space="preserve">
Bez jūras avotiem</t>
        </r>
      </text>
    </comment>
    <comment ref="L13" authorId="0" shapeId="0">
      <text>
        <r>
          <rPr>
            <b/>
            <sz val="9"/>
            <color indexed="81"/>
            <rFont val="Tahoma"/>
            <family val="2"/>
            <charset val="186"/>
          </rPr>
          <t>Kristine Pakalniete:</t>
        </r>
        <r>
          <rPr>
            <sz val="9"/>
            <color indexed="81"/>
            <rFont val="Tahoma"/>
            <family val="2"/>
            <charset val="186"/>
          </rPr>
          <t xml:space="preserve">
Bez jūras avotiem</t>
        </r>
      </text>
    </comment>
    <comment ref="M13" authorId="0" shapeId="0">
      <text>
        <r>
          <rPr>
            <b/>
            <sz val="9"/>
            <color indexed="81"/>
            <rFont val="Tahoma"/>
            <family val="2"/>
            <charset val="186"/>
          </rPr>
          <t>Kristine Pakalniete:</t>
        </r>
        <r>
          <rPr>
            <sz val="9"/>
            <color indexed="81"/>
            <rFont val="Tahoma"/>
            <family val="2"/>
            <charset val="186"/>
          </rPr>
          <t xml:space="preserve">
Vienots efekta vērtījums visiem šiem pasākumiem vienas frakcijas ietvaros.</t>
        </r>
      </text>
    </comment>
    <comment ref="J14" authorId="0" shapeId="0">
      <text>
        <r>
          <rPr>
            <b/>
            <sz val="9"/>
            <color indexed="81"/>
            <rFont val="Tahoma"/>
            <family val="2"/>
            <charset val="186"/>
          </rPr>
          <t>Kristine Pakalniete:</t>
        </r>
        <r>
          <rPr>
            <sz val="9"/>
            <color indexed="81"/>
            <rFont val="Tahoma"/>
            <family val="2"/>
            <charset val="186"/>
          </rPr>
          <t xml:space="preserve">
Tikai jūras avotiem (zvejniecība)</t>
        </r>
      </text>
    </comment>
    <comment ref="K14" authorId="0" shapeId="0">
      <text>
        <r>
          <rPr>
            <b/>
            <sz val="9"/>
            <color indexed="81"/>
            <rFont val="Tahoma"/>
            <family val="2"/>
            <charset val="186"/>
          </rPr>
          <t>Kristine Pakalniete:</t>
        </r>
        <r>
          <rPr>
            <sz val="9"/>
            <color indexed="81"/>
            <rFont val="Tahoma"/>
            <family val="2"/>
            <charset val="186"/>
          </rPr>
          <t xml:space="preserve">
Tikai jūras avotiem (zvejniecība)</t>
        </r>
      </text>
    </comment>
    <comment ref="L14" authorId="0" shapeId="0">
      <text>
        <r>
          <rPr>
            <b/>
            <sz val="9"/>
            <color indexed="81"/>
            <rFont val="Tahoma"/>
            <family val="2"/>
            <charset val="186"/>
          </rPr>
          <t>Kristine Pakalniete:</t>
        </r>
        <r>
          <rPr>
            <sz val="9"/>
            <color indexed="81"/>
            <rFont val="Tahoma"/>
            <family val="2"/>
            <charset val="186"/>
          </rPr>
          <t xml:space="preserve">
Tikai jūras avotiem (zvejniecība)</t>
        </r>
      </text>
    </comment>
    <comment ref="M14" authorId="0" shapeId="0">
      <text>
        <r>
          <rPr>
            <b/>
            <sz val="9"/>
            <color indexed="81"/>
            <rFont val="Tahoma"/>
            <family val="2"/>
            <charset val="186"/>
          </rPr>
          <t>Kristine Pakalniete:</t>
        </r>
        <r>
          <rPr>
            <sz val="9"/>
            <color indexed="81"/>
            <rFont val="Tahoma"/>
            <family val="2"/>
            <charset val="186"/>
          </rPr>
          <t xml:space="preserve">
Šai frakcijai nav citu (plūsmas posmu) pasākumu.</t>
        </r>
      </text>
    </comment>
    <comment ref="B15" authorId="0" shapeId="0">
      <text>
        <r>
          <rPr>
            <b/>
            <sz val="9"/>
            <color indexed="81"/>
            <rFont val="Tahoma"/>
            <family val="2"/>
            <charset val="186"/>
          </rPr>
          <t>Kristine Pakalniete:</t>
        </r>
        <r>
          <rPr>
            <sz val="9"/>
            <color indexed="81"/>
            <rFont val="Tahoma"/>
            <family val="2"/>
            <charset val="186"/>
          </rPr>
          <t xml:space="preserve">
Ietekmē dažādas frakcijas (ar dažādu efektu).
15.rinda tarai.
16.rinda korķīšiem un gredzeniem.</t>
        </r>
      </text>
    </comment>
    <comment ref="I15" authorId="0" shapeId="0">
      <text>
        <r>
          <rPr>
            <b/>
            <sz val="9"/>
            <color indexed="81"/>
            <rFont val="Tahoma"/>
            <family val="2"/>
            <charset val="186"/>
          </rPr>
          <t>Kristine Pakalniete:</t>
        </r>
        <r>
          <rPr>
            <sz val="9"/>
            <color indexed="81"/>
            <rFont val="Tahoma"/>
            <family val="2"/>
            <charset val="186"/>
          </rPr>
          <t xml:space="preserve">
Tarai</t>
        </r>
      </text>
    </comment>
    <comment ref="J15" authorId="0" shapeId="0">
      <text>
        <r>
          <rPr>
            <b/>
            <sz val="9"/>
            <color indexed="81"/>
            <rFont val="Tahoma"/>
            <family val="2"/>
            <charset val="186"/>
          </rPr>
          <t>Kristine Pakalniete:</t>
        </r>
        <r>
          <rPr>
            <sz val="9"/>
            <color indexed="81"/>
            <rFont val="Tahoma"/>
            <family val="2"/>
            <charset val="186"/>
          </rPr>
          <t xml:space="preserve">
Bez jūras avotiem.
Tā kā frakcijas nav TOP15, tad nav izstrādāts slodzes avotu ieguldījuma novērtējums. Izmantots novērtējums slodzes avotiem plastmasas atkritumu frakcijām saistībā ar dzērienu un ēdienu iepakojumiem.</t>
        </r>
      </text>
    </comment>
    <comment ref="K15" authorId="0" shapeId="0">
      <text>
        <r>
          <rPr>
            <b/>
            <sz val="9"/>
            <color indexed="81"/>
            <rFont val="Tahoma"/>
            <family val="2"/>
            <charset val="186"/>
          </rPr>
          <t>Kristine Pakalniete:</t>
        </r>
        <r>
          <rPr>
            <sz val="9"/>
            <color indexed="81"/>
            <rFont val="Tahoma"/>
            <family val="2"/>
            <charset val="186"/>
          </rPr>
          <t xml:space="preserve">
Bez jūras avotiem.
Tā kā frakcijas nav TOP15, tad nav izstrādāts slodzes avotu ieguldījuma novērtējums. Izmantots novērtējums slodzes avotiem plastmasas atkritumu frakcijām saistībā ar dzērienu un ēdienu iepakojumiem.</t>
        </r>
      </text>
    </comment>
    <comment ref="L15" authorId="0" shapeId="0">
      <text>
        <r>
          <rPr>
            <b/>
            <sz val="9"/>
            <color indexed="81"/>
            <rFont val="Tahoma"/>
            <family val="2"/>
            <charset val="186"/>
          </rPr>
          <t>Kristine Pakalniete:</t>
        </r>
        <r>
          <rPr>
            <sz val="9"/>
            <color indexed="81"/>
            <rFont val="Tahoma"/>
            <family val="2"/>
            <charset val="186"/>
          </rPr>
          <t xml:space="preserve">
Bez jūras avotiem.
Tā kā frakcijas nav TOP15, tad nav izstrādāts slodzes avotu ieguldījuma novērtējums. Izmantots novērtējums slodzes avotiem plastmasas atkritumu frakcijām saistībā ar dzērienu un ēdienu iepakojumiem.</t>
        </r>
      </text>
    </comment>
    <comment ref="I16" authorId="0" shapeId="0">
      <text>
        <r>
          <rPr>
            <b/>
            <sz val="9"/>
            <color indexed="81"/>
            <rFont val="Tahoma"/>
            <family val="2"/>
            <charset val="186"/>
          </rPr>
          <t>Kristine Pakalniete:</t>
        </r>
        <r>
          <rPr>
            <sz val="9"/>
            <color indexed="81"/>
            <rFont val="Tahoma"/>
            <family val="2"/>
            <charset val="186"/>
          </rPr>
          <t xml:space="preserve">
Netieša ietekme uz korķīšiem.</t>
        </r>
      </text>
    </comment>
    <comment ref="J16" authorId="0" shapeId="0">
      <text>
        <r>
          <rPr>
            <b/>
            <sz val="9"/>
            <color indexed="81"/>
            <rFont val="Tahoma"/>
            <family val="2"/>
            <charset val="186"/>
          </rPr>
          <t>Kristine Pakalniete:</t>
        </r>
        <r>
          <rPr>
            <sz val="9"/>
            <color indexed="81"/>
            <rFont val="Tahoma"/>
            <family val="2"/>
            <charset val="186"/>
          </rPr>
          <t xml:space="preserve">
Bez jūras avotiem</t>
        </r>
      </text>
    </comment>
    <comment ref="K16" authorId="0" shapeId="0">
      <text>
        <r>
          <rPr>
            <b/>
            <sz val="9"/>
            <color indexed="81"/>
            <rFont val="Tahoma"/>
            <family val="2"/>
            <charset val="186"/>
          </rPr>
          <t>Kristine Pakalniete:</t>
        </r>
        <r>
          <rPr>
            <sz val="9"/>
            <color indexed="81"/>
            <rFont val="Tahoma"/>
            <family val="2"/>
            <charset val="186"/>
          </rPr>
          <t xml:space="preserve">
Bez jūras avotiem</t>
        </r>
      </text>
    </comment>
    <comment ref="L16" authorId="0" shapeId="0">
      <text>
        <r>
          <rPr>
            <b/>
            <sz val="9"/>
            <color indexed="81"/>
            <rFont val="Tahoma"/>
            <family val="2"/>
            <charset val="186"/>
          </rPr>
          <t>Kristine Pakalniete:</t>
        </r>
        <r>
          <rPr>
            <sz val="9"/>
            <color indexed="81"/>
            <rFont val="Tahoma"/>
            <family val="2"/>
            <charset val="186"/>
          </rPr>
          <t xml:space="preserve">
Bez jūras avotiem</t>
        </r>
      </text>
    </comment>
    <comment ref="J17" authorId="0" shapeId="0">
      <text>
        <r>
          <rPr>
            <b/>
            <sz val="9"/>
            <color indexed="81"/>
            <rFont val="Tahoma"/>
            <family val="2"/>
            <charset val="186"/>
          </rPr>
          <t>Kristine Pakalniete:</t>
        </r>
        <r>
          <rPr>
            <sz val="9"/>
            <color indexed="81"/>
            <rFont val="Tahoma"/>
            <family val="2"/>
            <charset val="186"/>
          </rPr>
          <t xml:space="preserve">
Bez jūras avotiem.
Pasākumu aptvertās frakcijas galvenokārt varētu būt saistītas ar "rekreācijas atkritumiem". Izmantots piekrastes rekreācijas un upju ieneses ieguldījums "rekreācijas frakcijās".</t>
        </r>
      </text>
    </comment>
    <comment ref="K17" authorId="0" shapeId="0">
      <text>
        <r>
          <rPr>
            <b/>
            <sz val="9"/>
            <color indexed="81"/>
            <rFont val="Tahoma"/>
            <family val="2"/>
            <charset val="186"/>
          </rPr>
          <t>Kristine Pakalniete:</t>
        </r>
        <r>
          <rPr>
            <sz val="9"/>
            <color indexed="81"/>
            <rFont val="Tahoma"/>
            <family val="2"/>
            <charset val="186"/>
          </rPr>
          <t xml:space="preserve">
Bez jūras avotiem.
Pasākumu aptvertās frakcijas galvenokārt varētu būt saistītas ar "rekreācijas atkritumiem". Izmantots piekrastes rekreācijas un upju ieneses ieguldījums "rekreācijas frakcijās".</t>
        </r>
      </text>
    </comment>
    <comment ref="L17" authorId="0" shapeId="0">
      <text>
        <r>
          <rPr>
            <b/>
            <sz val="9"/>
            <color indexed="81"/>
            <rFont val="Tahoma"/>
            <family val="2"/>
            <charset val="186"/>
          </rPr>
          <t>Kristine Pakalniete:</t>
        </r>
        <r>
          <rPr>
            <sz val="9"/>
            <color indexed="81"/>
            <rFont val="Tahoma"/>
            <family val="2"/>
            <charset val="186"/>
          </rPr>
          <t xml:space="preserve">
Bez jūras avotiem.
Pasākumu aptvertās frakcijas galvenokārt varētu būt saistītas ar "rekreācijas atkritumiem". Izmantots piekrastes rekreācijas un upju ieneses ieguldījums "rekreācijas frakcijās".</t>
        </r>
      </text>
    </comment>
    <comment ref="J18" authorId="0" shapeId="0">
      <text>
        <r>
          <rPr>
            <b/>
            <sz val="9"/>
            <color indexed="81"/>
            <rFont val="Tahoma"/>
            <family val="2"/>
            <charset val="186"/>
          </rPr>
          <t>Kristine Pakalniete:</t>
        </r>
        <r>
          <rPr>
            <sz val="9"/>
            <color indexed="81"/>
            <rFont val="Tahoma"/>
            <family val="2"/>
            <charset val="186"/>
          </rPr>
          <t xml:space="preserve">
Bez jūras avotiem.
Tūrisma un iekšzemes avotu ieguldījums iepakojuma atkritumos caurmērā ir 70-80%.</t>
        </r>
      </text>
    </comment>
    <comment ref="K18" authorId="0" shapeId="0">
      <text>
        <r>
          <rPr>
            <b/>
            <sz val="9"/>
            <color indexed="81"/>
            <rFont val="Tahoma"/>
            <family val="2"/>
            <charset val="186"/>
          </rPr>
          <t>Kristine Pakalniete:</t>
        </r>
        <r>
          <rPr>
            <sz val="9"/>
            <color indexed="81"/>
            <rFont val="Tahoma"/>
            <family val="2"/>
            <charset val="186"/>
          </rPr>
          <t xml:space="preserve">
Bez jūras avotiem.
Tūrisma un iekšzemes avotu ieguldījums iepakojuma atkritumos caurmērā ir 70-80%.</t>
        </r>
      </text>
    </comment>
    <comment ref="L18" authorId="0" shapeId="0">
      <text>
        <r>
          <rPr>
            <b/>
            <sz val="9"/>
            <color indexed="81"/>
            <rFont val="Tahoma"/>
            <family val="2"/>
            <charset val="186"/>
          </rPr>
          <t>Kristine Pakalniete:</t>
        </r>
        <r>
          <rPr>
            <sz val="9"/>
            <color indexed="81"/>
            <rFont val="Tahoma"/>
            <family val="2"/>
            <charset val="186"/>
          </rPr>
          <t xml:space="preserve">
Bez jūras avotiem.
Tūrisma un iekšzemes avotu ieguldījums iepakojuma atkritumos caurmērā ir 70-80%.</t>
        </r>
      </text>
    </comment>
    <comment ref="F19" authorId="0" shapeId="0">
      <text>
        <r>
          <rPr>
            <b/>
            <sz val="9"/>
            <color indexed="81"/>
            <rFont val="Tahoma"/>
            <family val="2"/>
            <charset val="186"/>
          </rPr>
          <t>Kristine Pakalniete:</t>
        </r>
        <r>
          <rPr>
            <sz val="9"/>
            <color indexed="81"/>
            <rFont val="Tahoma"/>
            <family val="2"/>
            <charset val="186"/>
          </rPr>
          <t xml:space="preserve">
Rīgas un Liepājas Urban monitoringa laukumu a.v. skaita īpatsvars frakcijām PL04+PL06 vid. 2017.-2022.g. - 31 %; 2023.-2024.g. - 21%.</t>
        </r>
      </text>
    </comment>
    <comment ref="G19" authorId="0" shapeId="0">
      <text>
        <r>
          <rPr>
            <b/>
            <sz val="9"/>
            <color indexed="81"/>
            <rFont val="Tahoma"/>
            <family val="2"/>
            <charset val="186"/>
          </rPr>
          <t>Kristine Pakalniete:</t>
        </r>
        <r>
          <rPr>
            <sz val="9"/>
            <color indexed="81"/>
            <rFont val="Tahoma"/>
            <family val="2"/>
            <charset val="186"/>
          </rPr>
          <t xml:space="preserve">
Rīgas un Liepājas Urban monitoringa laukumu a.v. skaita īpatsvars frakcijām PL04+PL06 vid. 2017.-2022.g. - 31 %; 2023.-2024.g. - 21%.</t>
        </r>
      </text>
    </comment>
    <comment ref="H19" authorId="0" shapeId="0">
      <text>
        <r>
          <rPr>
            <b/>
            <sz val="9"/>
            <color indexed="81"/>
            <rFont val="Tahoma"/>
            <family val="2"/>
            <charset val="186"/>
          </rPr>
          <t>Kristine Pakalniete:</t>
        </r>
        <r>
          <rPr>
            <sz val="9"/>
            <color indexed="81"/>
            <rFont val="Tahoma"/>
            <family val="2"/>
            <charset val="186"/>
          </rPr>
          <t xml:space="preserve">
Rīgas un Liepājas Urban monitoringa laukumu a.v. skaita īpatsvars frakcijām PL04+PL06 vid. 2017.-2022.g. - 31 %; 2023.-2024.g. - 21%.</t>
        </r>
      </text>
    </comment>
    <comment ref="J19" authorId="0" shapeId="0">
      <text>
        <r>
          <rPr>
            <b/>
            <sz val="9"/>
            <color indexed="81"/>
            <rFont val="Tahoma"/>
            <family val="2"/>
            <charset val="186"/>
          </rPr>
          <t>Kristine Pakalniete:</t>
        </r>
        <r>
          <rPr>
            <sz val="9"/>
            <color indexed="81"/>
            <rFont val="Tahoma"/>
            <family val="2"/>
            <charset val="186"/>
          </rPr>
          <t xml:space="preserve">
Bez jūras avotiem</t>
        </r>
      </text>
    </comment>
    <comment ref="K19" authorId="0" shapeId="0">
      <text>
        <r>
          <rPr>
            <b/>
            <sz val="9"/>
            <color indexed="81"/>
            <rFont val="Tahoma"/>
            <family val="2"/>
            <charset val="186"/>
          </rPr>
          <t>Kristine Pakalniete:</t>
        </r>
        <r>
          <rPr>
            <sz val="9"/>
            <color indexed="81"/>
            <rFont val="Tahoma"/>
            <family val="2"/>
            <charset val="186"/>
          </rPr>
          <t xml:space="preserve">
Bez jūras avotiem</t>
        </r>
      </text>
    </comment>
    <comment ref="L19" authorId="0" shapeId="0">
      <text>
        <r>
          <rPr>
            <b/>
            <sz val="9"/>
            <color indexed="81"/>
            <rFont val="Tahoma"/>
            <family val="2"/>
            <charset val="186"/>
          </rPr>
          <t>Kristine Pakalniete:</t>
        </r>
        <r>
          <rPr>
            <sz val="9"/>
            <color indexed="81"/>
            <rFont val="Tahoma"/>
            <family val="2"/>
            <charset val="186"/>
          </rPr>
          <t xml:space="preserve">
Bez jūras avotiem</t>
        </r>
      </text>
    </comment>
    <comment ref="B20" authorId="0" shapeId="0">
      <text>
        <r>
          <rPr>
            <b/>
            <sz val="9"/>
            <color indexed="81"/>
            <rFont val="Tahoma"/>
            <family val="2"/>
            <charset val="186"/>
          </rPr>
          <t>Kristine Pakalniete:</t>
        </r>
        <r>
          <rPr>
            <sz val="9"/>
            <color indexed="81"/>
            <rFont val="Tahoma"/>
            <family val="2"/>
            <charset val="186"/>
          </rPr>
          <t xml:space="preserve">
Efekts faktiski tikai no JVM6 PP29 Izstrādāt vadlīnijas pašvaldībām jūru piesārņojošo atkritumu samazināšanas pasākumu noteikšanai pašvaldību plānošanas/normatīvajos dokumentos.</t>
        </r>
      </text>
    </comment>
    <comment ref="F20" authorId="0" shapeId="0">
      <text>
        <r>
          <rPr>
            <b/>
            <sz val="9"/>
            <color indexed="81"/>
            <rFont val="Tahoma"/>
            <family val="2"/>
            <charset val="186"/>
          </rPr>
          <t>Kristine Pakalniete:</t>
        </r>
        <r>
          <rPr>
            <sz val="9"/>
            <color indexed="81"/>
            <rFont val="Tahoma"/>
            <family val="2"/>
            <charset val="186"/>
          </rPr>
          <t xml:space="preserve">
Visu Urban monitoringa laukumu un lielo piekrastes pilsētu Urban monitoringa laukumu a.v. skaita proporcija visām frakcijām, vid. 2017.-2024.g. ir attiecīgi ~ 50% un 45%.</t>
        </r>
      </text>
    </comment>
    <comment ref="G20" authorId="0" shapeId="0">
      <text>
        <r>
          <rPr>
            <b/>
            <sz val="9"/>
            <color indexed="81"/>
            <rFont val="Tahoma"/>
            <family val="2"/>
            <charset val="186"/>
          </rPr>
          <t>Kristine Pakalniete:</t>
        </r>
        <r>
          <rPr>
            <sz val="9"/>
            <color indexed="81"/>
            <rFont val="Tahoma"/>
            <family val="2"/>
            <charset val="186"/>
          </rPr>
          <t xml:space="preserve">
Visu Urban monitoringa laukumu un lielo piekrastes pilsētu Urban monitoringa laukumu a.v. skaita proporcija visām frakcijām, vid. 2017.-2024.g. ir attiecīgi ~ 50% un 45%.</t>
        </r>
      </text>
    </comment>
    <comment ref="J20" authorId="0" shapeId="0">
      <text>
        <r>
          <rPr>
            <b/>
            <sz val="9"/>
            <color indexed="81"/>
            <rFont val="Tahoma"/>
            <family val="2"/>
            <charset val="186"/>
          </rPr>
          <t>Kristine Pakalniete:</t>
        </r>
        <r>
          <rPr>
            <sz val="9"/>
            <color indexed="81"/>
            <rFont val="Tahoma"/>
            <family val="2"/>
            <charset val="186"/>
          </rPr>
          <t xml:space="preserve">
Bez jūras avotiem.
Pasākumu aptvertās frakcijas galvenokārt varētu būt saistītas ar "rekreācijas atkritumiem". Izmantots piekrastes rekreācijas un upju ieneses ieguldījums "rekreācijas frakcijās".</t>
        </r>
      </text>
    </comment>
    <comment ref="K20" authorId="0" shapeId="0">
      <text>
        <r>
          <rPr>
            <b/>
            <sz val="9"/>
            <color indexed="81"/>
            <rFont val="Tahoma"/>
            <family val="2"/>
            <charset val="186"/>
          </rPr>
          <t>Kristine Pakalniete:</t>
        </r>
        <r>
          <rPr>
            <sz val="9"/>
            <color indexed="81"/>
            <rFont val="Tahoma"/>
            <family val="2"/>
            <charset val="186"/>
          </rPr>
          <t xml:space="preserve">
Bez jūras avotiem.
Pasākumu aptvertās frakcijas galvenokārt varētu būt saistītas ar "rekreācijas atkritumiem". Izmantots piekrastes rekreācijas un upju ieneses ieguldījums "rekreācijas frakcijās".</t>
        </r>
      </text>
    </comment>
    <comment ref="L20" authorId="0" shapeId="0">
      <text>
        <r>
          <rPr>
            <b/>
            <sz val="9"/>
            <color indexed="81"/>
            <rFont val="Tahoma"/>
            <family val="2"/>
            <charset val="186"/>
          </rPr>
          <t>Kristine Pakalniete:</t>
        </r>
        <r>
          <rPr>
            <sz val="9"/>
            <color indexed="81"/>
            <rFont val="Tahoma"/>
            <family val="2"/>
            <charset val="186"/>
          </rPr>
          <t xml:space="preserve">
Bez jūras avotiem.
Pasākumu aptvertās frakcijas galvenokārt varētu būt saistītas ar "rekreācijas atkritumiem". Izmantots piekrastes rekreācijas un upju ieneses ieguldījums "rekreācijas frakcijās".</t>
        </r>
      </text>
    </comment>
    <comment ref="J21" authorId="0" shapeId="0">
      <text>
        <r>
          <rPr>
            <b/>
            <sz val="9"/>
            <color indexed="81"/>
            <rFont val="Tahoma"/>
            <family val="2"/>
            <charset val="186"/>
          </rPr>
          <t>Kristine Pakalniete:</t>
        </r>
        <r>
          <rPr>
            <sz val="9"/>
            <color indexed="81"/>
            <rFont val="Tahoma"/>
            <family val="2"/>
            <charset val="186"/>
          </rPr>
          <t xml:space="preserve">
Caurmēra tūrisma un iekšzemes avotu ieguldījums visās frakcijās.</t>
        </r>
      </text>
    </comment>
    <comment ref="K21" authorId="0" shapeId="0">
      <text>
        <r>
          <rPr>
            <b/>
            <sz val="9"/>
            <color indexed="81"/>
            <rFont val="Tahoma"/>
            <family val="2"/>
            <charset val="186"/>
          </rPr>
          <t>Kristine Pakalniete:</t>
        </r>
        <r>
          <rPr>
            <sz val="9"/>
            <color indexed="81"/>
            <rFont val="Tahoma"/>
            <family val="2"/>
            <charset val="186"/>
          </rPr>
          <t xml:space="preserve">
Caurmēra tūrisma un iekšzemes avotu ieguldījums visās frakcijās.</t>
        </r>
      </text>
    </comment>
    <comment ref="L21" authorId="0" shapeId="0">
      <text>
        <r>
          <rPr>
            <b/>
            <sz val="9"/>
            <color indexed="81"/>
            <rFont val="Tahoma"/>
            <family val="2"/>
            <charset val="186"/>
          </rPr>
          <t>Kristine Pakalniete:</t>
        </r>
        <r>
          <rPr>
            <sz val="9"/>
            <color indexed="81"/>
            <rFont val="Tahoma"/>
            <family val="2"/>
            <charset val="186"/>
          </rPr>
          <t xml:space="preserve">
Caurmēra tūrisma un iekšzemes avotu ieguldījums visās frakcijās.</t>
        </r>
      </text>
    </comment>
    <comment ref="I25" authorId="0" shapeId="0">
      <text>
        <r>
          <rPr>
            <b/>
            <sz val="9"/>
            <color indexed="81"/>
            <rFont val="Tahoma"/>
            <family val="2"/>
            <charset val="186"/>
          </rPr>
          <t>Kristine Pakalniete:</t>
        </r>
        <r>
          <rPr>
            <sz val="9"/>
            <color indexed="81"/>
            <rFont val="Tahoma"/>
            <family val="2"/>
            <charset val="186"/>
          </rPr>
          <t xml:space="preserve">
Pēc UNEP kodiem un atkritumu frakcijas īpatsvara.</t>
        </r>
      </text>
    </comment>
    <comment ref="J26" authorId="0" shapeId="0">
      <text>
        <r>
          <rPr>
            <b/>
            <sz val="9"/>
            <color indexed="81"/>
            <rFont val="Tahoma"/>
            <family val="2"/>
            <charset val="186"/>
          </rPr>
          <t>Kristine Pakalniete:</t>
        </r>
        <r>
          <rPr>
            <sz val="9"/>
            <color indexed="81"/>
            <rFont val="Tahoma"/>
            <family val="2"/>
            <charset val="186"/>
          </rPr>
          <t xml:space="preserve">
Bez jūras avotiem</t>
        </r>
      </text>
    </comment>
    <comment ref="K26" authorId="0" shapeId="0">
      <text>
        <r>
          <rPr>
            <b/>
            <sz val="9"/>
            <color indexed="81"/>
            <rFont val="Tahoma"/>
            <family val="2"/>
            <charset val="186"/>
          </rPr>
          <t>Kristine Pakalniete:</t>
        </r>
        <r>
          <rPr>
            <sz val="9"/>
            <color indexed="81"/>
            <rFont val="Tahoma"/>
            <family val="2"/>
            <charset val="186"/>
          </rPr>
          <t xml:space="preserve">
Bez jūras avotiem</t>
        </r>
      </text>
    </comment>
    <comment ref="L26" authorId="0" shapeId="0">
      <text>
        <r>
          <rPr>
            <b/>
            <sz val="9"/>
            <color indexed="81"/>
            <rFont val="Tahoma"/>
            <family val="2"/>
            <charset val="186"/>
          </rPr>
          <t>Kristine Pakalniete:</t>
        </r>
        <r>
          <rPr>
            <sz val="9"/>
            <color indexed="81"/>
            <rFont val="Tahoma"/>
            <family val="2"/>
            <charset val="186"/>
          </rPr>
          <t xml:space="preserve">
Bez jūras avotiem</t>
        </r>
      </text>
    </comment>
    <comment ref="M26" authorId="0" shapeId="0">
      <text>
        <r>
          <rPr>
            <b/>
            <sz val="9"/>
            <color indexed="81"/>
            <rFont val="Tahoma"/>
            <family val="2"/>
            <charset val="186"/>
          </rPr>
          <t>Kristine Pakalniete:</t>
        </r>
        <r>
          <rPr>
            <sz val="9"/>
            <color indexed="81"/>
            <rFont val="Tahoma"/>
            <family val="2"/>
            <charset val="186"/>
          </rPr>
          <t xml:space="preserve">
Vienots efekta vērtījums visiem šiem pasākumiem vienas frakcijas ietvaros.</t>
        </r>
      </text>
    </comment>
    <comment ref="F27" authorId="0" shapeId="0">
      <text>
        <r>
          <rPr>
            <b/>
            <sz val="9"/>
            <color indexed="81"/>
            <rFont val="Tahoma"/>
            <family val="2"/>
            <charset val="186"/>
          </rPr>
          <t>Kristine Pakalniete:</t>
        </r>
        <r>
          <rPr>
            <sz val="9"/>
            <color indexed="81"/>
            <rFont val="Tahoma"/>
            <family val="2"/>
            <charset val="186"/>
          </rPr>
          <t xml:space="preserve">
Jūrmalas un Ventspils Urban monitoringa laukumu a.v. skaita īpatsvars frakcijām PL04+PL06 vid. 2017.-2022.g. - 12 %; 2023.-2024.g. - 19%.</t>
        </r>
      </text>
    </comment>
    <comment ref="G27" authorId="0" shapeId="0">
      <text>
        <r>
          <rPr>
            <b/>
            <sz val="9"/>
            <color indexed="81"/>
            <rFont val="Tahoma"/>
            <family val="2"/>
            <charset val="186"/>
          </rPr>
          <t>Kristine Pakalniete:</t>
        </r>
        <r>
          <rPr>
            <sz val="9"/>
            <color indexed="81"/>
            <rFont val="Tahoma"/>
            <family val="2"/>
            <charset val="186"/>
          </rPr>
          <t xml:space="preserve">
Jūrmalas un Ventspils Urban monitoringa laukumu a.v. skaita īpatsvars frakcijām PL04+PL06 vid. 2017.-2022.g. - 12 %; 2023.-2024.g. - 19%.</t>
        </r>
      </text>
    </comment>
    <comment ref="H27" authorId="0" shapeId="0">
      <text>
        <r>
          <rPr>
            <b/>
            <sz val="9"/>
            <color indexed="81"/>
            <rFont val="Tahoma"/>
            <family val="2"/>
            <charset val="186"/>
          </rPr>
          <t>Kristine Pakalniete:</t>
        </r>
        <r>
          <rPr>
            <sz val="9"/>
            <color indexed="81"/>
            <rFont val="Tahoma"/>
            <family val="2"/>
            <charset val="186"/>
          </rPr>
          <t xml:space="preserve">
Visu Urban monitoringa laukumu a.v. skaita īpatsvars frakcijām PL04+PL06 vid. ~ 50%.</t>
        </r>
      </text>
    </comment>
    <comment ref="J27" authorId="0" shapeId="0">
      <text>
        <r>
          <rPr>
            <b/>
            <sz val="9"/>
            <color indexed="81"/>
            <rFont val="Tahoma"/>
            <family val="2"/>
            <charset val="186"/>
          </rPr>
          <t>Kristine Pakalniete:</t>
        </r>
        <r>
          <rPr>
            <sz val="9"/>
            <color indexed="81"/>
            <rFont val="Tahoma"/>
            <family val="2"/>
            <charset val="186"/>
          </rPr>
          <t xml:space="preserve">
Bez jūras avotiem</t>
        </r>
      </text>
    </comment>
    <comment ref="K27" authorId="0" shapeId="0">
      <text>
        <r>
          <rPr>
            <b/>
            <sz val="9"/>
            <color indexed="81"/>
            <rFont val="Tahoma"/>
            <family val="2"/>
            <charset val="186"/>
          </rPr>
          <t>Kristine Pakalniete:</t>
        </r>
        <r>
          <rPr>
            <sz val="9"/>
            <color indexed="81"/>
            <rFont val="Tahoma"/>
            <family val="2"/>
            <charset val="186"/>
          </rPr>
          <t xml:space="preserve">
Bez jūras avotiem</t>
        </r>
      </text>
    </comment>
    <comment ref="L27" authorId="0" shapeId="0">
      <text>
        <r>
          <rPr>
            <b/>
            <sz val="9"/>
            <color indexed="81"/>
            <rFont val="Tahoma"/>
            <family val="2"/>
            <charset val="186"/>
          </rPr>
          <t>Kristine Pakalniete:</t>
        </r>
        <r>
          <rPr>
            <sz val="9"/>
            <color indexed="81"/>
            <rFont val="Tahoma"/>
            <family val="2"/>
            <charset val="186"/>
          </rPr>
          <t xml:space="preserve">
Bez jūras avotiem</t>
        </r>
      </text>
    </comment>
    <comment ref="H28" authorId="0" shapeId="0">
      <text>
        <r>
          <rPr>
            <b/>
            <sz val="9"/>
            <color indexed="81"/>
            <rFont val="Tahoma"/>
            <family val="2"/>
            <charset val="186"/>
          </rPr>
          <t>Kristine Pakalniete:</t>
        </r>
        <r>
          <rPr>
            <sz val="9"/>
            <color indexed="81"/>
            <rFont val="Tahoma"/>
            <family val="2"/>
            <charset val="186"/>
          </rPr>
          <t xml:space="preserve">
Visu Urban monitoringa laukumu un lielo piekrastes pilsētu Urban monitoringa laukumu a.v. skaita proporcija visām frakcijām, vid. 2017.-2024.g. ir attiecīgi ~ 50% un 45%.</t>
        </r>
      </text>
    </comment>
    <comment ref="F32" authorId="0" shapeId="0">
      <text>
        <r>
          <rPr>
            <b/>
            <sz val="9"/>
            <color indexed="81"/>
            <rFont val="Tahoma"/>
            <family val="2"/>
            <charset val="186"/>
          </rPr>
          <t>Kristine Pakalniete:</t>
        </r>
        <r>
          <rPr>
            <sz val="9"/>
            <color indexed="81"/>
            <rFont val="Tahoma"/>
            <family val="2"/>
            <charset val="186"/>
          </rPr>
          <t xml:space="preserve">
Aptuvens īpatsvars kopējā a.v. skaitā visiem Urban laukumiem, kas nav ZK pludmales.</t>
        </r>
      </text>
    </comment>
    <comment ref="G32" authorId="0" shapeId="0">
      <text>
        <r>
          <rPr>
            <b/>
            <sz val="9"/>
            <color indexed="81"/>
            <rFont val="Tahoma"/>
            <family val="2"/>
            <charset val="186"/>
          </rPr>
          <t>Kristine Pakalniete:</t>
        </r>
        <r>
          <rPr>
            <sz val="9"/>
            <color indexed="81"/>
            <rFont val="Tahoma"/>
            <family val="2"/>
            <charset val="186"/>
          </rPr>
          <t xml:space="preserve">
Aptuvens īpatsvars kopējā a.v. skaitā visiem Urban laukumiem, kas nav ZK pludmales.</t>
        </r>
      </text>
    </comment>
    <comment ref="F33" authorId="0" shapeId="0">
      <text>
        <r>
          <rPr>
            <b/>
            <sz val="9"/>
            <color indexed="81"/>
            <rFont val="Tahoma"/>
            <family val="2"/>
            <charset val="186"/>
          </rPr>
          <t>Kristine Pakalniete:</t>
        </r>
        <r>
          <rPr>
            <sz val="9"/>
            <color indexed="81"/>
            <rFont val="Tahoma"/>
            <family val="2"/>
            <charset val="186"/>
          </rPr>
          <t xml:space="preserve">
Aptuvens īpatsvars kopējā a.v. skaitā visiem Urban laukumiem, kas nav ZK pludmales.</t>
        </r>
      </text>
    </comment>
    <comment ref="G33" authorId="0" shapeId="0">
      <text>
        <r>
          <rPr>
            <b/>
            <sz val="9"/>
            <color indexed="81"/>
            <rFont val="Tahoma"/>
            <family val="2"/>
            <charset val="186"/>
          </rPr>
          <t>Kristine Pakalniete:</t>
        </r>
        <r>
          <rPr>
            <sz val="9"/>
            <color indexed="81"/>
            <rFont val="Tahoma"/>
            <family val="2"/>
            <charset val="186"/>
          </rPr>
          <t xml:space="preserve">
Aptuvens īpatsvars kopējā a.v. skaitā visiem Urban laukumiem, kas nav ZK pludmales.</t>
        </r>
      </text>
    </comment>
    <comment ref="F34" authorId="0" shapeId="0">
      <text>
        <r>
          <rPr>
            <b/>
            <sz val="9"/>
            <color indexed="81"/>
            <rFont val="Tahoma"/>
            <family val="2"/>
            <charset val="186"/>
          </rPr>
          <t>Kristine Pakalniete:</t>
        </r>
        <r>
          <rPr>
            <sz val="9"/>
            <color indexed="81"/>
            <rFont val="Tahoma"/>
            <family val="2"/>
            <charset val="186"/>
          </rPr>
          <t xml:space="preserve">
Aptuvens īpatsvars kopējā a.v. skaitā visiem Urban laukumiem, kas nav ZK pludmales.</t>
        </r>
      </text>
    </comment>
    <comment ref="G34" authorId="0" shapeId="0">
      <text>
        <r>
          <rPr>
            <b/>
            <sz val="9"/>
            <color indexed="81"/>
            <rFont val="Tahoma"/>
            <family val="2"/>
            <charset val="186"/>
          </rPr>
          <t>Kristine Pakalniete:</t>
        </r>
        <r>
          <rPr>
            <sz val="9"/>
            <color indexed="81"/>
            <rFont val="Tahoma"/>
            <family val="2"/>
            <charset val="186"/>
          </rPr>
          <t xml:space="preserve">
Aptuvens īpatsvars kopējā a.v. skaitā visiem Urban laukumiem, kas nav ZK pludmales.</t>
        </r>
      </text>
    </comment>
    <comment ref="F35" authorId="0" shapeId="0">
      <text>
        <r>
          <rPr>
            <b/>
            <sz val="9"/>
            <color indexed="81"/>
            <rFont val="Tahoma"/>
            <family val="2"/>
            <charset val="186"/>
          </rPr>
          <t>Kristine Pakalniete:</t>
        </r>
        <r>
          <rPr>
            <sz val="9"/>
            <color indexed="81"/>
            <rFont val="Tahoma"/>
            <family val="2"/>
            <charset val="186"/>
          </rPr>
          <t xml:space="preserve">
Aptuvens īpatsvars kopējā a.v. skaitā visiem Urban laukumiem, kas nav ZK pludmales.</t>
        </r>
      </text>
    </comment>
    <comment ref="G35" authorId="0" shapeId="0">
      <text>
        <r>
          <rPr>
            <b/>
            <sz val="9"/>
            <color indexed="81"/>
            <rFont val="Tahoma"/>
            <family val="2"/>
            <charset val="186"/>
          </rPr>
          <t>Kristine Pakalniete:</t>
        </r>
        <r>
          <rPr>
            <sz val="9"/>
            <color indexed="81"/>
            <rFont val="Tahoma"/>
            <family val="2"/>
            <charset val="186"/>
          </rPr>
          <t xml:space="preserve">
Aptuvens īpatsvars kopējā a.v. skaitā visiem Urban laukumiem, kas nav ZK pludmales.</t>
        </r>
      </text>
    </comment>
    <comment ref="F36" authorId="0" shapeId="0">
      <text>
        <r>
          <rPr>
            <b/>
            <sz val="9"/>
            <color indexed="81"/>
            <rFont val="Tahoma"/>
            <family val="2"/>
            <charset val="186"/>
          </rPr>
          <t>Kristine Pakalniete:</t>
        </r>
        <r>
          <rPr>
            <sz val="9"/>
            <color indexed="81"/>
            <rFont val="Tahoma"/>
            <family val="2"/>
            <charset val="186"/>
          </rPr>
          <t xml:space="preserve">
Aptuvens īpatsvars kopējā a.v. skaitā visiem Urban laukumiem, kas nav ZK pludmales.</t>
        </r>
      </text>
    </comment>
    <comment ref="G36" authorId="0" shapeId="0">
      <text>
        <r>
          <rPr>
            <b/>
            <sz val="9"/>
            <color indexed="81"/>
            <rFont val="Tahoma"/>
            <family val="2"/>
            <charset val="186"/>
          </rPr>
          <t>Kristine Pakalniete:</t>
        </r>
        <r>
          <rPr>
            <sz val="9"/>
            <color indexed="81"/>
            <rFont val="Tahoma"/>
            <family val="2"/>
            <charset val="186"/>
          </rPr>
          <t xml:space="preserve">
Aptuvens īpatsvars kopējā a.v. skaitā visiem Urban laukumiem, kas nav ZK pludmales.</t>
        </r>
      </text>
    </comment>
  </commentList>
</comments>
</file>

<file path=xl/sharedStrings.xml><?xml version="1.0" encoding="utf-8"?>
<sst xmlns="http://schemas.openxmlformats.org/spreadsheetml/2006/main" count="2308" uniqueCount="730">
  <si>
    <t>Sagatavoja: SIA "AKTiiVS"</t>
  </si>
  <si>
    <t>Sagatavots Eiropas Savienības Eiropas Jūrlietu, zvejniecības un akvakultūras fonda līdzfinansētā projektā "Pētījumi zināšanu uzlabošanai par jūras vides stāvokli integrētās jūrlietu politikas ieviešanai” (Nr. 24-00-U1010801-000001)</t>
  </si>
  <si>
    <t>Kods</t>
  </si>
  <si>
    <t>Pasākumi</t>
  </si>
  <si>
    <t>Pasākumu veidi (ieviešanas instrumentu veidi)</t>
  </si>
  <si>
    <t>Pasākuma grupa (JRC)</t>
  </si>
  <si>
    <t>Atkritumu (piesārņojuma) plūsmas  posms</t>
  </si>
  <si>
    <t>BSPas1</t>
  </si>
  <si>
    <t>BSPas2</t>
  </si>
  <si>
    <r>
      <rPr>
        <b/>
        <sz val="10"/>
        <color theme="1"/>
        <rFont val="Calibri"/>
        <family val="2"/>
        <charset val="186"/>
        <scheme val="minor"/>
      </rPr>
      <t>Turpmāki nacionālie pasākumi vieglās plastmasas iepirkumu maisiņu patēriņa noturīgai samazināšanai</t>
    </r>
    <r>
      <rPr>
        <sz val="10"/>
        <color theme="1"/>
        <rFont val="Calibri"/>
        <family val="2"/>
        <charset val="186"/>
        <scheme val="minor"/>
      </rPr>
      <t xml:space="preserve"> atbilstoši ES regulas (ES) 2025/40 34.pantam.</t>
    </r>
  </si>
  <si>
    <t>Nacionālie pasākumi šo prasību izpildei papildus tiem, ko jau nosaka esošie tiesību akti (BSPas1), šobrīd vēl nav zināmi.</t>
  </si>
  <si>
    <t>BSPas3</t>
  </si>
  <si>
    <r>
      <rPr>
        <b/>
        <sz val="10"/>
        <rFont val="Calibri"/>
        <family val="2"/>
        <charset val="186"/>
        <scheme val="minor"/>
      </rPr>
      <t>Aizliegums laist tirgū</t>
    </r>
    <r>
      <rPr>
        <sz val="10"/>
        <rFont val="Calibri"/>
        <family val="2"/>
        <charset val="186"/>
        <scheme val="minor"/>
      </rPr>
      <t xml:space="preserve"> izstrādājumus, kas noteikti Direktīvas (ES) 2019/904 pielikuma</t>
    </r>
    <r>
      <rPr>
        <b/>
        <sz val="10"/>
        <rFont val="Calibri"/>
        <family val="2"/>
        <charset val="186"/>
        <scheme val="minor"/>
      </rPr>
      <t xml:space="preserve"> B daļā</t>
    </r>
    <r>
      <rPr>
        <sz val="10"/>
        <rFont val="Calibri"/>
        <family val="2"/>
        <charset val="186"/>
        <scheme val="minor"/>
      </rPr>
      <t>.</t>
    </r>
  </si>
  <si>
    <t>Administratīvie</t>
  </si>
  <si>
    <t>Product Marketing &amp; Use =&gt; ban.</t>
  </si>
  <si>
    <t>BSPas4</t>
  </si>
  <si>
    <t>Administratīvie; Ekonomiskie instrumenti; Informācijas</t>
  </si>
  <si>
    <t>Product Design =&gt; substitution.
Product Marketing &amp; Use =&gt; monetary (dis)incentives.
Education =&gt; other knowledge provision.</t>
  </si>
  <si>
    <t>BSpas5</t>
  </si>
  <si>
    <r>
      <rPr>
        <b/>
        <sz val="10"/>
        <rFont val="Calibri"/>
        <family val="2"/>
        <charset val="186"/>
        <scheme val="minor"/>
      </rPr>
      <t>Prasības produktu dizainam</t>
    </r>
    <r>
      <rPr>
        <sz val="10"/>
        <rFont val="Calibri"/>
        <family val="2"/>
        <charset val="186"/>
        <scheme val="minor"/>
      </rPr>
      <t xml:space="preserve"> Direktīvas (ES) 2019/904 pielikuma </t>
    </r>
    <r>
      <rPr>
        <b/>
        <sz val="10"/>
        <rFont val="Calibri"/>
        <family val="2"/>
        <charset val="186"/>
        <scheme val="minor"/>
      </rPr>
      <t xml:space="preserve">C daļā </t>
    </r>
    <r>
      <rPr>
        <sz val="10"/>
        <rFont val="Calibri"/>
        <family val="2"/>
        <charset val="186"/>
        <scheme val="minor"/>
      </rPr>
      <t>minētajiem izstrādājumiem.</t>
    </r>
  </si>
  <si>
    <t>Product Design =&gt; redesign of products.</t>
  </si>
  <si>
    <r>
      <rPr>
        <b/>
        <sz val="10"/>
        <color theme="1"/>
        <rFont val="Calibri"/>
        <family val="2"/>
        <charset val="186"/>
        <scheme val="minor"/>
      </rPr>
      <t xml:space="preserve">RAS </t>
    </r>
    <r>
      <rPr>
        <sz val="10"/>
        <color theme="1"/>
        <rFont val="Calibri"/>
        <family val="2"/>
        <charset val="186"/>
        <scheme val="minor"/>
      </rPr>
      <t>ieviešana</t>
    </r>
    <r>
      <rPr>
        <b/>
        <sz val="10"/>
        <color theme="1"/>
        <rFont val="Calibri"/>
        <family val="2"/>
        <charset val="186"/>
        <scheme val="minor"/>
      </rPr>
      <t xml:space="preserve"> </t>
    </r>
    <r>
      <rPr>
        <sz val="10"/>
        <color theme="1"/>
        <rFont val="Calibri"/>
        <family val="2"/>
        <charset val="186"/>
        <scheme val="minor"/>
      </rPr>
      <t xml:space="preserve">attiecībā uz vienreizlietojamiem plastmasas izstrādājumiem - </t>
    </r>
    <r>
      <rPr>
        <b/>
        <sz val="10"/>
        <color theme="1"/>
        <rFont val="Calibri"/>
        <family val="2"/>
        <charset val="186"/>
        <scheme val="minor"/>
      </rPr>
      <t xml:space="preserve">tabakas izstrādājumiem ar filtriem un filtriem, </t>
    </r>
    <r>
      <rPr>
        <sz val="10"/>
        <color theme="1"/>
        <rFont val="Calibri"/>
        <family val="2"/>
        <charset val="186"/>
        <scheme val="minor"/>
      </rPr>
      <t>ko tirgo lietošanai kopā ar tabakas izstrādājumiem.</t>
    </r>
  </si>
  <si>
    <t>Administratīvie; Ekonomiskie instrumenti; Informācijas; Tehniskie</t>
  </si>
  <si>
    <t>Waste Management =&gt; collection of solid waste (public spaces), management of collected waste.
Education =&gt; audio-visual campaigns; other knowledge provision. 
(Removal actions =&gt; litter removal on land; coastal removal actions.)</t>
  </si>
  <si>
    <t>BSPas8</t>
  </si>
  <si>
    <r>
      <rPr>
        <b/>
        <sz val="10"/>
        <color theme="1"/>
        <rFont val="Calibri"/>
        <family val="2"/>
        <charset val="186"/>
        <scheme val="minor"/>
      </rPr>
      <t xml:space="preserve">RAS </t>
    </r>
    <r>
      <rPr>
        <sz val="10"/>
        <color theme="1"/>
        <rFont val="Calibri"/>
        <family val="2"/>
        <charset val="186"/>
        <scheme val="minor"/>
      </rPr>
      <t>ieviešana</t>
    </r>
    <r>
      <rPr>
        <b/>
        <sz val="10"/>
        <color theme="1"/>
        <rFont val="Calibri"/>
        <family val="2"/>
        <charset val="186"/>
        <scheme val="minor"/>
      </rPr>
      <t xml:space="preserve"> </t>
    </r>
    <r>
      <rPr>
        <sz val="10"/>
        <color theme="1"/>
        <rFont val="Calibri"/>
        <family val="2"/>
        <charset val="186"/>
        <scheme val="minor"/>
      </rPr>
      <t>attiecībā uz vienreizlietojamiem plastmasas izstrādājumiem -</t>
    </r>
    <r>
      <rPr>
        <b/>
        <sz val="10"/>
        <color theme="1"/>
        <rFont val="Calibri"/>
        <family val="2"/>
        <charset val="186"/>
        <scheme val="minor"/>
      </rPr>
      <t xml:space="preserve"> mitrajām salvetēm un baloniem</t>
    </r>
  </si>
  <si>
    <t>BSPas9</t>
  </si>
  <si>
    <r>
      <rPr>
        <b/>
        <sz val="10"/>
        <color theme="1"/>
        <rFont val="Calibri"/>
        <family val="2"/>
        <charset val="186"/>
        <scheme val="minor"/>
      </rPr>
      <t xml:space="preserve">RAS </t>
    </r>
    <r>
      <rPr>
        <sz val="10"/>
        <color theme="1"/>
        <rFont val="Calibri"/>
        <family val="2"/>
        <charset val="186"/>
        <scheme val="minor"/>
      </rPr>
      <t>ieviešana attiecībā uz</t>
    </r>
    <r>
      <rPr>
        <b/>
        <sz val="10"/>
        <color theme="1"/>
        <rFont val="Calibri"/>
        <family val="2"/>
        <charset val="186"/>
        <scheme val="minor"/>
      </rPr>
      <t xml:space="preserve"> plastmasu saturošiem zvejas rīkiem</t>
    </r>
    <r>
      <rPr>
        <sz val="10"/>
        <color theme="1"/>
        <rFont val="Calibri"/>
        <family val="2"/>
        <charset val="186"/>
        <scheme val="minor"/>
      </rPr>
      <t xml:space="preserve"> (atbilstoši Direktīvas (ES) 2019/904 8.panta 8.punktam).</t>
    </r>
  </si>
  <si>
    <t>Waste Management =&gt; collection of solid waste, management of collected waste.
Education =&gt; other knowledge provision.</t>
  </si>
  <si>
    <t>BSpas12</t>
  </si>
  <si>
    <t>Nacionālā depozīta sistēma izlietotajam dzērienu iepakojumam</t>
  </si>
  <si>
    <t xml:space="preserve">Product Marketing &amp; Use =&gt; deposit-return systems.
Education =&gt; audio-visual campaigns; other knowledge provision. </t>
  </si>
  <si>
    <t>BSPas13</t>
  </si>
  <si>
    <r>
      <t xml:space="preserve">Nacionāli un lokāli sabiedrības izglītošanas pasākumi </t>
    </r>
    <r>
      <rPr>
        <sz val="10"/>
        <rFont val="Calibri"/>
        <family val="2"/>
        <charset val="186"/>
        <scheme val="minor"/>
      </rPr>
      <t>saistībā ar cilvēku darbības un plastmasas ietekmi uz vidi (t.sk. jūras), videi draudzīgu uzvedību/rīcībām u.tml.
(Papildus tiem pasākumiem, kas tiek īstenoti RAS ietvaros.)</t>
    </r>
  </si>
  <si>
    <t>Informācijas</t>
  </si>
  <si>
    <t xml:space="preserve">Education =&gt; audio-visual campaigns; active participation events; other knowledge provision. </t>
  </si>
  <si>
    <t>BSpas14</t>
  </si>
  <si>
    <r>
      <rPr>
        <b/>
        <sz val="10"/>
        <rFont val="Calibri"/>
        <family val="2"/>
        <charset val="186"/>
        <scheme val="minor"/>
      </rPr>
      <t>Pasākumi iepakojuma atkritumu rašanās novēršanai, kas izriet no Regulas (ES) 2025/40 par iepakojumu.</t>
    </r>
    <r>
      <rPr>
        <sz val="10"/>
        <rFont val="Calibri"/>
        <family val="2"/>
        <charset val="186"/>
        <scheme val="minor"/>
      </rPr>
      <t xml:space="preserve">
</t>
    </r>
    <r>
      <rPr>
        <i/>
        <sz val="10"/>
        <rFont val="Calibri"/>
        <family val="2"/>
        <charset val="186"/>
        <scheme val="minor"/>
      </rPr>
      <t>Regulas prasības/pasākumi attiecībā uz vieglās plastmasas iepirkumu maisiņiem un depozīta sistēmu ir ietverti zem BSPas2 un BSPas12.</t>
    </r>
  </si>
  <si>
    <t xml:space="preserve">Nacionālie pasākumi šo prasību izpildei papildus tiem, ko jau nosaka esošie tiesību akti, šobrīd vēl nav zināmi. </t>
  </si>
  <si>
    <t>BSPas15</t>
  </si>
  <si>
    <r>
      <rPr>
        <b/>
        <sz val="10"/>
        <rFont val="Calibri"/>
        <family val="2"/>
        <charset val="186"/>
        <scheme val="minor"/>
      </rPr>
      <t>Obligāta dzērienu glāžu depozīta sistēma publiskos pasākumos Rīgas un Liepājas pilsētās.</t>
    </r>
    <r>
      <rPr>
        <u/>
        <sz val="10"/>
        <rFont val="Calibri"/>
        <family val="2"/>
        <charset val="186"/>
        <scheme val="minor"/>
      </rPr>
      <t/>
    </r>
  </si>
  <si>
    <t xml:space="preserve">Product Marketing &amp; Use =&gt; deposit-return systems.
Education =&gt; other knowledge provision. </t>
  </si>
  <si>
    <t>Trauku un dzērienu glāžu depozīta sistēmas publiskos pasākumos kā brīvprātīgas iniciatīvas.</t>
  </si>
  <si>
    <t>Ekonomiskie instrumenti; Informācijas; Tehniskie</t>
  </si>
  <si>
    <t>Pašvaldību veiktā pludmaļu tīrīšana.</t>
  </si>
  <si>
    <t>Tehniskie</t>
  </si>
  <si>
    <t>Removal actions =&gt;  coastal removal actions.</t>
  </si>
  <si>
    <t>Administratīvie; Tehniskie; Informācijas; Papildinošie pasākumi.</t>
  </si>
  <si>
    <t>Education =&gt; active participation events; other knowledge provision. 
(Product Marketing &amp; Use =&gt; ban, deposit-return systems.)
Waste Management =&gt; collection of solid waste /public spaces. 
Removal actions =&gt;  coastal removal actions.</t>
  </si>
  <si>
    <t>BSPas19</t>
  </si>
  <si>
    <t>Papildu pasākumi nacionālajā pasākumu programmā LJVS 2023-2027.gadam.</t>
  </si>
  <si>
    <t>Administratīvie; Papildinošie</t>
  </si>
  <si>
    <t>-</t>
  </si>
  <si>
    <t>Saikne ar politikas dokumentiem, normatīviem</t>
  </si>
  <si>
    <t>Ietekmētie izstrādājumu/atkritumu veidi</t>
  </si>
  <si>
    <t>Pasākuma ieviešanas uzsākšanas laiks (gads)</t>
  </si>
  <si>
    <t>Piezīmes par pasākuma īstenošanu, piemērošanas līmeni</t>
  </si>
  <si>
    <t>Piezīmes iekļaušanai BS pasākumu efektivitātes vērtēšanā</t>
  </si>
  <si>
    <t>...</t>
  </si>
  <si>
    <t>Plastmasas virves</t>
  </si>
  <si>
    <t>No 2017.gada.</t>
  </si>
  <si>
    <t>Pasākums ir iekļauts BS pasākumu efektivitātes vērtēšanā (ņemot vērā regulāros patērētāju informēšanas pasākumus RAS ietvaros, vieglās plastmasas maisiņu aizvietošanu tirdzniecībā no 2025.gada).</t>
  </si>
  <si>
    <t>no 2017.gada</t>
  </si>
  <si>
    <t>Eiropas Parlamenta un Padomes 2024. gada 19. decembra regulu (ES) 2025/40 par iepakojumu un iepakojuma atkritumiem, ar ko groza Regulu (ES) 2019/1020 un Direktīvu (ES) 2019/904 un atceļ Direktīvu 94/62/EK (Iepakojuma regula); 34. pants: Plastmasas iepirkumu maisiņi.</t>
  </si>
  <si>
    <t>Pēc 2025.gada.</t>
  </si>
  <si>
    <r>
      <t xml:space="preserve">34. pants: Plastmasas iepirkumu maisiņi
1. Dalībvalstis veic pasākumus, lai panāktu </t>
    </r>
    <r>
      <rPr>
        <u/>
        <sz val="9"/>
        <color theme="1"/>
        <rFont val="Calibri"/>
        <family val="2"/>
        <charset val="186"/>
        <scheme val="minor"/>
      </rPr>
      <t>vieglās</t>
    </r>
    <r>
      <rPr>
        <sz val="9"/>
        <color theme="1"/>
        <rFont val="Calibri"/>
        <family val="2"/>
        <charset val="186"/>
        <scheme val="minor"/>
      </rPr>
      <t xml:space="preserve"> plastmasas iepirkumu maisiņu patēriņa noturīgu samazinājumu savā teritorijā.
Tiek uzskatīts, ka </t>
    </r>
    <r>
      <rPr>
        <u/>
        <sz val="9"/>
        <color theme="1"/>
        <rFont val="Calibri"/>
        <family val="2"/>
        <charset val="186"/>
        <scheme val="minor"/>
      </rPr>
      <t>noturīgs samazinājums</t>
    </r>
    <r>
      <rPr>
        <sz val="9"/>
        <color theme="1"/>
        <rFont val="Calibri"/>
        <family val="2"/>
        <charset val="186"/>
        <scheme val="minor"/>
      </rPr>
      <t xml:space="preserve"> ir panākts, ja </t>
    </r>
    <r>
      <rPr>
        <u/>
        <sz val="9"/>
        <color theme="1"/>
        <rFont val="Calibri"/>
        <family val="2"/>
        <charset val="186"/>
        <scheme val="minor"/>
      </rPr>
      <t>līdz 2025. gada 31. decembrim un pēc tam līdz katra nākamā gada 31. decembrim</t>
    </r>
    <r>
      <rPr>
        <sz val="9"/>
        <color theme="1"/>
        <rFont val="Calibri"/>
        <family val="2"/>
        <charset val="186"/>
        <scheme val="minor"/>
      </rPr>
      <t xml:space="preserve"> gada patēriņš nepārsniedz </t>
    </r>
    <r>
      <rPr>
        <b/>
        <sz val="9"/>
        <color theme="1"/>
        <rFont val="Calibri"/>
        <family val="2"/>
        <charset val="186"/>
        <scheme val="minor"/>
      </rPr>
      <t>40 vieglās plastmasas iepirkumu maisiņus uz cilvēku</t>
    </r>
    <r>
      <rPr>
        <sz val="9"/>
        <color theme="1"/>
        <rFont val="Calibri"/>
        <family val="2"/>
        <charset val="186"/>
        <scheme val="minor"/>
      </rPr>
      <t xml:space="preserve"> vai ekvivalentu masas mērķrādītāju.
4. Dalībvalstis </t>
    </r>
    <r>
      <rPr>
        <u/>
        <sz val="9"/>
        <color theme="1"/>
        <rFont val="Calibri"/>
        <family val="2"/>
        <charset val="186"/>
        <scheme val="minor"/>
      </rPr>
      <t xml:space="preserve">no 1. punktā noteikto pienākumu izpildes var </t>
    </r>
    <r>
      <rPr>
        <b/>
        <u/>
        <sz val="9"/>
        <color theme="1"/>
        <rFont val="Calibri"/>
        <family val="2"/>
        <charset val="186"/>
        <scheme val="minor"/>
      </rPr>
      <t>izslēgt</t>
    </r>
    <r>
      <rPr>
        <u/>
        <sz val="9"/>
        <color theme="1"/>
        <rFont val="Calibri"/>
        <family val="2"/>
        <charset val="186"/>
        <scheme val="minor"/>
      </rPr>
      <t xml:space="preserve"> ļoti vieglās plastmasas iepirkumu maisiņus</t>
    </r>
    <r>
      <rPr>
        <sz val="9"/>
        <color theme="1"/>
        <rFont val="Calibri"/>
        <family val="2"/>
        <charset val="186"/>
        <scheme val="minor"/>
      </rPr>
      <t xml:space="preserve">, kas ir nepieciešami </t>
    </r>
    <r>
      <rPr>
        <u/>
        <sz val="9"/>
        <color theme="1"/>
        <rFont val="Calibri"/>
        <family val="2"/>
        <charset val="186"/>
        <scheme val="minor"/>
      </rPr>
      <t>higiēnas nolūkos</t>
    </r>
    <r>
      <rPr>
        <sz val="9"/>
        <color theme="1"/>
        <rFont val="Calibri"/>
        <family val="2"/>
        <charset val="186"/>
        <scheme val="minor"/>
      </rPr>
      <t xml:space="preserve"> vai tiek nodrošināti kā tirdzniecības iepakojums </t>
    </r>
    <r>
      <rPr>
        <u/>
        <sz val="9"/>
        <color theme="1"/>
        <rFont val="Calibri"/>
        <family val="2"/>
        <charset val="186"/>
        <scheme val="minor"/>
      </rPr>
      <t>nefasētai pārtikai</t>
    </r>
    <r>
      <rPr>
        <sz val="9"/>
        <color theme="1"/>
        <rFont val="Calibri"/>
        <family val="2"/>
        <charset val="186"/>
        <scheme val="minor"/>
      </rPr>
      <t>, lai novērstu pārtikas izšķērdēšanu.</t>
    </r>
  </si>
  <si>
    <r>
      <rPr>
        <b/>
        <sz val="9"/>
        <rFont val="Calibri"/>
        <family val="2"/>
        <charset val="186"/>
        <scheme val="minor"/>
      </rPr>
      <t>Aizliegums laist tirgū</t>
    </r>
    <r>
      <rPr>
        <sz val="9"/>
        <rFont val="Calibri"/>
        <family val="2"/>
        <charset val="186"/>
        <scheme val="minor"/>
      </rPr>
      <t xml:space="preserve"> izstrādājumus, kas noteikti Direktīvas (ES) 2019/904 pielikuma</t>
    </r>
    <r>
      <rPr>
        <b/>
        <sz val="9"/>
        <rFont val="Calibri"/>
        <family val="2"/>
        <charset val="186"/>
        <scheme val="minor"/>
      </rPr>
      <t xml:space="preserve"> B daļā</t>
    </r>
    <r>
      <rPr>
        <sz val="9"/>
        <rFont val="Calibri"/>
        <family val="2"/>
        <charset val="186"/>
        <scheme val="minor"/>
      </rPr>
      <t>.</t>
    </r>
  </si>
  <si>
    <r>
      <t>Direktīvas (ES) 2019/904</t>
    </r>
    <r>
      <rPr>
        <u/>
        <sz val="9"/>
        <color theme="1"/>
        <rFont val="Calibri"/>
        <family val="2"/>
        <charset val="186"/>
        <scheme val="minor"/>
      </rPr>
      <t xml:space="preserve"> 5.pants</t>
    </r>
    <r>
      <rPr>
        <sz val="9"/>
        <color theme="1"/>
        <rFont val="Calibri"/>
        <family val="2"/>
        <charset val="186"/>
        <scheme val="minor"/>
      </rPr>
      <t xml:space="preserve">, pielikuma </t>
    </r>
    <r>
      <rPr>
        <u/>
        <sz val="9"/>
        <color theme="1"/>
        <rFont val="Calibri"/>
        <family val="2"/>
        <charset val="186"/>
        <scheme val="minor"/>
      </rPr>
      <t xml:space="preserve">B daļā </t>
    </r>
    <r>
      <rPr>
        <sz val="9"/>
        <color theme="1"/>
        <rFont val="Calibri"/>
        <family val="2"/>
        <charset val="186"/>
        <scheme val="minor"/>
      </rPr>
      <t xml:space="preserve">minētajiem izstrādājumiem.
Plastmasu saturošu izstrādājumu patēriņa samazināšanas likums (27.05.2021.) un tā grozījumi 23.01.2025., </t>
    </r>
    <r>
      <rPr>
        <u/>
        <sz val="9"/>
        <color theme="1"/>
        <rFont val="Calibri"/>
        <family val="2"/>
        <charset val="186"/>
        <scheme val="minor"/>
      </rPr>
      <t>4. pants</t>
    </r>
    <r>
      <rPr>
        <sz val="9"/>
        <color theme="1"/>
        <rFont val="Calibri"/>
        <family val="2"/>
        <charset val="186"/>
        <scheme val="minor"/>
      </rPr>
      <t>: Aizliegums plastmasu saturošu izstrādājumu laišanai tirgū.</t>
    </r>
  </si>
  <si>
    <r>
      <rPr>
        <b/>
        <sz val="9"/>
        <color theme="1"/>
        <rFont val="Calibri"/>
        <family val="2"/>
        <charset val="186"/>
        <scheme val="minor"/>
      </rPr>
      <t xml:space="preserve">Vates kociņi; Galda piederumi (dakšas, naži, karotes, irbulīši); Šķīvji; Salmiņi; Dzērienu maisāmkociņi; Baloniem piestiprināmi un to turēšanai domāti kociņi; 
</t>
    </r>
    <r>
      <rPr>
        <b/>
        <u/>
        <sz val="9"/>
        <color theme="1"/>
        <rFont val="Calibri"/>
        <family val="2"/>
        <charset val="186"/>
        <scheme val="minor"/>
      </rPr>
      <t>No putu polistirola izgatavota</t>
    </r>
    <r>
      <rPr>
        <b/>
        <sz val="9"/>
        <color theme="1"/>
        <rFont val="Calibri"/>
        <family val="2"/>
        <charset val="186"/>
        <scheme val="minor"/>
      </rPr>
      <t xml:space="preserve"> pārtikas tara</t>
    </r>
    <r>
      <rPr>
        <sz val="9"/>
        <color theme="1"/>
        <rFont val="Calibri"/>
        <family val="2"/>
        <charset val="186"/>
        <scheme val="minor"/>
      </rPr>
      <t xml:space="preserve"> (t. i., trauki, piemēram, kārbas, ar vāciņu vai bez tā, kur ievieto ēdienu), </t>
    </r>
    <r>
      <rPr>
        <b/>
        <sz val="9"/>
        <color theme="1"/>
        <rFont val="Calibri"/>
        <family val="2"/>
        <charset val="186"/>
        <scheme val="minor"/>
      </rPr>
      <t xml:space="preserve">dzērienu iepakojums un tā korķīši un vāciņi un dzērienu glāzes </t>
    </r>
    <r>
      <rPr>
        <sz val="9"/>
        <color theme="1"/>
        <rFont val="Calibri"/>
        <family val="2"/>
        <charset val="186"/>
        <scheme val="minor"/>
      </rPr>
      <t xml:space="preserve">(bet </t>
    </r>
    <r>
      <rPr>
        <b/>
        <sz val="9"/>
        <color theme="1"/>
        <rFont val="Calibri"/>
        <family val="2"/>
        <charset val="186"/>
        <scheme val="minor"/>
      </rPr>
      <t xml:space="preserve">neattiecas </t>
    </r>
    <r>
      <rPr>
        <sz val="9"/>
        <color theme="1"/>
        <rFont val="Calibri"/>
        <family val="2"/>
        <charset val="186"/>
        <scheme val="minor"/>
      </rPr>
      <t>uz dzērienu iepakojumu, šķīvjiem, paciņām un iesaiņojumu, kurā</t>
    </r>
    <r>
      <rPr>
        <b/>
        <sz val="9"/>
        <color theme="1"/>
        <rFont val="Calibri"/>
        <family val="2"/>
        <charset val="186"/>
        <scheme val="minor"/>
      </rPr>
      <t xml:space="preserve"> pārtiku iepako ražošanas līnijā); 
Konfeti un tos saturoši priekšmeti.
</t>
    </r>
    <r>
      <rPr>
        <sz val="9"/>
        <color theme="1"/>
        <rFont val="Calibri"/>
        <family val="2"/>
        <charset val="186"/>
        <scheme val="minor"/>
      </rPr>
      <t>Aizliegts laist tirgū</t>
    </r>
    <r>
      <rPr>
        <b/>
        <sz val="9"/>
        <color theme="1"/>
        <rFont val="Calibri"/>
        <family val="2"/>
        <charset val="186"/>
        <scheme val="minor"/>
      </rPr>
      <t xml:space="preserve"> izstrādājumus, kas izgatavoti no oksonoārdāmas plastmasas.</t>
    </r>
  </si>
  <si>
    <t>Aizliegums stājas spēkā no 03.07.2021. Ir atsevišķi izņēmumi (skat. nākamo kolonnu).</t>
  </si>
  <si>
    <t>Aizliegumu nepiemēro minētajiem izstrādājumiem, kas laisti tirgū līdz 02.07.2021.; aizliegumu nepiemēro konfeti un tos saturošiem priekšmetiem, kas laisti tirgū līdz 31.12.2025.
Likuma grozījumi 2025. gadā ietver precīzāku norādi uz aizliegumu visa veida EPS putu polistirolam.</t>
  </si>
  <si>
    <t>Pasākums ir iekļauts BS pasākumu efektivitātes vērtēšanā.</t>
  </si>
  <si>
    <r>
      <t>Direktīvas (ES) 2019/904</t>
    </r>
    <r>
      <rPr>
        <u/>
        <sz val="9"/>
        <color theme="1"/>
        <rFont val="Calibri"/>
        <family val="2"/>
        <charset val="186"/>
        <scheme val="minor"/>
      </rPr>
      <t xml:space="preserve"> 4.pants</t>
    </r>
    <r>
      <rPr>
        <sz val="9"/>
        <color theme="1"/>
        <rFont val="Calibri"/>
        <family val="2"/>
        <charset val="186"/>
        <scheme val="minor"/>
      </rPr>
      <t xml:space="preserve">, pielikuma </t>
    </r>
    <r>
      <rPr>
        <u/>
        <sz val="9"/>
        <color theme="1"/>
        <rFont val="Calibri"/>
        <family val="2"/>
        <charset val="186"/>
        <scheme val="minor"/>
      </rPr>
      <t xml:space="preserve">A daļā </t>
    </r>
    <r>
      <rPr>
        <sz val="9"/>
        <color theme="1"/>
        <rFont val="Calibri"/>
        <family val="2"/>
        <charset val="186"/>
        <scheme val="minor"/>
      </rPr>
      <t xml:space="preserve">minētajiem izstrādājumiem.
Plastmasu saturošu izstrādājumu patēriņa samazināšanas likums (27.05.2021.) un tā grozījumi 23.01.2025., </t>
    </r>
    <r>
      <rPr>
        <u/>
        <sz val="9"/>
        <color theme="1"/>
        <rFont val="Calibri"/>
        <family val="2"/>
        <charset val="186"/>
        <scheme val="minor"/>
      </rPr>
      <t>5. pants</t>
    </r>
    <r>
      <rPr>
        <sz val="9"/>
        <color theme="1"/>
        <rFont val="Calibri"/>
        <family val="2"/>
        <charset val="186"/>
        <scheme val="minor"/>
      </rPr>
      <t>: Patērētāja informēšana par izstrādājumiem, uz kuriem attiecas patēriņa samazināšanas prasība.</t>
    </r>
  </si>
  <si>
    <r>
      <rPr>
        <b/>
        <sz val="9"/>
        <color theme="1"/>
        <rFont val="Calibri"/>
        <family val="2"/>
        <charset val="186"/>
        <scheme val="minor"/>
      </rPr>
      <t>Dzērienu glāzes</t>
    </r>
    <r>
      <rPr>
        <sz val="9"/>
        <color theme="1"/>
        <rFont val="Calibri"/>
        <family val="2"/>
        <charset val="186"/>
        <scheme val="minor"/>
      </rPr>
      <t xml:space="preserve">, tostarp to vāki un vāciņi.
</t>
    </r>
    <r>
      <rPr>
        <b/>
        <sz val="9"/>
        <color theme="1"/>
        <rFont val="Calibri"/>
        <family val="2"/>
        <charset val="186"/>
        <scheme val="minor"/>
      </rPr>
      <t>Pārtikas tara</t>
    </r>
    <r>
      <rPr>
        <sz val="9"/>
        <color theme="1"/>
        <rFont val="Calibri"/>
        <family val="2"/>
        <charset val="186"/>
        <scheme val="minor"/>
      </rPr>
      <t xml:space="preserve">, t. i., trauki, piemēram, kārbas, ar vāciņu vai bez tā, kur ievieto ēdienu, kas: a) paredzēts tūlītējam patēriņam vai nu uz vietas, vai līdzņemšanai; b) parasti tiek patērēts no iepakojuma trauka; un c) gatavs patērēšanai bez tālākas sagatavošanas, piemēram, cepšanas, vārīšanas vai sildīšanas. Bet prasība </t>
    </r>
    <r>
      <rPr>
        <b/>
        <sz val="9"/>
        <color theme="1"/>
        <rFont val="Calibri"/>
        <family val="2"/>
        <charset val="186"/>
        <scheme val="minor"/>
      </rPr>
      <t>neattiecas</t>
    </r>
    <r>
      <rPr>
        <sz val="9"/>
        <color theme="1"/>
        <rFont val="Calibri"/>
        <family val="2"/>
        <charset val="186"/>
        <scheme val="minor"/>
      </rPr>
      <t xml:space="preserve"> uz dzērienu iepakojumu, šķīvjiem, paciņām un iesaiņojumu, kurā </t>
    </r>
    <r>
      <rPr>
        <b/>
        <sz val="9"/>
        <color theme="1"/>
        <rFont val="Calibri"/>
        <family val="2"/>
        <charset val="186"/>
        <scheme val="minor"/>
      </rPr>
      <t>pārtiku iepako ražošanas līnijā</t>
    </r>
    <r>
      <rPr>
        <sz val="9"/>
        <color theme="1"/>
        <rFont val="Calibri"/>
        <family val="2"/>
        <charset val="186"/>
        <scheme val="minor"/>
      </rPr>
      <t>.</t>
    </r>
  </si>
  <si>
    <t>Prasība stājas spēkā no 03.07.2021.</t>
  </si>
  <si>
    <r>
      <rPr>
        <b/>
        <sz val="9"/>
        <rFont val="Calibri"/>
        <family val="2"/>
        <charset val="186"/>
        <scheme val="minor"/>
      </rPr>
      <t>Prasības produktu dizainam</t>
    </r>
    <r>
      <rPr>
        <sz val="9"/>
        <rFont val="Calibri"/>
        <family val="2"/>
        <charset val="186"/>
        <scheme val="minor"/>
      </rPr>
      <t xml:space="preserve"> Direktīvas (ES) 2019/904 pielikuma </t>
    </r>
    <r>
      <rPr>
        <b/>
        <sz val="9"/>
        <rFont val="Calibri"/>
        <family val="2"/>
        <charset val="186"/>
        <scheme val="minor"/>
      </rPr>
      <t xml:space="preserve">C daļā </t>
    </r>
    <r>
      <rPr>
        <sz val="9"/>
        <rFont val="Calibri"/>
        <family val="2"/>
        <charset val="186"/>
        <scheme val="minor"/>
      </rPr>
      <t xml:space="preserve">minētajiem izstrādājumiem.
Noteikto dzērienu iepakojumu var laist tirgū tikai tad, ja no </t>
    </r>
    <r>
      <rPr>
        <u/>
        <sz val="9"/>
        <rFont val="Calibri"/>
        <family val="2"/>
        <charset val="186"/>
        <scheme val="minor"/>
      </rPr>
      <t>plastmasas izgatavotie korķīši un vāciņi visā paredzētajā dzērienu iepakojuma lietošanas laikā nav atdalāmi no dzērienu iepakojuma</t>
    </r>
    <r>
      <rPr>
        <sz val="9"/>
        <rFont val="Calibri"/>
        <family val="2"/>
        <charset val="186"/>
        <scheme val="minor"/>
      </rPr>
      <t>.</t>
    </r>
  </si>
  <si>
    <r>
      <t>Direktīvas (ES) 2019/904</t>
    </r>
    <r>
      <rPr>
        <u/>
        <sz val="9"/>
        <color theme="1"/>
        <rFont val="Calibri"/>
        <family val="2"/>
        <charset val="186"/>
        <scheme val="minor"/>
      </rPr>
      <t xml:space="preserve"> 6.pants</t>
    </r>
    <r>
      <rPr>
        <sz val="9"/>
        <color theme="1"/>
        <rFont val="Calibri"/>
        <family val="2"/>
        <charset val="186"/>
        <scheme val="minor"/>
      </rPr>
      <t xml:space="preserve">, pielikuma </t>
    </r>
    <r>
      <rPr>
        <u/>
        <sz val="9"/>
        <color theme="1"/>
        <rFont val="Calibri"/>
        <family val="2"/>
        <charset val="186"/>
        <scheme val="minor"/>
      </rPr>
      <t xml:space="preserve">C daļā </t>
    </r>
    <r>
      <rPr>
        <sz val="9"/>
        <color theme="1"/>
        <rFont val="Calibri"/>
        <family val="2"/>
        <charset val="186"/>
        <scheme val="minor"/>
      </rPr>
      <t xml:space="preserve">minētajiem izstrādājumiem.
Plastmasu saturošu izstrādājumu patēriņa samazināšanas likums (27.05.2021.) un tā grozījumi 23.01.2025., </t>
    </r>
    <r>
      <rPr>
        <u/>
        <sz val="9"/>
        <color theme="1"/>
        <rFont val="Calibri"/>
        <family val="2"/>
        <charset val="186"/>
        <scheme val="minor"/>
      </rPr>
      <t>6. pants</t>
    </r>
    <r>
      <rPr>
        <sz val="9"/>
        <color theme="1"/>
        <rFont val="Calibri"/>
        <family val="2"/>
        <charset val="186"/>
        <scheme val="minor"/>
      </rPr>
      <t>: Prasības attiecībā uz plastmasu saturošiem izstrādājumiem.</t>
    </r>
  </si>
  <si>
    <r>
      <rPr>
        <b/>
        <sz val="9"/>
        <color theme="1"/>
        <rFont val="Calibri"/>
        <family val="2"/>
        <charset val="186"/>
        <scheme val="minor"/>
      </rPr>
      <t>Vienreizlietojamu plastmasu saturoša vai kompozīta iepakojuma dzērienu tara ar ietilpību līdz trim litriem</t>
    </r>
    <r>
      <rPr>
        <sz val="9"/>
        <color theme="1"/>
        <rFont val="Calibri"/>
        <family val="2"/>
        <charset val="186"/>
        <scheme val="minor"/>
      </rPr>
      <t xml:space="preserve">, t. i., dzērienu iepakojums un tā korķīši un vāciņi. 
Prasības </t>
    </r>
    <r>
      <rPr>
        <b/>
        <sz val="9"/>
        <color theme="1"/>
        <rFont val="Calibri"/>
        <family val="2"/>
        <charset val="186"/>
        <scheme val="minor"/>
      </rPr>
      <t>neattiecas</t>
    </r>
    <r>
      <rPr>
        <sz val="9"/>
        <color theme="1"/>
        <rFont val="Calibri"/>
        <family val="2"/>
        <charset val="186"/>
        <scheme val="minor"/>
      </rPr>
      <t xml:space="preserve"> uz (i) dzērienu iepakojumu </t>
    </r>
    <r>
      <rPr>
        <u/>
        <sz val="9"/>
        <color theme="1"/>
        <rFont val="Calibri"/>
        <family val="2"/>
        <charset val="186"/>
        <scheme val="minor"/>
      </rPr>
      <t>ar metāla korķīšiem un vāciņiem ar plastmasas blīvēm</t>
    </r>
    <r>
      <rPr>
        <sz val="9"/>
        <color theme="1"/>
        <rFont val="Calibri"/>
        <family val="2"/>
        <charset val="186"/>
        <scheme val="minor"/>
      </rPr>
      <t xml:space="preserve">; (ii) </t>
    </r>
    <r>
      <rPr>
        <u/>
        <sz val="9"/>
        <color theme="1"/>
        <rFont val="Calibri"/>
        <family val="2"/>
        <charset val="186"/>
        <scheme val="minor"/>
      </rPr>
      <t>dzērienu stikla vai metāla taru, kam ir no plastmasas izgatavoti korķīši un vāciņi</t>
    </r>
    <r>
      <rPr>
        <sz val="9"/>
        <color theme="1"/>
        <rFont val="Calibri"/>
        <family val="2"/>
        <charset val="186"/>
        <scheme val="minor"/>
      </rPr>
      <t xml:space="preserve">; (iii) dzērienu taru, kura paredzēta un izmantota īpašiem </t>
    </r>
    <r>
      <rPr>
        <u/>
        <sz val="9"/>
        <color theme="1"/>
        <rFont val="Calibri"/>
        <family val="2"/>
        <charset val="186"/>
        <scheme val="minor"/>
      </rPr>
      <t>medicīniskiem nolūkiem</t>
    </r>
    <r>
      <rPr>
        <sz val="9"/>
        <color theme="1"/>
        <rFont val="Calibri"/>
        <family val="2"/>
        <charset val="186"/>
        <scheme val="minor"/>
      </rPr>
      <t xml:space="preserve"> paredzētai pārtikai.</t>
    </r>
  </si>
  <si>
    <t>Prasību piemēro no 07.2024.</t>
  </si>
  <si>
    <t>BSPas6</t>
  </si>
  <si>
    <r>
      <t xml:space="preserve">Plastmasu saturošu izstrādājumu patēriņa samazināšanas likums (27.05.2021.) un tā grozījumi 23.01.2025., 8. pants: Ražotāja paplašinātās atbildības sistēmas piemērošana.
MK noteikumi Nr. 480 (16.08.2017) "Noteikumi par atbrīvojuma piemērošanu no dabas resursu nodokļa samaksas par iepakojumu un vienreiz lietojamiem galda traukiem un piederumiem"; to grozījumi ar MK not. Nr. 641 (15.10.2024.) 
</t>
    </r>
    <r>
      <rPr>
        <i/>
        <sz val="9"/>
        <color theme="1"/>
        <rFont val="Calibri"/>
        <family val="2"/>
        <charset val="186"/>
        <scheme val="minor"/>
      </rPr>
      <t>(Eiropas Parlamenta un Padomes 2018. gada 30. maija Direktīva 2018/851/ES, ar ko groza Direktīvu 2008/98 par atkritumiem; Eiropas Parlamenta un Padomes 2018. gada 30. maija Direktīva 2018/852/ES, ar ko groza Direktīvu 94/62/EK par iepakojumu un izlietoto iepakojumu; Eiropas Parlamenta un Padomes 2015. gada 29. aprīļa Direktīva 2015/720/ES, ar ko groza Direktīvu 94/62/EK attiecībā uz vieglās plastmasas iepirkumu maisiņu patēriņa samazināšanu; Eiropas Parlamenta un Padomes 2019. gada 5. jūnija Direktīva 2019/904/ES par konkrētu plastmasas izstrādājumu ietekmes uz vidi samazināšanu.)</t>
    </r>
  </si>
  <si>
    <t>No 2019.gada. Nacionālā apsaimniekošanas sistēma lielā mērā ieviesta līdz 2022.gadam. Ir atsevišķas izmaiņas un izņēmumi (skat. nākamo kolonnu).</t>
  </si>
  <si>
    <r>
      <t xml:space="preserve">Izmaiņas sistēmā pēc 2022.gada saistītas galvenokārt ar reģenerācijas un pārstrādes prasībām - no 2022. un 2024.gada noteiktas papildu prasības attiecībā uz pārstrādes un reģenerācijas apjomu (īpatsvaru, %), noteiktas prasības attiecībā uz izlietotā dzērienu iepakojuma apjomu (īpatsvaru, %), kas dalīti savākts un sagatavots pārstrādei vai reģenerācijai, un izlietotā dzērienu kompozīta iepakojuma pārstrādes apjomiem (īpatsvars, %).
</t>
    </r>
    <r>
      <rPr>
        <b/>
        <sz val="9"/>
        <rFont val="Calibri"/>
        <family val="2"/>
        <charset val="186"/>
        <scheme val="minor"/>
      </rPr>
      <t>Sistēma pagaidām nedarbojas attiecībā uz vienreiz lietojamām plastmasu saturošām glāzēm un to vāciņiem</t>
    </r>
    <r>
      <rPr>
        <sz val="9"/>
        <rFont val="Calibri"/>
        <family val="2"/>
        <charset val="186"/>
        <scheme val="minor"/>
      </rPr>
      <t xml:space="preserve"> (DRN likums neparedz atbrīvojumu no DRN, iesaistoties RAS; 2025.gadā ir iesniegti DRN likuma grozījumi, paredzot šādu atbrīvojumu).</t>
    </r>
  </si>
  <si>
    <r>
      <t xml:space="preserve">Izmaiņas sistēmā pēc 2022.gada galvenokārt saistītas ar reģenerācijas un pārstrādes prasībām. Šādiem pasākumiem praktiski nav tieša efekta uz atkritumu piesārņojuma samazināšanu (jūras) vidē.
Vienreizlietojamās plastmasu saturošas krūzes un to vāciņi veido mazāk par 0.5% no pludmales atkritumu daudzuma.
</t>
    </r>
    <r>
      <rPr>
        <b/>
        <sz val="9"/>
        <color rgb="FF0070C0"/>
        <rFont val="Calibri"/>
        <family val="2"/>
        <charset val="186"/>
        <scheme val="minor"/>
      </rPr>
      <t>=&gt; Pasākums nav iekļauts BS pasākumu efektivitātes vērtēšanā.</t>
    </r>
  </si>
  <si>
    <r>
      <t xml:space="preserve">Ražotāju paplašinātās atbildības sistēmu </t>
    </r>
    <r>
      <rPr>
        <b/>
        <sz val="9"/>
        <color theme="1"/>
        <rFont val="Calibri"/>
        <family val="2"/>
        <charset val="186"/>
        <scheme val="minor"/>
      </rPr>
      <t xml:space="preserve">(RAS) </t>
    </r>
    <r>
      <rPr>
        <sz val="9"/>
        <color theme="1"/>
        <rFont val="Calibri"/>
        <family val="2"/>
        <charset val="186"/>
        <scheme val="minor"/>
      </rPr>
      <t>ieviešana</t>
    </r>
    <r>
      <rPr>
        <b/>
        <sz val="9"/>
        <color theme="1"/>
        <rFont val="Calibri"/>
        <family val="2"/>
        <charset val="186"/>
        <scheme val="minor"/>
      </rPr>
      <t xml:space="preserve"> </t>
    </r>
    <r>
      <rPr>
        <sz val="9"/>
        <color theme="1"/>
        <rFont val="Calibri"/>
        <family val="2"/>
        <charset val="186"/>
        <scheme val="minor"/>
      </rPr>
      <t xml:space="preserve">attiecībā uz </t>
    </r>
    <r>
      <rPr>
        <b/>
        <sz val="9"/>
        <color theme="1"/>
        <rFont val="Calibri"/>
        <family val="2"/>
        <charset val="186"/>
        <scheme val="minor"/>
      </rPr>
      <t>vienreizlietojamiem plastmasas izstrādājumiem</t>
    </r>
    <r>
      <rPr>
        <sz val="9"/>
        <color theme="1"/>
        <rFont val="Calibri"/>
        <family val="2"/>
        <charset val="186"/>
        <scheme val="minor"/>
      </rPr>
      <t xml:space="preserve"> (atbilstoši Direktīvas (ES) 2019/904 8.pantam attiecībā uz pielikuma E II un III daļā minētajiem izstrādājumiem).</t>
    </r>
  </si>
  <si>
    <t>Direktīvas (ES) 2019/904 8.pants, pielikuma E II un III daļā minētajiem izstrādājumiem un 8.panta 8.un 9.daļa (plastmasu saturošiem zvejas rīkiem). (Eiropas Parlamenta un Padomes 2019. gada 5. jūnija Direktīva (ES) 2019/904 par konkrētu plastmasas izstrādājumu ietekmes uz vidi samazināšanu.)
Plastmasu saturošu izstrādājumu patēriņa samazināšanas likums (27.05.2021.), 8.pants un 10.pants.
MK noteikumi Nr. 781 (13.12.2022.) "Noteikumi par ražotāja paplašinātās atbildības sistēmas izveidi un piemērošanu plastmasu saturošiem izstrādājumiem".</t>
  </si>
  <si>
    <r>
      <rPr>
        <b/>
        <sz val="9"/>
        <color theme="1"/>
        <rFont val="Calibri"/>
        <family val="2"/>
        <charset val="186"/>
        <scheme val="minor"/>
      </rPr>
      <t>Tabakas izstrādājumi ar filtriem un filtri,</t>
    </r>
    <r>
      <rPr>
        <sz val="9"/>
        <color theme="1"/>
        <rFont val="Calibri"/>
        <family val="2"/>
        <charset val="186"/>
        <scheme val="minor"/>
      </rPr>
      <t xml:space="preserve"> ko tirgo lietošanai kopā ar tabakas izstrādājumiem.</t>
    </r>
  </si>
  <si>
    <t>Tabakas izstrādājumiem MK not. Nr. 781 noteikts no 01.2023.; faktiski no 01.2024.</t>
  </si>
  <si>
    <t>(uz 09.2025.) 1 sistēmas apsaimniekotājs, līgums ar VVD SIA „Latvijas Zaļais punkts”.
Normatīvos noteiktā sistēma nav optimāla. Skat. izvērtējumu Zaļā josta (2024).</t>
  </si>
  <si>
    <t>Mitrās salvetes; Baloni.</t>
  </si>
  <si>
    <t>Mitrajām salvetēm un baloniem MK not. Nr. 781 noteikts no 01.2025.</t>
  </si>
  <si>
    <t>(uz 09.2025.) 2 sistēmas apsaimniekotāji, līgumi ar VVD SIA „Latvijas Zaļais punkts” un SIA “Zaļā josta”.</t>
  </si>
  <si>
    <r>
      <t xml:space="preserve">Ražotāju paplašinātās atbildības sistēmu </t>
    </r>
    <r>
      <rPr>
        <b/>
        <sz val="9"/>
        <color theme="1"/>
        <rFont val="Calibri"/>
        <family val="2"/>
        <charset val="186"/>
        <scheme val="minor"/>
      </rPr>
      <t xml:space="preserve">(RAS) </t>
    </r>
    <r>
      <rPr>
        <sz val="9"/>
        <color theme="1"/>
        <rFont val="Calibri"/>
        <family val="2"/>
        <charset val="186"/>
        <scheme val="minor"/>
      </rPr>
      <t>ieviešana attiecībā uz</t>
    </r>
    <r>
      <rPr>
        <b/>
        <sz val="9"/>
        <color theme="1"/>
        <rFont val="Calibri"/>
        <family val="2"/>
        <charset val="186"/>
        <scheme val="minor"/>
      </rPr>
      <t xml:space="preserve"> plastmasu saturošiem zvejas rīkiem</t>
    </r>
    <r>
      <rPr>
        <sz val="9"/>
        <color theme="1"/>
        <rFont val="Calibri"/>
        <family val="2"/>
        <charset val="186"/>
        <scheme val="minor"/>
      </rPr>
      <t xml:space="preserve"> (atbilstoši Direktīvas (ES) 2019/904 8.panta 8.punktam).</t>
    </r>
  </si>
  <si>
    <t>Plastmasu saturoši zvejas rīki.</t>
  </si>
  <si>
    <t>Plastmasu saturošiem zvejas rīkiem MK not. Nr. 781 noteikts no 01.2025.</t>
  </si>
  <si>
    <t>Īstenošana nav vēl uzsākta. Nav skaidrs, kā RAS tiks organizēta, ņemot vērā, ka šādu izstrādājumu ražotāju un tirgotāju Latvijā praktiski nav (atrodas kaimiņvalstīs).</t>
  </si>
  <si>
    <t>BSPas10</t>
  </si>
  <si>
    <r>
      <t xml:space="preserve">Ražotāju paplašinātās atbildības sistēmu </t>
    </r>
    <r>
      <rPr>
        <b/>
        <sz val="9"/>
        <color theme="1"/>
        <rFont val="Calibri"/>
        <family val="2"/>
        <charset val="186"/>
        <scheme val="minor"/>
      </rPr>
      <t>(RAS)</t>
    </r>
    <r>
      <rPr>
        <sz val="9"/>
        <color theme="1"/>
        <rFont val="Calibri"/>
        <family val="2"/>
        <charset val="186"/>
        <scheme val="minor"/>
      </rPr>
      <t xml:space="preserve"> ieviešana attiecībā uz </t>
    </r>
    <r>
      <rPr>
        <b/>
        <sz val="9"/>
        <color theme="1"/>
        <rFont val="Calibri"/>
        <family val="2"/>
        <charset val="186"/>
        <scheme val="minor"/>
      </rPr>
      <t>tekstilizstrādājumiem</t>
    </r>
  </si>
  <si>
    <t>MK noteikumi Nr. 359 (11.06.2024.) “Noteikumi par ražotāja paplašinātās atbildības sistēmas izveidi un piemērošanu tekstilizstrādājumiem”.</t>
  </si>
  <si>
    <r>
      <rPr>
        <b/>
        <sz val="9"/>
        <color theme="1"/>
        <rFont val="Calibri"/>
        <family val="2"/>
        <charset val="186"/>
        <scheme val="minor"/>
      </rPr>
      <t xml:space="preserve">Mājsaimniecības tekstilizstrādājumi, </t>
    </r>
    <r>
      <rPr>
        <sz val="9"/>
        <color theme="1"/>
        <rFont val="Calibri"/>
        <family val="2"/>
        <charset val="186"/>
        <scheme val="minor"/>
      </rPr>
      <t xml:space="preserve">apģērba un apģērba piederumu tekstilizstrādājumi; </t>
    </r>
    <r>
      <rPr>
        <b/>
        <sz val="9"/>
        <color theme="1"/>
        <rFont val="Calibri"/>
        <family val="2"/>
        <charset val="186"/>
        <scheme val="minor"/>
      </rPr>
      <t>apavi, apģērba gabali un apģērba piederumi</t>
    </r>
    <r>
      <rPr>
        <sz val="9"/>
        <color theme="1"/>
        <rFont val="Calibri"/>
        <family val="2"/>
        <charset val="186"/>
        <scheme val="minor"/>
      </rPr>
      <t>, kuru galvenā sastāvdaļa nav tekstilmateriāls (saraksts MK not. Nr. 359 1.piel.).</t>
    </r>
    <r>
      <rPr>
        <sz val="9"/>
        <color rgb="FF0070C0"/>
        <rFont val="Calibri"/>
        <family val="2"/>
        <charset val="186"/>
        <scheme val="minor"/>
      </rPr>
      <t/>
    </r>
  </si>
  <si>
    <t>No 07.2024.</t>
  </si>
  <si>
    <t>(uz 09.2025.) 3 sistēmas apsaimniekotāji, līgums ar VVD SIA „Latvijas Zaļais punkts”, SIA “Zaļā josta” un AS “AJ Power Recycling”.</t>
  </si>
  <si>
    <r>
      <t xml:space="preserve">Audumi un to gabali veido apm. 1% no pludmales atkritumu daudzuma, un kā nozīmīgākais avots tiek vērtēts "Zvejniecība un Kuģniecība". Līdz ar to, ar pasākumu aptvertie veidi neietekmē būtiski pludmales atkritumu apjomu. </t>
    </r>
    <r>
      <rPr>
        <b/>
        <sz val="9"/>
        <color rgb="FF0070C0"/>
        <rFont val="Calibri"/>
        <family val="2"/>
        <charset val="186"/>
        <scheme val="minor"/>
      </rPr>
      <t>=&gt; Pasākums nav iekļauts BS pasākumu efektivitātes vērtēšanā.</t>
    </r>
  </si>
  <si>
    <t>BSPas11</t>
  </si>
  <si>
    <r>
      <t>Direktīvas (ES) 2019/904</t>
    </r>
    <r>
      <rPr>
        <u/>
        <sz val="9"/>
        <color theme="1"/>
        <rFont val="Calibri"/>
        <family val="2"/>
        <charset val="186"/>
        <scheme val="minor"/>
      </rPr>
      <t xml:space="preserve"> 10.pants</t>
    </r>
    <r>
      <rPr>
        <sz val="9"/>
        <color theme="1"/>
        <rFont val="Calibri"/>
        <family val="2"/>
        <charset val="186"/>
        <scheme val="minor"/>
      </rPr>
      <t xml:space="preserve">, pielikuma </t>
    </r>
    <r>
      <rPr>
        <u/>
        <sz val="9"/>
        <color theme="1"/>
        <rFont val="Calibri"/>
        <family val="2"/>
        <charset val="186"/>
        <scheme val="minor"/>
      </rPr>
      <t xml:space="preserve">G daļā </t>
    </r>
    <r>
      <rPr>
        <sz val="9"/>
        <color theme="1"/>
        <rFont val="Calibri"/>
        <family val="2"/>
        <charset val="186"/>
        <scheme val="minor"/>
      </rPr>
      <t xml:space="preserve">minētajiem izstrādājumiem.
Plastmasu saturošu izstrādājumu patēriņa samazināšanas likums (27.05.2021.) un tā grozījumi 23.01.2025., </t>
    </r>
    <r>
      <rPr>
        <u/>
        <sz val="9"/>
        <color theme="1"/>
        <rFont val="Calibri"/>
        <family val="2"/>
        <charset val="186"/>
        <scheme val="minor"/>
      </rPr>
      <t>13. pants</t>
    </r>
    <r>
      <rPr>
        <sz val="9"/>
        <color theme="1"/>
        <rFont val="Calibri"/>
        <family val="2"/>
        <charset val="186"/>
        <scheme val="minor"/>
      </rPr>
      <t xml:space="preserve">: Patērētāja informēšanas pienākums </t>
    </r>
    <r>
      <rPr>
        <u/>
        <sz val="9"/>
        <color theme="1"/>
        <rFont val="Calibri"/>
        <family val="2"/>
        <charset val="186"/>
        <scheme val="minor"/>
      </rPr>
      <t>(ražotājam).</t>
    </r>
  </si>
  <si>
    <t>Spēkā no 07.2021.</t>
  </si>
  <si>
    <t>Pasākumi, kas tiek īstenoti attiecīgo izstrādājumu RAS ietvaros.
RAS noteiktas prasības šādiem pasākumiem (apjoms, izmaksu samērs).</t>
  </si>
  <si>
    <t>(Šo pasākumu efekts vērtēts zem attiecīgo izstrādājumu RAS.)</t>
  </si>
  <si>
    <t>Iepakojuma likums, 18.pants.
Ministru kabineta 2020. gada 11. augusta noteikumi Nr. 519 "Depozīta sistēmas darbības noteikumi".
Eiropas Parlamenta un Padomes 2024. gada 19. decembra regulu (ES) 2025/40 par iepakojumu un iepakojuma atkritumiem, ar ko groza Regulu (ES) 2019/1020 un Direktīvu (ES) 2019/904 un atceļ Direktīvu 94/62/EK (Iepakojuma regula); 50. pants: Depozīta un nodošanas sistēmas.</t>
  </si>
  <si>
    <t>Ieviesta no 2022.gada.</t>
  </si>
  <si>
    <t>2022.gada 1.februārī DIO uzsāka depozīta sistēmas darbību visā valsts teritorijā, bet 2023.gads bija pirmais pilnais depozīta sistēmas darbības gads. 2024.gadā depozīta sistēmā tika pieņemti jau 83% no visām tirgū laistajām depozīta iepakojuma vienībām, salīdzinājumā ar 62% 2022.gadā.</t>
  </si>
  <si>
    <t>Regulāri, akciju veidā.</t>
  </si>
  <si>
    <r>
      <rPr>
        <b/>
        <sz val="9"/>
        <rFont val="Calibri"/>
        <family val="2"/>
        <charset val="186"/>
        <scheme val="minor"/>
      </rPr>
      <t>Pasākumi iepakojuma atkritumu rašanās novēršanai, kas izriet no Regulas (ES) 2025/40 par iepakojumu.</t>
    </r>
    <r>
      <rPr>
        <sz val="9"/>
        <rFont val="Calibri"/>
        <family val="2"/>
        <charset val="186"/>
        <scheme val="minor"/>
      </rPr>
      <t xml:space="preserve">
* </t>
    </r>
    <r>
      <rPr>
        <u/>
        <sz val="9"/>
        <rFont val="Calibri"/>
        <family val="2"/>
        <charset val="186"/>
        <scheme val="minor"/>
      </rPr>
      <t>Obligāti izlietotā iepakojuma (atkritumu) samazināšanas mērķrādītāji</t>
    </r>
    <r>
      <rPr>
        <b/>
        <sz val="9"/>
        <rFont val="Calibri"/>
        <family val="2"/>
        <charset val="186"/>
        <scheme val="minor"/>
      </rPr>
      <t xml:space="preserve"> </t>
    </r>
    <r>
      <rPr>
        <sz val="9"/>
        <rFont val="Calibri"/>
        <family val="2"/>
        <charset val="186"/>
        <scheme val="minor"/>
      </rPr>
      <t xml:space="preserve">uz vienu iedzīvotāju, pamatojoties uz 2018. gada daudzumiem: </t>
    </r>
    <r>
      <rPr>
        <u/>
        <sz val="9"/>
        <rFont val="Calibri"/>
        <family val="2"/>
        <charset val="186"/>
        <scheme val="minor"/>
      </rPr>
      <t>5 % līdz 2030. gadam</t>
    </r>
    <r>
      <rPr>
        <sz val="9"/>
        <rFont val="Calibri"/>
        <family val="2"/>
        <charset val="186"/>
        <scheme val="minor"/>
      </rPr>
      <t xml:space="preserve">, 10 % līdz 2035. gadam un 15 % līdz 2040. gadam.
* Dalībvalstu papildu pasākumi: stimuli, kas saskaņoti ar atkritumu hierarhiju, RAS un atkritumu rašanās novēršanas plānu.
* Veicināt dzeramā ūdens lietošanu, izmantojot ūdensapgādes sistēmas. 
</t>
    </r>
    <r>
      <rPr>
        <i/>
        <sz val="9"/>
        <rFont val="Calibri"/>
        <family val="2"/>
        <charset val="186"/>
        <scheme val="minor"/>
      </rPr>
      <t>Papildu piezīmes. 
Regulas prasības/pasākumi, kas īstenojami no 2030.gada, nav ietverti jo ir ārpus BS perioda (piem., saistībā ar iepakojuma atkārtotu izmantošanu un uzpildi).
Regulas prasības/pasākumi attiecībā uz vieglās plastmasas iepirkumu maisiņiem un depozīta sistēmu ir ietverti zem BSPas2 un BSPas12.</t>
    </r>
  </si>
  <si>
    <t>Eiropas Parlamenta un Padomes 2024. gada 19. decembra regulu (ES) 2025/40 par iepakojumu un iepakojuma atkritumiem, ar ko groza Regulu (ES) 2019/1020 un Direktīvu (ES) 2019/904 un atceļ Direktīvu 94/62/EK (Iepakojuma regula).</t>
  </si>
  <si>
    <r>
      <rPr>
        <b/>
        <sz val="9"/>
        <color theme="1"/>
        <rFont val="Calibri"/>
        <family val="2"/>
        <charset val="186"/>
        <scheme val="minor"/>
      </rPr>
      <t>Visi iepakojuma atkritumu materiāli</t>
    </r>
    <r>
      <rPr>
        <sz val="9"/>
        <color theme="1"/>
        <rFont val="Calibri"/>
        <family val="2"/>
        <charset val="186"/>
        <scheme val="minor"/>
      </rPr>
      <t xml:space="preserve"> (plastmasa, papīrs, stikls, metāls, koksne).</t>
    </r>
  </si>
  <si>
    <t>Pasākums ir iekļauts BS pasākumu efektivitātes vērtēšanā, bet ņemts vērā, ka konkrēti nacionālie pasākumi prasību izpildei nav zināmi.</t>
  </si>
  <si>
    <r>
      <rPr>
        <b/>
        <sz val="9"/>
        <rFont val="Calibri"/>
        <family val="2"/>
        <charset val="186"/>
        <scheme val="minor"/>
      </rPr>
      <t>Obligāta dzērienu glāžu depozīta sistēma publiskos pasākumos Rīgas un Liepājas pilsētās.</t>
    </r>
    <r>
      <rPr>
        <sz val="9"/>
        <rFont val="Calibri"/>
        <family val="2"/>
        <charset val="186"/>
        <scheme val="minor"/>
      </rPr>
      <t xml:space="preserve">
</t>
    </r>
    <r>
      <rPr>
        <u/>
        <sz val="9"/>
        <rFont val="Calibri"/>
        <family val="2"/>
        <charset val="186"/>
        <scheme val="minor"/>
      </rPr>
      <t>Rīgas</t>
    </r>
    <r>
      <rPr>
        <sz val="9"/>
        <rFont val="Calibri"/>
        <family val="2"/>
        <charset val="186"/>
        <scheme val="minor"/>
      </rPr>
      <t xml:space="preserve"> pilsētā no 2024.gada prasība publiskos pasākumos vienreizlietojamo trauku vietā nodrošināt atkārtoti lietojamus vai plastmasu nesaturošus traukus; vienreizlietojamo glāžu vietā izmantot vairākkārt lietojamas glāzes jeb depozītglāzes. Attiecas uz īslaicīga rakstura ielu tirdzniecību un ielu tirdzniecību pasākumu laikā.
</t>
    </r>
    <r>
      <rPr>
        <u/>
        <sz val="9"/>
        <rFont val="Calibri"/>
        <family val="2"/>
        <charset val="186"/>
        <scheme val="minor"/>
      </rPr>
      <t>Liepājas</t>
    </r>
    <r>
      <rPr>
        <sz val="9"/>
        <rFont val="Calibri"/>
        <family val="2"/>
        <charset val="186"/>
        <scheme val="minor"/>
      </rPr>
      <t xml:space="preserve"> pilsētas pašvaldībā no 2026.gada visos publiskajos pasākumos paredzēts lietot depozīta jeb vairākkārt izmantojamas glāzes.</t>
    </r>
  </si>
  <si>
    <t>Rīgas domes 28.06.2024. saistošie noteikumi Nr. RD-24-286-sn "Par kārtību, kādā tiek saskaņota un organizēta ielu tirdzniecība", 70.7.apakšpunkts.
Pašvaldību saistošie noteikumi, publisko pasākumu organizatoru vienošanās ar pakalpojumu sniedzējiem. 
Depozīta glāžu un trauku sistēmas publiskajos pasākumos Latvijā tiek organizētas atbilstoši pašvaldības noteiktajām prasībām un pasākuma organizatora izvēlētā pakalpojuma sniedzēja noteikumiem.</t>
  </si>
  <si>
    <t>Vienreiz lietojamie trauki un plastmasas dzērienu glāzes.</t>
  </si>
  <si>
    <t>Rīgas pilsētā no 2024.gada.
Liepājas pilsētā sākot ar 01.01.2026. būs spēkā jauni noteikumi, kas aizliegs izmantot vienreizlietojamās glāzes publiskos pasākumos un ielu tirdzniecībā, izņemot kafijas automātus. Pasākumu organizatoriem būs jānodrošina vairākkārt lietojamo glāžu depozīta sistēmas ieviešana.</t>
  </si>
  <si>
    <t>Pētījuma ierobežojumu dēļ informācija par pasākuma iespējamo īstenošanas apjomu nav apkopota.</t>
  </si>
  <si>
    <r>
      <t xml:space="preserve">Pašvaldību veiktā pludmaļu tīrīšana.
</t>
    </r>
    <r>
      <rPr>
        <sz val="9"/>
        <color theme="1"/>
        <rFont val="Calibri"/>
        <family val="2"/>
        <charset val="186"/>
        <scheme val="minor"/>
      </rPr>
      <t>Pasākumi sākot no cilvēku veiktas atkritumu vienību uzlasīšanas, atkritumu konteineru apsaimniekošanas, līdz pludmales smilšu mehāniskai tīrīšanai.
Tīrīšanas intensitāte primāri ir atkarīga no pludmales noslodzes (urban, semi-urban, remote; arī izmantošanas intensitātes dažādās pilsētās). Piemēram, tīrīšana pirms un pēc sezonas un akciju veidā sezonas laikā, sezonas laikā regulāri (ikdienas-iknedēļas) centrālajās noslodzes zonās, vai regulāri visā pilsētas piekrastē.
BS pasākumu piemērs: Liepājas pilsētas pašvaldībā no 2024.gada tiek izmantots jauns smilšu sijātājs, kas ļauj savākt no smiltīm sīkos atkritumus (arī izsmēķus), var sijāt arī mitras smiltis.</t>
    </r>
    <r>
      <rPr>
        <b/>
        <sz val="9"/>
        <color theme="1"/>
        <rFont val="Calibri"/>
        <family val="2"/>
        <charset val="186"/>
        <scheme val="minor"/>
      </rPr>
      <t xml:space="preserve">
</t>
    </r>
  </si>
  <si>
    <t>Pašvaldību saistošie noteikumi; līgumi ar atkritumu apsaimniekotājiem/pakalpojumu sniedzējiem.</t>
  </si>
  <si>
    <t>Visi pludmales makro-piegružojuma veidi.</t>
  </si>
  <si>
    <t>2022.gads - BS tiek vērtētas iespējamās izmaiņas (uzlabojumi pasākuma ieviešanā) pēc šī references perioda.</t>
  </si>
  <si>
    <t>* Dažādās pašvaldībās gan pludmales tīrīšanas pasākumi, gan to veikšanas intensitāte ļoti atšķiras (būtu vajadzīga detalizēta pasākuma analīze pašvaldību līmenī).
* Pasākuma īstenošanu ietekmē daudzveidīgi faktori, tai skaitā, piemēram, pasākumu apjomu ietekmē pašvaldības iespējas atvēlēt tam finansējumu; tiek izmantoti ārpakalpojumu līgumi, un līgumos noteikto darbu izpildi nepieciešams kontrolēt (dažādās pašvaldībās ir atšķirīga kontroles intensitāte).
* Pētījuma ierobežojumu dēļ nav iespējams detalizēts izvērtējums un apkopojums pasākuma ieviešanas esošajai situācijai, kā arī iespējamām izmaiņām "bāzes scenārija" periodā.</t>
  </si>
  <si>
    <r>
      <t xml:space="preserve">Pieejamā informācija ļautu veikt tikai uz pieņēmumiem balstītus, vispārējus simulētus scenārijus iespējamam efektam no iespējamām izmaiņām pasākuma īstenošanā, kur izmaiņas būtu ar lielu nenoteiktību. 
</t>
    </r>
    <r>
      <rPr>
        <b/>
        <sz val="9"/>
        <color rgb="FF0070C0"/>
        <rFont val="Calibri"/>
        <family val="2"/>
        <charset val="186"/>
        <scheme val="minor"/>
      </rPr>
      <t xml:space="preserve">=&gt; Pasākums nav iekļauts BS pasākumu efektivitātes un pietiekamības novērtējumā. </t>
    </r>
    <r>
      <rPr>
        <sz val="9"/>
        <color rgb="FF0070C0"/>
        <rFont val="Calibri"/>
        <family val="2"/>
        <charset val="186"/>
        <scheme val="minor"/>
      </rPr>
      <t>Bet varētu tikt analizēts saistībā ar iespējamiem papildu pasākumiem.</t>
    </r>
  </si>
  <si>
    <t>Zilā Karoga programma: Ieviešanas kritēriji un vadlīnijas (https://zilaiskarogs.lv/vadliniju-dokumentacija/).</t>
  </si>
  <si>
    <t>2025.gadā ZK sertifikāts bija 13 peldvietām un 1 jahtu ostai, no tām 7 bija jūras piekrastes peldvietas.
Izmaiņas BS varētu būt saistītas gan ar ZK kritēriju/prasību pārskatīšanu (stingrākas prasības un ar to saistīto papildu pasākumu īstenošana pastāvīgajās ZK pludmalēs), gan jaunām ZK pludmalēm Latvijas piekrastē.
Pētījuma ierobežojumu dēļ nav iespējams detalizēts izvērtējums iespējamām izmaiņām BS periodā. Vērtējumam par iespējamām jaunām ZK pludmalēm arī būtu liela nenoteiktība.</t>
  </si>
  <si>
    <r>
      <rPr>
        <b/>
        <sz val="9"/>
        <rFont val="Calibri"/>
        <family val="2"/>
        <charset val="186"/>
        <scheme val="minor"/>
      </rPr>
      <t>Papildu pasākumi nacionālajā pasākumu programmā LJVS 2023-2027.gadam.</t>
    </r>
    <r>
      <rPr>
        <sz val="9"/>
        <rFont val="Calibri"/>
        <family val="2"/>
        <charset val="186"/>
        <scheme val="minor"/>
      </rPr>
      <t xml:space="preserve">
(2a)</t>
    </r>
    <r>
      <rPr>
        <b/>
        <sz val="9"/>
        <rFont val="Calibri"/>
        <family val="2"/>
        <charset val="186"/>
        <scheme val="minor"/>
      </rPr>
      <t xml:space="preserve"> JVM6 PP29</t>
    </r>
    <r>
      <rPr>
        <sz val="9"/>
        <rFont val="Calibri"/>
        <family val="2"/>
        <charset val="186"/>
        <scheme val="minor"/>
      </rPr>
      <t xml:space="preserve"> Izstrādāt vadlīnijas pašvaldībām jūru piesārņojošo atkritumu samazināšanas pasākumu noteikšanai pašvaldību plānošanas/normatīvajos dokumentos.
(papildinošs pasākums)</t>
    </r>
    <r>
      <rPr>
        <b/>
        <sz val="9"/>
        <rFont val="Calibri"/>
        <family val="2"/>
        <charset val="186"/>
        <scheme val="minor"/>
      </rPr>
      <t xml:space="preserve"> JVM6 PP30 </t>
    </r>
    <r>
      <rPr>
        <sz val="9"/>
        <rFont val="Calibri"/>
        <family val="2"/>
        <charset val="186"/>
        <scheme val="minor"/>
      </rPr>
      <t xml:space="preserve">Īstenot pētījumus, lai iegūtu datus un izstrādātu novērtējumus attiecībā uz cietajiem atkritumiem un mikro-piegružojumu jūras ūdens vidē.
(papildinošs pasākums) </t>
    </r>
    <r>
      <rPr>
        <b/>
        <sz val="9"/>
        <rFont val="Calibri"/>
        <family val="2"/>
        <charset val="186"/>
        <scheme val="minor"/>
      </rPr>
      <t>JVM6 PP31</t>
    </r>
    <r>
      <rPr>
        <sz val="9"/>
        <rFont val="Calibri"/>
        <family val="2"/>
        <charset val="186"/>
        <scheme val="minor"/>
      </rPr>
      <t xml:space="preserve"> Īstenot pētījumu, lai izstrādātu analītisku, nacionālā mēroga politikas lēmumu pieņemšanas atbalsta instrumentu politikas pasākumu efektivitātes un sociālekonomiskai novērtēšanai, aptverot pasākumus cieto atkritumu ieneses slodzes samazināšanai un vides mērķu sasniegšanai.
(Papildinošs pasākums) </t>
    </r>
    <r>
      <rPr>
        <b/>
        <sz val="9"/>
        <rFont val="Calibri"/>
        <family val="2"/>
        <charset val="186"/>
        <scheme val="minor"/>
      </rPr>
      <t>JVM3 PP16</t>
    </r>
    <r>
      <rPr>
        <sz val="9"/>
        <rFont val="Calibri"/>
        <family val="2"/>
        <charset val="186"/>
        <scheme val="minor"/>
      </rPr>
      <t xml:space="preserve"> Veikt novērtējumu piesārņojuma slodzei uz upēm un jūru ar biogēniem, bīstamām vielām un mikroplastmasu no lietusūdeņu kanalizācijas ūdeņiem un pārplūdēm un izstrādāt priekšlikumus atbilstošiem pasākumiem šī piesārņojuma samazināšanai no notekūdeņu un lietusūdeņu apsaimniekošanas sistēmām.</t>
    </r>
  </si>
  <si>
    <t>Ministru Kabineta Rīkojums Nr. 511 (09.08.2023.) "Par plānu "Pasākumu programma laba jūras vides stāvokļa panākšanai 2023.-2027.gadā"".</t>
  </si>
  <si>
    <t>PP29 īstenošana noteikta 2023.g.
PP30 īstenošana 2023.-2027.g.
PP31 īstenošana 2024.-2025.g.
PP16 īstenošana noteikta 2025.g.</t>
  </si>
  <si>
    <t>PP29 vēl nav īstenots.
PP16, PP30 un PP31 ieviešanā.</t>
  </si>
  <si>
    <t>Tiešs efekts uz jūru piesārņojošo atkritumu daudzuma samazināšanu ir atzīmēts tikai attiecībā uz PP29 (MK Rīkojums Nr. 511 (09.08.2023.))
(Informācijas avots: AKTiiVS (2022)) Pasākuma PP29 vadlīniju izstrādei nebūs tieša efekta uz slodzes samazinājumu. Efekts būs atkarīgs no konkrētajiem, plānošanas/normatīvajos dokumentos iekļautajiem un īstenotajiem pasākumiem. Vadlīniju izstrāde veicinās šādu pasākumu noteikšanu un īstenošanu pašvaldībās, paaugstinot to efektu, piemēram, dodot papildus 3-5% samazinājumu no kopējā atkritumu daudzuma piekrastē.</t>
  </si>
  <si>
    <t>Eiropas Parlamenta un Padomes regula (ES) 2025/... (... gada ...) par plastmasas granulu zudumu novēršanu nolūkā samazināt piesārņotību ar mikroplastmasu.</t>
  </si>
  <si>
    <t>Plastmasas granulas (mikro-plastmasa).</t>
  </si>
  <si>
    <r>
      <rPr>
        <b/>
        <sz val="9"/>
        <color theme="1"/>
        <rFont val="Calibri"/>
        <family val="2"/>
        <charset val="186"/>
        <scheme val="minor"/>
      </rPr>
      <t>22.09.2025.</t>
    </r>
    <r>
      <rPr>
        <sz val="9"/>
        <color theme="1"/>
        <rFont val="Calibri"/>
        <family val="2"/>
        <charset val="186"/>
        <scheme val="minor"/>
      </rPr>
      <t xml:space="preserve"> Padome pēc provizoriskas vienošanās ar Eiropas Parlamentu pieņēma regulu par to, kā novērst plastmasas granulu zudumu vidē. (https://www.consilium.europa.eu/lv/press/press-releases/2025/09/22/plastic-pellets-council-signs-off-regulation-to-reduce-pollution-from-microplastics/).</t>
    </r>
  </si>
  <si>
    <r>
      <t xml:space="preserve">Lielākā daļa regulas noteikumu tiks piemēroti 24 mēnešu laikposmā pēc tās stāšanās spēkā, </t>
    </r>
    <r>
      <rPr>
        <u/>
        <sz val="9"/>
        <color theme="1"/>
        <rFont val="Calibri"/>
        <family val="2"/>
        <charset val="186"/>
        <scheme val="minor"/>
      </rPr>
      <t>36 mēnešu laikposmā noteikumi, kas saistīti ar plastmasas granulu pārvadāšanu pa jūru.</t>
    </r>
  </si>
  <si>
    <r>
      <t xml:space="preserve">Šobrīd  BS pasākumu efektivitātes vērtēšana veikta tikai attiecībā uz makro-piegružojumu (pludmalē). Regulas darbības joma to neskar.
</t>
    </r>
    <r>
      <rPr>
        <b/>
        <sz val="9"/>
        <color rgb="FF0070C0"/>
        <rFont val="Calibri"/>
        <family val="2"/>
        <charset val="186"/>
        <scheme val="minor"/>
      </rPr>
      <t>=&gt; Pasākums nav iekļauts BS pasākumu efektivitātes vērtēšanā.</t>
    </r>
  </si>
  <si>
    <t>BSPas21</t>
  </si>
  <si>
    <r>
      <t xml:space="preserve">Ierobežojums sintētisko polimēru mikrodaļiņu izmantošanai, kas tīši pievienotas produktiem atsevišķi vai maisījumos </t>
    </r>
    <r>
      <rPr>
        <sz val="9"/>
        <color theme="1"/>
        <rFont val="Calibri"/>
        <family val="2"/>
        <charset val="186"/>
        <scheme val="minor"/>
      </rPr>
      <t>(aizliegums laist tirgū vielas pašas par sevi un noteiktos maisījumos) atbilstoši ES regulai (ES) 2023/2055.</t>
    </r>
  </si>
  <si>
    <t>Komisijas regula (ES) 2023/2055 (2023. gada 25. septembris), ar ko attiecībā uz sintētisko polimēru mikrodaļiņām groza XVII pielikumu Eiropas Parlamenta un Padomes Regulai (EK) Nr. 1907/2006, kura attiecas uz ķimikāliju reģistrēšanu, vērtēšanu, licencēšanu un ierobežošanu (REACH).</t>
  </si>
  <si>
    <r>
      <t xml:space="preserve">Sintētisko polimēru </t>
    </r>
    <r>
      <rPr>
        <b/>
        <sz val="9"/>
        <color theme="1"/>
        <rFont val="Calibri"/>
        <family val="2"/>
        <charset val="186"/>
        <scheme val="minor"/>
      </rPr>
      <t>mikrodaļiņas,</t>
    </r>
    <r>
      <rPr>
        <sz val="9"/>
        <color theme="1"/>
        <rFont val="Calibri"/>
        <family val="2"/>
        <charset val="186"/>
        <scheme val="minor"/>
      </rPr>
      <t xml:space="preserve"> kas tīši pievienotas produktiem atsevišķi vai maisījumos.
Nelaiž tirgū kā vielas pašas par sevi vai, ja sintētisko polimēru mikrodaļiņas ir pievienotas, lai piešķirtu vēlamo īpašību, maisījumos, kur to koncentrācija ir vienāda ar vai lielāka par 0,01 % svara.</t>
    </r>
  </si>
  <si>
    <t xml:space="preserve">Pārdošanas aizliegums lietošanai, bez pārejas perioda, attiecas tikai uz bioloģiski nenoārdāmiem, nešķīstošiem plastmasas spīdumiem, piemēram, mākslas un amatniecības izstrādājumiem, rotaļlietām un tekstilizstrādājumiem (ar dažiem izņēmumiem).
Kosmētikas līdzekļos, mazgāšanas līdzekļos un citos nolūkos izmantotos spīdumus ar noteiktiem pārejas periodiem saskaņā ar ierobežojuma 6.punktu drīkst turpināt pārdot regulā norādīto periodu beigām.
</t>
  </si>
  <si>
    <t xml:space="preserve">Plastmasas spīdumus, ko izmanto kā kosmētikas līdzekli, un kosmētiku, kas satur spīdumus (vai citu mikroplastmasu), var turpināt pārdot līdz:
• 2027. gada 16. oktobris - nomazgājamā kosmētika (6.b punkts);
• 2029. gada 16. oktobris - nenomazgājamā kosmētika (6. d punkts);
• 2035. gada 16. oktobris - dekoratīvās kosmētikas līdzekļi, lūpu un nagu kosmētika (6.c punkts).
</t>
  </si>
  <si>
    <t>BSPas22</t>
  </si>
  <si>
    <r>
      <rPr>
        <b/>
        <sz val="9"/>
        <rFont val="Calibri"/>
        <family val="2"/>
        <charset val="186"/>
        <scheme val="minor"/>
      </rPr>
      <t>Pasākumi notekūdeņu apsaimniekošanas uzlabošanai atbilstoši Direktīvai (ES) 2024/3019 par komunālo notekūdeņu attīrīšanu.</t>
    </r>
    <r>
      <rPr>
        <sz val="9"/>
        <rFont val="Calibri"/>
        <family val="2"/>
        <charset val="186"/>
        <scheme val="minor"/>
      </rPr>
      <t xml:space="preserve">
Direktīvas nozīmīgākās prasības ar iespējamu ietekmi uz JPA:
* paaugstinātas prasības komunālo notekūdeņu savākšanai un attīrīšanai, 
* prasība RAS izveidei uzņēmumiem, kas laiž tirgū farmācijas un kosmētikas produktus (kā finanšu instruments 4.pakāpes attīrīšanas finansēšanai), 
* mērķi un rīcības plāni lietus notekūdeņu apsaimniekošanas uzlabošanai (pilsētās ar iedzīvotāju skaitu virs 10 000),
* nosacījumi ražošanas notekūdeņu novadīšanai.</t>
    </r>
  </si>
  <si>
    <t>Eiropas Parlamenta un Padomes Direktīva (ES) 2024/3019 (2024. gada 27. novembris) par komunālo notekūdeņu attīrīšanu (pārstrādāta redakcija).
Nacionālajos tiesību aktos direktīvas prasības jāpārņem līdz 31.07.2027.</t>
  </si>
  <si>
    <t>Mikro-plastmasas daļiņas, makro-piegružojumu veidi no kanalizācijas un lietus notekūdeņu sistēmām.</t>
  </si>
  <si>
    <t>Atšķirīgi ieviešanas termiņi dažādām prasībām. Kopumā no 2027. līdz 2045.g.</t>
  </si>
  <si>
    <t>Lielākās izmaiņas skars aglomerācijas ar CE 1000-2000, 10-100 tūkst, &gt; 100 tūkst.
Līdz 01.01.2028 jāizstrādā valsts programma direktīvas ieviešanai.
Pasākumu efekts būs pēc BS laika perioda (2030.g.).</t>
  </si>
  <si>
    <r>
      <t xml:space="preserve">Pasākumu efekts pēc BS laika perioda (2030.g.).
</t>
    </r>
    <r>
      <rPr>
        <b/>
        <sz val="9"/>
        <color rgb="FF0070C0"/>
        <rFont val="Calibri"/>
        <family val="2"/>
        <charset val="186"/>
        <scheme val="minor"/>
      </rPr>
      <t>=&gt; Pasākums nav iekļauts BS pasākumu efektivitātes vērtēšanā.</t>
    </r>
  </si>
  <si>
    <t>NOVĒRTĒJUMS slodzes avotu ieguldījumam kopējā slodzē - piekrastes atkritumu daudzumā</t>
  </si>
  <si>
    <t>NORMALIZĒTĀS vērtības</t>
  </si>
  <si>
    <t>Atkritumu materiāls un veids</t>
  </si>
  <si>
    <t>UNEP kods &gt;1%</t>
  </si>
  <si>
    <t>Koda apraksts</t>
  </si>
  <si>
    <t>JRC kods &gt;0.5%</t>
  </si>
  <si>
    <t>Īpatsvars %, vid. 2023-2024</t>
  </si>
  <si>
    <t>(1) Tūrisms un rekreācija piekrastē</t>
  </si>
  <si>
    <t>(2) Iekšzemes avoti (upju ienese, kanalizācija, ostu darbība)</t>
  </si>
  <si>
    <t>(3) Jūras avoti - Zvejniecība, Kuģniecība, Pārrobežu pārnese no citām valstīm</t>
  </si>
  <si>
    <t>Vērtējums ar kategorijām</t>
  </si>
  <si>
    <t>MIN robeža</t>
  </si>
  <si>
    <t>Intervāla vidējais</t>
  </si>
  <si>
    <t>MAX robeža</t>
  </si>
  <si>
    <t>Skala</t>
  </si>
  <si>
    <t>Kategorijas</t>
  </si>
  <si>
    <t>Kategoriju apraksts 
SLODŽU NOZĪMĪBAI</t>
  </si>
  <si>
    <t>SMĒĶĒŠANAS ATKRITUMI</t>
  </si>
  <si>
    <t>Cigaretes, izsmēķi un filtri</t>
  </si>
  <si>
    <t>J27</t>
  </si>
  <si>
    <t>Izsmēķi un filtri</t>
  </si>
  <si>
    <t>Nenozīmīga ietekme</t>
  </si>
  <si>
    <t>Sektors/aktivitāte dod &lt; 5 % no kopējās slodzes</t>
  </si>
  <si>
    <t>PLASTMASAS PUDEĻU VĀCIŅI UN KORĶI</t>
  </si>
  <si>
    <t>PL01</t>
  </si>
  <si>
    <t>Pudeļu vāciņi un korķi</t>
  </si>
  <si>
    <t>J21</t>
  </si>
  <si>
    <t>Dzērienu pudeļu korķi un vāciņi</t>
  </si>
  <si>
    <t>Zema ietekme</t>
  </si>
  <si>
    <t>Sektors/aktivitāte dod 5-20 % no kopējās slodzes</t>
  </si>
  <si>
    <t>J22</t>
  </si>
  <si>
    <t>Nepārtikas pudeļu vāciņi un korķi</t>
  </si>
  <si>
    <t>Vidēja ietekme</t>
  </si>
  <si>
    <t>Sektors/aktivitāte dod 20-30 % no kopējās slodzes</t>
  </si>
  <si>
    <t>J23</t>
  </si>
  <si>
    <t>Neidentificēta lietojuma taras vāciņi un korķi</t>
  </si>
  <si>
    <t>Augsta ietekme</t>
  </si>
  <si>
    <t>Sektors/aktivitāte dod 30-50 % no kopējās slodzes</t>
  </si>
  <si>
    <t>J9</t>
  </si>
  <si>
    <t>Tīrīšanas līdzekļu pudeles un korķi</t>
  </si>
  <si>
    <t>Ļoti augsta ietekme</t>
  </si>
  <si>
    <t>Sektors/aktivitāte dod &gt; 50 % no kopējās slodzes</t>
  </si>
  <si>
    <t>SUP GALDA PIEDERUMI</t>
  </si>
  <si>
    <t>PL04</t>
  </si>
  <si>
    <t>Naži, dakšiņas, karotes, salmiņi, maisāmie kociņi (galda piederumi)</t>
  </si>
  <si>
    <t>J228</t>
  </si>
  <si>
    <t>Plastmasas galda piederumi</t>
  </si>
  <si>
    <t>J230</t>
  </si>
  <si>
    <t>Plastmasas maisāmie kociņi</t>
  </si>
  <si>
    <t>J231</t>
  </si>
  <si>
    <t>Plastmasas salmiņi</t>
  </si>
  <si>
    <t>J31</t>
  </si>
  <si>
    <t>Plastmasas saldumu un saldējuma kociņi</t>
  </si>
  <si>
    <t>PLASTMASAS DZĒRIENU IEPAKOJUMU UN TARAS GREDZENI</t>
  </si>
  <si>
    <t>PL05</t>
  </si>
  <si>
    <t>Dzērienu iepakojumu gredzeni, sešpaku gredzeni, gredzena rokturi</t>
  </si>
  <si>
    <t>J24</t>
  </si>
  <si>
    <t>Plastmasas pudeļu korķīšu gredzeni</t>
  </si>
  <si>
    <t>J1</t>
  </si>
  <si>
    <t>Plastmasas 4/6 paku iepakojumu gredzeni</t>
  </si>
  <si>
    <t>PLASTMASAS UN SUP ĒDIENU TRAUKI</t>
  </si>
  <si>
    <t>PL06</t>
  </si>
  <si>
    <t>Ēdienu trauki (ātrās uzkodas, krūzes, pusdienu kastes un tml.)</t>
  </si>
  <si>
    <t>J229</t>
  </si>
  <si>
    <t>Plastmasas šķīvji un paplātes</t>
  </si>
  <si>
    <t>J225</t>
  </si>
  <si>
    <t>Cietās plastmasas ēdienu trauki</t>
  </si>
  <si>
    <t>J227</t>
  </si>
  <si>
    <t>Cietās plastmasas krūzes un vāciņi</t>
  </si>
  <si>
    <t>PLASTMASAS MAISIŅI</t>
  </si>
  <si>
    <t>PL07</t>
  </si>
  <si>
    <t>Plastmasas maisiņi (necaurspīdīgi un caurspīdīgi)</t>
  </si>
  <si>
    <t>J4</t>
  </si>
  <si>
    <t>Mazie plastmasas maisi</t>
  </si>
  <si>
    <t>J3</t>
  </si>
  <si>
    <t>Iepirkumu maisi / maisiņi</t>
  </si>
  <si>
    <t>J101</t>
  </si>
  <si>
    <t>Suņu ekskrementu maisiņi</t>
  </si>
  <si>
    <t>J5</t>
  </si>
  <si>
    <t>Noplēšamā plastmasas maisa roktura daļa</t>
  </si>
  <si>
    <t>J238</t>
  </si>
  <si>
    <t>Tīkla maisiņi (augļiem un produktiem)</t>
  </si>
  <si>
    <t>PLASTMASAS VIRVES</t>
  </si>
  <si>
    <t>PL19</t>
  </si>
  <si>
    <t>Plastmasas virve</t>
  </si>
  <si>
    <t>J242</t>
  </si>
  <si>
    <t>Plastmasas virve diametrā &lt;1cm</t>
  </si>
  <si>
    <t>J49</t>
  </si>
  <si>
    <t>Plastmasas virve diametrā &gt;1cm</t>
  </si>
  <si>
    <t>J54</t>
  </si>
  <si>
    <t>Tīkli un tīklu daļas &gt; 50cm</t>
  </si>
  <si>
    <t>J53</t>
  </si>
  <si>
    <t>Tīkli un tīklu daļas 2.5 cm  ≥ ≤  50 cm</t>
  </si>
  <si>
    <t>J232</t>
  </si>
  <si>
    <t>Plastmasas auklas un šķiedras no tīklu virvēm</t>
  </si>
  <si>
    <t>J234</t>
  </si>
  <si>
    <t>Tīkli bez tīklu virvēm vai sapinušies</t>
  </si>
  <si>
    <t>J235</t>
  </si>
  <si>
    <t>Sapinušās tīklu virves</t>
  </si>
  <si>
    <t>PUTUPLASTA, POLISTIROLA UN POLISTIRĒNA GABALI / MATERIĀLI</t>
  </si>
  <si>
    <t>FP04</t>
  </si>
  <si>
    <t>Putas (izolācija un iepakojums)</t>
  </si>
  <si>
    <t>J256</t>
  </si>
  <si>
    <t>Putuplasta izolācijas materiāli (ieskaitot izolācijas putas)</t>
  </si>
  <si>
    <t>J239</t>
  </si>
  <si>
    <t xml:space="preserve">Dažādi putuplasta materiāli un gabali (neiekļaujot polistirēnu) </t>
  </si>
  <si>
    <t>J82</t>
  </si>
  <si>
    <t>Polistirēna gabali 2.5 cm  ≥ ≤  50 cm</t>
  </si>
  <si>
    <t>J257</t>
  </si>
  <si>
    <t>Putuplasta iepakojums</t>
  </si>
  <si>
    <t>J83</t>
  </si>
  <si>
    <t>Polistirēna gabali &gt; 50cm</t>
  </si>
  <si>
    <t>J240</t>
  </si>
  <si>
    <t>Dažādi identificējami putuplasta gabali</t>
  </si>
  <si>
    <t>PLASTMASAS GABALI - NEATPAZĪSTAMIE UN NEKATEGORIZĒTIE</t>
  </si>
  <si>
    <t>PL24</t>
  </si>
  <si>
    <t>Plastmasa cits</t>
  </si>
  <si>
    <t>J80</t>
  </si>
  <si>
    <t>Neidentificējami plastmasas gabali &gt;  50cm</t>
  </si>
  <si>
    <t>J79</t>
  </si>
  <si>
    <t>Neidentificējami plastmasas gabali 2.5cm  ≥ ≤  50cm</t>
  </si>
  <si>
    <t>J241</t>
  </si>
  <si>
    <t>Identificējamas izcelsmes plastmasas gabali</t>
  </si>
  <si>
    <t>J93</t>
  </si>
  <si>
    <t>Plastmasas savilcēji un stiprinājumi</t>
  </si>
  <si>
    <t>J30</t>
  </si>
  <si>
    <t>Plastmasas pārtikas iepakojuma maisiņi / pakas / saldumu ietinamie</t>
  </si>
  <si>
    <t>J95</t>
  </si>
  <si>
    <t>Plastmasas kosmētikas kociņi</t>
  </si>
  <si>
    <t>J32</t>
  </si>
  <si>
    <t>Plastmasa rotaļlietas un konfeti</t>
  </si>
  <si>
    <t>AUDUMS</t>
  </si>
  <si>
    <t>CL06</t>
  </si>
  <si>
    <t>Citi audumi, ieskaitot lupatas</t>
  </si>
  <si>
    <t>J145</t>
  </si>
  <si>
    <t>Citi tekstila materiāli (neidentificējami un lupatas)</t>
  </si>
  <si>
    <t>STIKLA UN KERAMIKAS GABALI</t>
  </si>
  <si>
    <t>GC07</t>
  </si>
  <si>
    <t>Stikla un keramikas gabali</t>
  </si>
  <si>
    <t>J208</t>
  </si>
  <si>
    <t>J219</t>
  </si>
  <si>
    <t>Citi keramikas materiāli</t>
  </si>
  <si>
    <t>J210</t>
  </si>
  <si>
    <t>Citi stikla materiāli</t>
  </si>
  <si>
    <t>STIKLS UN KERAMIKA (BŪVMATERIĀLI - ķieģeļi, cements utml.)</t>
  </si>
  <si>
    <t>GC01</t>
  </si>
  <si>
    <t>Būvmateriāli (ķieģeļi, cements, caurules)</t>
  </si>
  <si>
    <t>J204</t>
  </si>
  <si>
    <t>Stikla un keramikas materiālu būvmateriāli (ķieģeļi, cements, caurules)</t>
  </si>
  <si>
    <t>4*</t>
  </si>
  <si>
    <t>METĀLA PUDEĻU KORĶI UN VĀCIŅI</t>
  </si>
  <si>
    <t>ME02</t>
  </si>
  <si>
    <t>Metāla pudeļu vāciņi, korķi un attaisāmie gredzeni</t>
  </si>
  <si>
    <t>J178</t>
  </si>
  <si>
    <t>Metāla pudeļu korķi un vāciņi</t>
  </si>
  <si>
    <t>METĀLS - ALUMĪNIJA FOLIJAS PLĒVES</t>
  </si>
  <si>
    <t>ME06</t>
  </si>
  <si>
    <t>Folijas plēves</t>
  </si>
  <si>
    <t>J177</t>
  </si>
  <si>
    <t>Alumīnija folija</t>
  </si>
  <si>
    <t>METĀLA GABALI</t>
  </si>
  <si>
    <t>ME08</t>
  </si>
  <si>
    <t>Metāla gabali (metāls, cits)</t>
  </si>
  <si>
    <t>J198</t>
  </si>
  <si>
    <t>Metāla gabali 2.5cm  ≥ ≤  50cm</t>
  </si>
  <si>
    <t>J199</t>
  </si>
  <si>
    <t>Metāla gabali &gt; 50cm</t>
  </si>
  <si>
    <t>METĀLA STIEPLES</t>
  </si>
  <si>
    <t>ME09</t>
  </si>
  <si>
    <t>Stieples, stiepļu siets un dzeloņstieples</t>
  </si>
  <si>
    <t>J194</t>
  </si>
  <si>
    <t>Metāla stieples</t>
  </si>
  <si>
    <t>PAPĪRS (IESKAITOT LAIKRAKSTUS UN ŽURNĀLUS)</t>
  </si>
  <si>
    <t>PC01</t>
  </si>
  <si>
    <t>Papīrs (ieskaitot laikrakstus un žurnālus)</t>
  </si>
  <si>
    <t>J156</t>
  </si>
  <si>
    <t>Neidentificējami papīra gabali</t>
  </si>
  <si>
    <t>J158</t>
  </si>
  <si>
    <t>Identificējami papīra un kartona gabali</t>
  </si>
  <si>
    <t>J154</t>
  </si>
  <si>
    <t>Laikraksti un žurnāli</t>
  </si>
  <si>
    <t>J155</t>
  </si>
  <si>
    <t>Papīra caurules un citi salūta atkritumi</t>
  </si>
  <si>
    <t>PAPĪRA KRŪZES, TRAUKI, ĒDIENA IEPAKOJUMS</t>
  </si>
  <si>
    <t>PC03</t>
  </si>
  <si>
    <t>Krūzes, ēdienu paplātes, ēdiena ietinamais papīrs, cigarešu paciņas, dzērienu iepakojumi</t>
  </si>
  <si>
    <t>J152</t>
  </si>
  <si>
    <t>Papīra cigarešu paciņas</t>
  </si>
  <si>
    <t>J150</t>
  </si>
  <si>
    <t>Piena pakas / kompozīts</t>
  </si>
  <si>
    <t>J151</t>
  </si>
  <si>
    <t>Dzērienu pakas / kompozīts</t>
  </si>
  <si>
    <t>J244</t>
  </si>
  <si>
    <t>Papīra krūzes</t>
  </si>
  <si>
    <t>J245</t>
  </si>
  <si>
    <t>Papīra ēdiena iepakojums un trauki (paplātes, krūzes, ietinamais papīrs)</t>
  </si>
  <si>
    <t>J247</t>
  </si>
  <si>
    <t>Citi papīra trauki</t>
  </si>
  <si>
    <t>J147</t>
  </si>
  <si>
    <t>Papīra maisiņi</t>
  </si>
  <si>
    <t>GUMIJA (BALONI, BUMBAS UN ROTAĻLIETAS)</t>
  </si>
  <si>
    <t>RB01</t>
  </si>
  <si>
    <t>Baloni, bumbas un rotaļlietas</t>
  </si>
  <si>
    <t>J125</t>
  </si>
  <si>
    <t>Visi balonu atkritumi</t>
  </si>
  <si>
    <t>ORGANIKA / PĀRTIKAS ATKRITUMI</t>
  </si>
  <si>
    <t>OR03</t>
  </si>
  <si>
    <t>Augļi, pārtikas produkti, saldumi, saldējums</t>
  </si>
  <si>
    <t>J215</t>
  </si>
  <si>
    <t>Pārtikas atkritumi</t>
  </si>
  <si>
    <t>VIDĒJAIS</t>
  </si>
  <si>
    <t>Plastmasa</t>
  </si>
  <si>
    <t>Audums</t>
  </si>
  <si>
    <t>Stikls un keramika</t>
  </si>
  <si>
    <t>Metāls</t>
  </si>
  <si>
    <t>Papīrs un kartons</t>
  </si>
  <si>
    <t>Organiskie</t>
  </si>
  <si>
    <t>Gumija</t>
  </si>
  <si>
    <t>UNEP kods</t>
  </si>
  <si>
    <t>PL11</t>
  </si>
  <si>
    <t>PL16</t>
  </si>
  <si>
    <t>RB08</t>
  </si>
  <si>
    <t>PL02</t>
  </si>
  <si>
    <t>ME03</t>
  </si>
  <si>
    <t>GC02</t>
  </si>
  <si>
    <t>UNEP koda apraksts</t>
  </si>
  <si>
    <t>Plastmasas pudeļu vāciņi un korķi</t>
  </si>
  <si>
    <t>Plastmasas galda piederumi (SUP naži, dakšiņas, karotes, salmiņi, maisāmie kociņi)</t>
  </si>
  <si>
    <t>Plastmasas ēdienu trauki (ātrās uzkodas, krūzes, pusdienu kastes un tml.)</t>
  </si>
  <si>
    <t>Putuplasts, izolācijas un iepakojuma putas</t>
  </si>
  <si>
    <t>Plastmasa cits (nekategorizēts, neidentificējams)</t>
  </si>
  <si>
    <t>Audekli (brezents vai citi austi plastmasas maisi, palešu plēve)</t>
  </si>
  <si>
    <t>Dažādi nekategorizēti audumi (ieskaitot lupatas)</t>
  </si>
  <si>
    <t>Alumīnija folijas plēves</t>
  </si>
  <si>
    <t>Metāla gabali</t>
  </si>
  <si>
    <t>Papīra krūzes, ēdienu paplātes, ēdiena ietinamais papīrs, cigarešu paciņas, dzērienu iepakojumi</t>
  </si>
  <si>
    <t>Gumija, cits</t>
  </si>
  <si>
    <t>Plastmasas pudeles &lt; 2 l</t>
  </si>
  <si>
    <t>Alumīnija dzērienu kārbas</t>
  </si>
  <si>
    <t>Stikla pudeles</t>
  </si>
  <si>
    <t>Mitrās salvetes</t>
  </si>
  <si>
    <t>JRC kods</t>
  </si>
  <si>
    <t>J67</t>
  </si>
  <si>
    <t>J211</t>
  </si>
  <si>
    <t>J134</t>
  </si>
  <si>
    <t>JRC koda apraksts</t>
  </si>
  <si>
    <t>Smēķēšanas atkritumi (izsmēķi un filtri)</t>
  </si>
  <si>
    <t>Plastmasas plēves, rūpnieciskais iepakojums</t>
  </si>
  <si>
    <t>Dažādi plastmasas materiālu medicīnas atkritumi (plāksteri, pārsēji u.c.).</t>
  </si>
  <si>
    <t>Dažādi gumijas gabali</t>
  </si>
  <si>
    <t>Īpatsvars %, vid. 2023.-2024.g.</t>
  </si>
  <si>
    <t>TOP</t>
  </si>
  <si>
    <t>2017.gads (vidējais a.v./100m, nacionālie dati, pilnie lauka dati smēķēšanas atkritumiem)</t>
  </si>
  <si>
    <t>Materiāls</t>
  </si>
  <si>
    <t>Frakcijas nosaukums</t>
  </si>
  <si>
    <t>Vienību skaits</t>
  </si>
  <si>
    <t>Īpatsvars % no kopējā</t>
  </si>
  <si>
    <t>Izplatība LV piekrastē %</t>
  </si>
  <si>
    <t>Top1</t>
  </si>
  <si>
    <t>Plastmasa/polimēri</t>
  </si>
  <si>
    <t>Smēķēšanas atkritumi</t>
  </si>
  <si>
    <t>Top2</t>
  </si>
  <si>
    <t>Plastmasa cits / nekategorizēts</t>
  </si>
  <si>
    <t>Top3</t>
  </si>
  <si>
    <t>Plastmasas maisiņi</t>
  </si>
  <si>
    <t>Top4</t>
  </si>
  <si>
    <t>Top5</t>
  </si>
  <si>
    <t>Top6</t>
  </si>
  <si>
    <t>Papīra krūzes, ēdienu paplātes, ietinamais papīrs, cigarešu paciņas, dzērienu iepakojumi</t>
  </si>
  <si>
    <t>Top7</t>
  </si>
  <si>
    <t>Top8</t>
  </si>
  <si>
    <t>OT05</t>
  </si>
  <si>
    <t>Cits</t>
  </si>
  <si>
    <t>Cits, nekategorizēts (iesk., akmeņogles)</t>
  </si>
  <si>
    <t>Top9</t>
  </si>
  <si>
    <t>Tekstils</t>
  </si>
  <si>
    <t>Dažādi audumi (iesk., lupatas)</t>
  </si>
  <si>
    <t>Top10</t>
  </si>
  <si>
    <t>Putuplasts (izolācija un iepakojums)</t>
  </si>
  <si>
    <t>Top11</t>
  </si>
  <si>
    <t>Alumīnija folija un plēve</t>
  </si>
  <si>
    <t>Top12</t>
  </si>
  <si>
    <t>Top13</t>
  </si>
  <si>
    <t>Plastmasas galda piederumi (naži, dakšiņas, karotes, salmiņi, maisāmie kociņi)</t>
  </si>
  <si>
    <t>Top14</t>
  </si>
  <si>
    <t>Metāla pudeļu vāciņi un korķi</t>
  </si>
  <si>
    <t>Top15</t>
  </si>
  <si>
    <t>Būvmateriāli (keramikas materiāli)</t>
  </si>
  <si>
    <t>Kopā TOP15</t>
  </si>
  <si>
    <t>NA</t>
  </si>
  <si>
    <t>Pārējās</t>
  </si>
  <si>
    <t>KOPĀ</t>
  </si>
  <si>
    <t>Monitoringa laukumu skaits</t>
  </si>
  <si>
    <t>Vidēji a.v/100m</t>
  </si>
  <si>
    <t>Mediāna a.v. skaitam 100 m</t>
  </si>
  <si>
    <t>2018.gads (vidējais a.v./100m, nacionālie dati, pilnie lauka dati smēķēšanas atkritumiem)</t>
  </si>
  <si>
    <t>OR05</t>
  </si>
  <si>
    <t>Organika</t>
  </si>
  <si>
    <t>Pārtikas atkritumi un organika</t>
  </si>
  <si>
    <t>2019.gads  (vidējais a.v./100m, nacionālie dati, pilnie lauka dati smēķēšanas atkritumiem)</t>
  </si>
  <si>
    <t>OT02</t>
  </si>
  <si>
    <t>Higiēnas preces</t>
  </si>
  <si>
    <t>2020.gads  (vidējais a.v./100m, nacionālie dati, pilnie lauka dati smēķēšanas atkritumiem)</t>
  </si>
  <si>
    <t>2021.gads  (vidējais a.v./100m, nacionālie dati, pilnie lauka dati smēķēšanas atkritumiem)</t>
  </si>
  <si>
    <t>2022.gads  (vidējais a.v./100m, nacionālie dati, pilnie lauka dati smēķēšanas atkritumiem)</t>
  </si>
  <si>
    <t>ME10</t>
  </si>
  <si>
    <t>Metāls cits</t>
  </si>
  <si>
    <t>Neidentificējami plasmasas gabali</t>
  </si>
  <si>
    <t>Plastmasas pārtikas iepakojums/pakas/saldumu ietinamie</t>
  </si>
  <si>
    <t>Plastmasas virve (diametrā &lt;1cm)</t>
  </si>
  <si>
    <t>Plastmasas kosmētikas kociņi (ausu kociņi)</t>
  </si>
  <si>
    <t>Putuplasta gabali (PU/Pe materiāls, izolācijas putas)</t>
  </si>
  <si>
    <t xml:space="preserve">Polistirēna gabali </t>
  </si>
  <si>
    <t>Plastmasas rotaļlietas un konfeti</t>
  </si>
  <si>
    <t xml:space="preserve">Smēķēšanas atkritumi </t>
  </si>
  <si>
    <t xml:space="preserve">Plastmasas pārtikas iepakojums </t>
  </si>
  <si>
    <t xml:space="preserve">Neidentificējami plastmasas gabali </t>
  </si>
  <si>
    <t xml:space="preserve">Identificējami papīra un kartona gabali </t>
  </si>
  <si>
    <t xml:space="preserve">Plastmasas virves diametrā &lt;1cm </t>
  </si>
  <si>
    <t xml:space="preserve">Mazie/vieglie plastmasas maisi </t>
  </si>
  <si>
    <t xml:space="preserve">Putuplasts (iesk., izolācijas putas) </t>
  </si>
  <si>
    <t xml:space="preserve">Pārtikas atkritumi </t>
  </si>
  <si>
    <t xml:space="preserve">Stikla un keramikas gabali </t>
  </si>
  <si>
    <t xml:space="preserve">Plastmasas plēves, industriālais iepakojums </t>
  </si>
  <si>
    <t xml:space="preserve">Alumīnija folija </t>
  </si>
  <si>
    <t xml:space="preserve">Putu polistirola gabali </t>
  </si>
  <si>
    <t xml:space="preserve">Plastmasas kosmētikas kociņi </t>
  </si>
  <si>
    <t>Plastmasa/Gumija</t>
  </si>
  <si>
    <t xml:space="preserve">Visi balonu atkritumi </t>
  </si>
  <si>
    <t xml:space="preserve">Tekstila atkritumi (lupatas) </t>
  </si>
  <si>
    <t>Novērtējumi labklājības ieguvumiem Latvijas sabiedrībai no papildu pasākumu ieviešanas un JPA samazināšanas scenārijiem</t>
  </si>
  <si>
    <t>Datu avots: Nacionāla Latvijas iedzīvotāju izlases aptauja 2025. gadā (izlases lielums N=1100).</t>
  </si>
  <si>
    <t>Papildu pasākumi JPA samazināšanai</t>
  </si>
  <si>
    <t>Vidējā balle (skalā 0-4)</t>
  </si>
  <si>
    <t>Standart-novirze</t>
  </si>
  <si>
    <t>Uzlabot atkritumu tvertņu pieejamību pludmalē un jūras piekrastē</t>
  </si>
  <si>
    <t>Uzlabot tehnisko infrastruktūru lietus ūdeņu un notekūdeņu savākšanai un attīrīšanai, lai samazinātu mikro-plastmasas un cita atkritumu piesārņojuma nonākšanu jūras vidē</t>
  </si>
  <si>
    <t>Piekrastes pašvaldībām veikt intensīvāku pludmaļu tīrīšanu no atkritumu piesārņojuma</t>
  </si>
  <si>
    <t>Noteikt stingrākas prasības kuģiem un ostām kuģu radīto atkritumu savākšanai un apsaimniekošanai</t>
  </si>
  <si>
    <t>Paplašināt nacionālo depozīt-iemaksas atgriešanas sistēmu izlietotajam dzērienu iepakojumam, lai vairāk iepakojuma tiktu savākts un mazāk nonāktu vidē</t>
  </si>
  <si>
    <t>Cilvēkiem mainīt patēriņa paradumus, piemēram, mazāk izmantot plastmasu saturošus izstrādājumus, vairāk lietot atkārtoti izmantojamus izstrādājumus</t>
  </si>
  <si>
    <t>Īstenot cilvēku izglītošanas pasākumus, lai uzlabotu viņu zināšanas un informētību par atkritumu piesārņojuma problēmu jūras vidē</t>
  </si>
  <si>
    <t>Ražotājiem un mazumtirgotājiem samazināt plastmasas iepakojuma izmantošanu</t>
  </si>
  <si>
    <t>Palielināt naudas sodu par atkritumu nomešanu zemē pludmalē un piekrastē un stingrāk kontrolēt tā piemērošanu</t>
  </si>
  <si>
    <t>Piekrastes pilsētu brīvdabas pasākumos un pludmales kafejnīcās piedāvāt apmeklētājiem iespēju dzērieniem izmantot atkārtoti lietojamas glāzes ar atgūstamu naudas iemaksu (lai izlietotās glāzes tiktu savāktas un nenonāktu vidē)</t>
  </si>
  <si>
    <t>Organizēt vides piesārņojuma ar atkritumiem savākšanas talkas jūras piekrastē un sauszemē ar iedzīvotāju piedalīšanos</t>
  </si>
  <si>
    <t>Palielināt ražotāju atbildību par plastmasas atkritumiem, piemēram, uzlikt pienākumu ražotājiem segt izmaksas par viņu produktu radīto atkritumu savākšanu un apsaimniekošanu</t>
  </si>
  <si>
    <t>Noteikt papildu izmantošanas aizliegumus vienreizēji lietojamiem plastmasas izstrādājumiem</t>
  </si>
  <si>
    <t>Noteikt papildu maksu patērētājiem par plastmasu saturošiem izstrādājumiem, kas rada vislielāko atkritumu piesārņojumu vidē</t>
  </si>
  <si>
    <t>Ieguvumi EUR vidēji uz 1 mājsaimniecību gadā</t>
  </si>
  <si>
    <t>Vidējā 95 % ticamības intervāls</t>
  </si>
  <si>
    <t>Atsauce: AKTiiVS (2026) Latvijas sabiedrības zinātība un uzvedība jūru piesārņojošo atkritumu jomā un labklājības ieguvumi no šī piesārņojuma samazināšanas un vides mērķu sasniegšanas. ES EJZAF līdzfinansēta projekta “Pētījumi zināšanu uzlabošanai par jūras vides stāvokli integrētās jūrlietu politikas ieviešanai” (Nr. 24-00-U1010801-000001) pētījuma atskaite.</t>
  </si>
  <si>
    <t>Datu avots: Nacionālas Latvijas iedzīvotāju izlases aptaujas 2025. gadā dati (izlases lielums N=1100) un aptaujas datu statistiskās modelēšanas rezultāts.</t>
  </si>
  <si>
    <t>Datu avots: Pētījuma ietvaros apkopota informācija.</t>
  </si>
  <si>
    <t>Datu avots: Pētījuma ekspertu vērtējums.</t>
  </si>
  <si>
    <t>Novērtējums slodzes avotu ieguldījumam kopējā slodzē (atkritumu makro-piesārņojumam pludmalē), kas tiek izmantots pasākumu efektivitātes un pietiekamības vērtēšanai</t>
  </si>
  <si>
    <r>
      <t xml:space="preserve">2023.gads (pilnie laukumu dati, </t>
    </r>
    <r>
      <rPr>
        <b/>
        <sz val="10"/>
        <color rgb="FFFF0000"/>
        <rFont val="Calibri"/>
        <family val="2"/>
        <charset val="186"/>
      </rPr>
      <t>JRC-code</t>
    </r>
    <r>
      <rPr>
        <b/>
        <sz val="10"/>
        <color rgb="FF000000"/>
        <rFont val="Calibri"/>
        <family val="2"/>
        <charset val="186"/>
      </rPr>
      <t xml:space="preserve"> protokols)</t>
    </r>
  </si>
  <si>
    <r>
      <t xml:space="preserve">2024.gads (pilnie laukumu dati, </t>
    </r>
    <r>
      <rPr>
        <b/>
        <sz val="10"/>
        <color rgb="FFFF0000"/>
        <rFont val="Calibri"/>
        <family val="2"/>
        <charset val="186"/>
      </rPr>
      <t>JRC-code</t>
    </r>
    <r>
      <rPr>
        <b/>
        <sz val="10"/>
        <color rgb="FF000000"/>
        <rFont val="Calibri"/>
        <family val="2"/>
        <charset val="186"/>
      </rPr>
      <t xml:space="preserve"> protokols)</t>
    </r>
  </si>
  <si>
    <r>
      <t xml:space="preserve">2025.gads (pilnie laukumu dati, </t>
    </r>
    <r>
      <rPr>
        <b/>
        <sz val="10"/>
        <color rgb="FFFF0000"/>
        <rFont val="Calibri"/>
        <family val="2"/>
        <charset val="186"/>
      </rPr>
      <t>JRC-code</t>
    </r>
    <r>
      <rPr>
        <b/>
        <sz val="10"/>
        <color rgb="FF000000"/>
        <rFont val="Calibri"/>
        <family val="2"/>
        <charset val="186"/>
      </rPr>
      <t xml:space="preserve"> protokols)</t>
    </r>
  </si>
  <si>
    <t>Datu avots: Nodibinājuma "Vides izglības fonds" īstenotās kampaņas "Mana Jūra" pludmales atkritumu daudzuma uzskaišu dati.</t>
  </si>
  <si>
    <t>2017.gads (vidējais a.v./100m, nacionālie dati UNEP)</t>
  </si>
  <si>
    <t>2018.gads (vidējais a.v./100m, nacionālie dati UNEP)</t>
  </si>
  <si>
    <t>2019.gads (vidējais a.v./100m, nacionālie dati UNEP)</t>
  </si>
  <si>
    <t>2020.gads (vidējais a.v./100m, nacionālie dati UNEP)</t>
  </si>
  <si>
    <t>2021.gads (vidējais a.v./100m, nacionālie dati UNEP)</t>
  </si>
  <si>
    <t>2022.gads (vidējais a.v./100m, nacionālie dati UNEP)</t>
  </si>
  <si>
    <t>Plastmasas dzērienu iepakojumu gredzeni</t>
  </si>
  <si>
    <t>Monitoringu skaits</t>
  </si>
  <si>
    <r>
      <t xml:space="preserve">2023.gads (vidējais a.v./100m, nacionālie dati, </t>
    </r>
    <r>
      <rPr>
        <b/>
        <sz val="10"/>
        <color rgb="FFFF0000"/>
        <rFont val="Calibri"/>
        <family val="2"/>
        <charset val="186"/>
      </rPr>
      <t>JRC-code protokols pārrēķināts uz UNEP</t>
    </r>
    <r>
      <rPr>
        <b/>
        <sz val="10"/>
        <color rgb="FF000000"/>
        <rFont val="Calibri"/>
        <family val="2"/>
        <charset val="186"/>
      </rPr>
      <t>)</t>
    </r>
  </si>
  <si>
    <r>
      <t xml:space="preserve">2024.gads (vidējais a.v./100m, nacionālie dati, </t>
    </r>
    <r>
      <rPr>
        <b/>
        <sz val="10"/>
        <color rgb="FFFF0000"/>
        <rFont val="Calibri"/>
        <family val="2"/>
        <charset val="186"/>
      </rPr>
      <t>JRC-code protokols pārrēķināts uz UNEP</t>
    </r>
    <r>
      <rPr>
        <b/>
        <sz val="10"/>
        <color rgb="FF000000"/>
        <rFont val="Calibri"/>
        <family val="2"/>
        <charset val="186"/>
      </rPr>
      <t>)</t>
    </r>
  </si>
  <si>
    <r>
      <rPr>
        <b/>
        <u/>
        <sz val="10"/>
        <color theme="1"/>
        <rFont val="Calibri"/>
        <family val="2"/>
        <charset val="186"/>
      </rPr>
      <t>Pamata datu kopa:</t>
    </r>
    <r>
      <rPr>
        <b/>
        <sz val="10"/>
        <color theme="1"/>
        <rFont val="Calibri"/>
        <family val="2"/>
        <charset val="186"/>
      </rPr>
      <t xml:space="preserve"> Dati pasākumu efektivitātes un pietiekamības vērtēšanai - uzskaišu dati pludmales atkritumu makro-piesārņojuma daudzumam 2017.-2025.gadā; ar koriģētiem UNEP protokola datiem 2017.-2022. gadam salīdzināmībai ar JRC protokolu.</t>
    </r>
  </si>
  <si>
    <r>
      <rPr>
        <b/>
        <u/>
        <sz val="10"/>
        <color theme="1"/>
        <rFont val="Calibri"/>
        <family val="2"/>
        <charset val="186"/>
      </rPr>
      <t xml:space="preserve">Papildu datu kopa: </t>
    </r>
    <r>
      <rPr>
        <b/>
        <sz val="10"/>
        <color theme="1"/>
        <rFont val="Calibri"/>
        <family val="2"/>
        <charset val="186"/>
      </rPr>
      <t>Dati esošā stāvokļa atbilstības LJVS robežvērtībai novērtēšanai - 2017.-2024.gada monitoringa dati atbilstoši UNEP protokolam.</t>
    </r>
  </si>
  <si>
    <t xml:space="preserve">Pasākumu efektivitātes novērtēšanai rīks ļauj veikt analīzi attiecībā uz atkritumu makro-piesārņojumu pludmalē. </t>
  </si>
  <si>
    <t>BSPas7 un IPPas1</t>
  </si>
  <si>
    <t>Pasākumi iepakojuma atkritumu rašanās novēršanai, kas izriet no Regulas (ES) 2025/40 par iepakojumu.</t>
  </si>
  <si>
    <t>BSpas16 =&gt; IPPas3</t>
  </si>
  <si>
    <t>BSpas17 =&gt; IPPas4</t>
  </si>
  <si>
    <t>BSPas1 un BSPas2</t>
  </si>
  <si>
    <t>nav izdalīts</t>
  </si>
  <si>
    <t>J8 un J7</t>
  </si>
  <si>
    <t>J175</t>
  </si>
  <si>
    <t>J200</t>
  </si>
  <si>
    <t>J237</t>
  </si>
  <si>
    <t>Plastmasas pudeles &lt; 2 l (JRC 2 kodi &lt;0,5;&lt;2l)</t>
  </si>
  <si>
    <t>Plastmasas šķiedras mitrās salvetes</t>
  </si>
  <si>
    <t>BSPas18 =&gt; IPPas2</t>
  </si>
  <si>
    <t>Waste Management =&gt; management of collected waste.
Education =&gt; audio-visual campaigns; other knowledge provision. 
(Removal actions =&gt; litter removal on land; coastal removal actions.)</t>
  </si>
  <si>
    <t>Vieglās plastmasas iepirkumu maisiņi.</t>
  </si>
  <si>
    <t>Individuālā/privātā patēriņa plastmasas izstrādājumi, kas rada nozīmīgu jūras vides piegružojumu.</t>
  </si>
  <si>
    <t>Nav iespējams pateikt šādu pasākumu apjomu (līdz 2030.gadam). Apjoms pieņemts vismaz esošā intensitātē.
Nav iespējams pateikt turpmākos pasākumos aptvertos atkritumu veidus.</t>
  </si>
  <si>
    <t>Vienreiz lietojamās plastmasas dzērienu glāzes.</t>
  </si>
  <si>
    <t>Piemēri pasākumiem, kur izmantotas depozīta glāžu/trauku sistēmas: 
Valmieras pilsētas svētkos dzērienu depozīta glāžu sistēma no 2024.gada; depozīta glāžu sistēma mūzikas un mākslas festivālā "Laba daba" (Līgatnes pagasts) no 2019.gada; dzērienu dpozīta glāzu sisitēma Cēsu pilsētas svētkos no 2023. gada; depozīta glāžu sistēma sarunu festivālā "Lampa" (Cēsis) no 2019.gada, un 2024. gadā uzsākts pilotprojekts, iekļaujot arī depozīttraukus karstajiem dzērieniem un ēdieniem (festivāla ēdināšanas zonās darbojās depozīta trauku sistēma, kur ierobežotā skaitā pieejami depozīta šķīvji un bļodas).</t>
  </si>
  <si>
    <r>
      <t xml:space="preserve">Nepietiekamas informācijas dēļ par BS pasākuma iespējamo ieviešanu </t>
    </r>
    <r>
      <rPr>
        <b/>
        <sz val="9"/>
        <color rgb="FF0070C0"/>
        <rFont val="Calibri"/>
        <family val="2"/>
        <charset val="186"/>
        <scheme val="minor"/>
      </rPr>
      <t xml:space="preserve">pasākums nav iekļauts BS pasākumu efektivitātes vērtēšanā. </t>
    </r>
    <r>
      <rPr>
        <sz val="9"/>
        <color rgb="FF0070C0"/>
        <rFont val="Calibri"/>
        <family val="2"/>
        <charset val="186"/>
        <scheme val="minor"/>
      </rPr>
      <t>Bet varētu tikt analizēts saistībā ar iespējamiem papildu pasākumiem.</t>
    </r>
  </si>
  <si>
    <r>
      <t xml:space="preserve">Zilā Karoga (ZK) programmas pasākumu īstenošana Latvijas pludmalēs un jahtu ostās
</t>
    </r>
    <r>
      <rPr>
        <sz val="9"/>
        <color theme="1"/>
        <rFont val="Calibri"/>
        <family val="2"/>
        <charset val="186"/>
        <scheme val="minor"/>
      </rPr>
      <t>ZK programmas pasākumi atbilstībai ZK kritērijiem/prasībām ar tiešu ietekmi uz JPA (attiecībā uz peldvietām):
15. kritērijs: Peldvieta ir tīra, un pašvaldība īsteno preventīvās rīcības jūras un piekrastes piesārņojošo atkritumu (JPA) daudzuma samazināšanai. Rīcības/pasākumi kritērija izpildei: JPA risināšana atkritumu apsaimniekošanas plānā; vietējais JPA plāns; vienreiz lietojamā plastmasas iepakojuma un preču aprites ierobežojumi; regulārs izvērtējums/rīcības; regulārs izvērtējums/rekomendācijas; vietējie preventīvie pasākumi; brīvprātīgās vienošanās.
17. kritērijs: Peldvietā pietiekamā skaitā ir izvietotas atkritumu urnas un konteineri, to apsaimniekošanas intensitāte atbilst pludmales noslodzei.</t>
    </r>
  </si>
  <si>
    <t>PP29 pasākumam: JPA veidi, ko var ietekmēt ar pašvaldību līmenī īstenotiem pasākumiem JPA samazināšanai.
(Citiem pasākumiem nav tieša efekta uz JPA samazinājumu.)</t>
  </si>
  <si>
    <t>BSPas20</t>
  </si>
  <si>
    <r>
      <rPr>
        <b/>
        <sz val="9"/>
        <rFont val="Calibri"/>
        <family val="2"/>
        <charset val="186"/>
        <scheme val="minor"/>
      </rPr>
      <t>Pasākumi, kas iziet no ES Regulas par plastmasas granulu zudumu novēršanu</t>
    </r>
    <r>
      <rPr>
        <sz val="9"/>
        <rFont val="Calibri"/>
        <family val="2"/>
        <charset val="186"/>
        <scheme val="minor"/>
      </rPr>
      <t xml:space="preserve"> nolūkā samazināt piesārņotību ar mikroplastmasu.
Regulas 12. pants: Pienākumi attiecībā uz plastmasas granulu pārvadāšanu konteineros pa jūru.</t>
    </r>
  </si>
  <si>
    <t>UNEP</t>
  </si>
  <si>
    <t>JRC</t>
  </si>
  <si>
    <t>.</t>
  </si>
  <si>
    <t>Vidējais a.v. skaits 100 pludmales m</t>
  </si>
  <si>
    <t>"Bāzes scenārija" pasākumu efektivitātes un pietiekamības novērtējums</t>
  </si>
  <si>
    <t>Vidējais a.v. skaits 100 m periodā 2017.-2022. gads</t>
  </si>
  <si>
    <t>Vidējais a.v. skaits 100 m periodā 2023.-2024. gads</t>
  </si>
  <si>
    <t>Piezīmes. Novērtējums veikts tikai attiecībā uz atkritumu makro-piesārņojumu pludmalē.</t>
  </si>
  <si>
    <r>
      <rPr>
        <b/>
        <sz val="9"/>
        <color theme="1"/>
        <rFont val="Calibri"/>
        <family val="2"/>
        <charset val="186"/>
        <scheme val="minor"/>
      </rPr>
      <t>Turpmāki nacionālie pasākumi vieglās plastmasas iepirkumu maisiņu patēriņa noturīgai samazināšanai</t>
    </r>
    <r>
      <rPr>
        <sz val="9"/>
        <color theme="1"/>
        <rFont val="Calibri"/>
        <family val="2"/>
        <charset val="186"/>
        <scheme val="minor"/>
      </rPr>
      <t xml:space="preserve"> atbilstoši ES regulas (ES) 2025/40 34.pantam.
Papildu piezīmes. Regula arī nosaka no 2030.gada aizliegumu laist tirgū V pielikumā uzskaitīto iepakojumu formātus norādītiem izmantošanas veidiem, tai skaitā, ļoti viegli plastmasas iepirkumu maisiņi (atkāpe – higiēnas nolūks). Šī prasība nav ietverta, jo ir ārpus BS perioda.</t>
    </r>
  </si>
  <si>
    <r>
      <rPr>
        <u/>
        <sz val="9"/>
        <rFont val="Calibri"/>
        <family val="2"/>
        <charset val="186"/>
        <scheme val="minor"/>
      </rPr>
      <t xml:space="preserve">Likuma 8.pantā noteiktie izstrādājumi: </t>
    </r>
    <r>
      <rPr>
        <b/>
        <sz val="9"/>
        <rFont val="Calibri"/>
        <family val="2"/>
        <charset val="186"/>
        <scheme val="minor"/>
      </rPr>
      <t>Pārtikas iepakojums</t>
    </r>
    <r>
      <rPr>
        <sz val="9"/>
        <rFont val="Calibri"/>
        <family val="2"/>
        <charset val="186"/>
        <scheme val="minor"/>
      </rPr>
      <t xml:space="preserve">, tostarp, ko izmanto ātrajām uzkodām vai citam ēdienam, kas gatavs tūlītējam patēriņam (ēdiena trauki ar vāciņu vai bez tā); Paciņas un iesaiņojums no elastīga materiāla, kas paredzēts pārtikas tūlītējam patēriņam no šāda iesaiņojuma bez turpmākas sagatavošanas; </t>
    </r>
    <r>
      <rPr>
        <b/>
        <sz val="9"/>
        <rFont val="Calibri"/>
        <family val="2"/>
        <charset val="186"/>
        <scheme val="minor"/>
      </rPr>
      <t>Dzērienu iepakojums ar ietilpību līdz trim litriem</t>
    </r>
    <r>
      <rPr>
        <sz val="9"/>
        <rFont val="Calibri"/>
        <family val="2"/>
        <charset val="186"/>
        <scheme val="minor"/>
      </rPr>
      <t xml:space="preserve">, piemēram, plastmasu saturošs vai kompozīta iepakojums, tā korķīši un vāciņi; </t>
    </r>
    <r>
      <rPr>
        <b/>
        <sz val="9"/>
        <rFont val="Calibri"/>
        <family val="2"/>
        <charset val="186"/>
        <scheme val="minor"/>
      </rPr>
      <t>izņemot</t>
    </r>
    <r>
      <rPr>
        <sz val="9"/>
        <rFont val="Calibri"/>
        <family val="2"/>
        <charset val="186"/>
        <scheme val="minor"/>
      </rPr>
      <t xml:space="preserve"> </t>
    </r>
    <r>
      <rPr>
        <u/>
        <sz val="9"/>
        <rFont val="Calibri"/>
        <family val="2"/>
        <charset val="186"/>
        <scheme val="minor"/>
      </rPr>
      <t>dzērienu iepakojumu no stikla vai metāla</t>
    </r>
    <r>
      <rPr>
        <sz val="9"/>
        <rFont val="Calibri"/>
        <family val="2"/>
        <charset val="186"/>
        <scheme val="minor"/>
      </rPr>
      <t xml:space="preserve">, kam ir </t>
    </r>
    <r>
      <rPr>
        <u/>
        <sz val="9"/>
        <rFont val="Calibri"/>
        <family val="2"/>
        <charset val="186"/>
        <scheme val="minor"/>
      </rPr>
      <t>no plastmasas izgatavoti korķīši un vāciņi</t>
    </r>
    <r>
      <rPr>
        <sz val="9"/>
        <rFont val="Calibri"/>
        <family val="2"/>
        <charset val="186"/>
        <scheme val="minor"/>
      </rPr>
      <t xml:space="preserve">; </t>
    </r>
    <r>
      <rPr>
        <b/>
        <sz val="9"/>
        <rFont val="Calibri"/>
        <family val="2"/>
        <charset val="186"/>
        <scheme val="minor"/>
      </rPr>
      <t>Dzērienu glāzes un to vāciņi</t>
    </r>
    <r>
      <rPr>
        <sz val="9"/>
        <rFont val="Calibri"/>
        <family val="2"/>
        <charset val="186"/>
        <scheme val="minor"/>
      </rPr>
      <t>; (</t>
    </r>
    <r>
      <rPr>
        <b/>
        <sz val="9"/>
        <rFont val="Calibri"/>
        <family val="2"/>
        <charset val="186"/>
        <scheme val="minor"/>
      </rPr>
      <t>Vieglās plastmasas iepirkumu maisiņi); Mitrās salvetes; Baloni; Tabakas izstrādājumi ar filtirem un filtri,</t>
    </r>
    <r>
      <rPr>
        <sz val="9"/>
        <rFont val="Calibri"/>
        <family val="2"/>
        <charset val="186"/>
        <scheme val="minor"/>
      </rPr>
      <t xml:space="preserve"> ko tirgo lietošanai kopā ar tabakas izstrādājumiem; </t>
    </r>
    <r>
      <rPr>
        <b/>
        <sz val="9"/>
        <color rgb="FF0070C0"/>
        <rFont val="Calibri"/>
        <family val="2"/>
        <charset val="186"/>
        <scheme val="minor"/>
      </rPr>
      <t>noteiktas higiēnas preces (ir iekļautas Direktīvā, bet nav iekļautas likumā?).</t>
    </r>
  </si>
  <si>
    <r>
      <t xml:space="preserve">Izlietotā iepakojuma un vienreiz lietojamo galda trauku un piederumu </t>
    </r>
    <r>
      <rPr>
        <b/>
        <sz val="9"/>
        <color theme="1"/>
        <rFont val="Calibri"/>
        <family val="2"/>
        <charset val="186"/>
        <scheme val="minor"/>
      </rPr>
      <t>ražotāju paplašinātās atbildības sistēmu (RAS)</t>
    </r>
    <r>
      <rPr>
        <sz val="9"/>
        <color theme="1"/>
        <rFont val="Calibri"/>
        <family val="2"/>
        <charset val="186"/>
        <scheme val="minor"/>
      </rPr>
      <t xml:space="preserve"> ieviešana  (atbilstoši Direktīvas (ES) 2019/904 8.pantam attiecībā uz pielikuma E I daļā minētajiem izstrādājumiem).
</t>
    </r>
    <r>
      <rPr>
        <i/>
        <sz val="9"/>
        <color theme="1"/>
        <rFont val="Calibri"/>
        <family val="2"/>
        <charset val="186"/>
        <scheme val="minor"/>
      </rPr>
      <t>Piezīmes. RAS attiecībā uz vieglās plastmasas iepirkumu maisiņiem ietverts zem BSPas1.</t>
    </r>
  </si>
  <si>
    <t>Vieglās plastmasas iepirkumu maisiņi (bet ne ļoti vieglās plastmasas maisiņi).</t>
  </si>
  <si>
    <r>
      <rPr>
        <sz val="9"/>
        <color theme="0" tint="-0.499984740745262"/>
        <rFont val="Calibri"/>
        <family val="2"/>
        <charset val="186"/>
        <scheme val="minor"/>
      </rPr>
      <t>No 01.2017.gada DRN likmes paaugstinājums visiem plastmasas maisiņiem.
No 01.2019. plastmasas maisiņi tirdzniecības vietās par maksu, izņemot ļoti vieglās plastmasas maisiņus.
No 01.2019. iepakotājs tirdzniecības vietā informē patērētājus par plastmasas iepirkumu maisiņu patēriņa samazināšanas nepieciešamību, par tirdzniecības vietā pieejamiem alternatīviem iepakojuma veidiem un iespēju izmantot līdzpaņemtu maisiņu vai citu iepakojumu.</t>
    </r>
    <r>
      <rPr>
        <sz val="9"/>
        <color theme="1"/>
        <rFont val="Calibri"/>
        <family val="2"/>
        <charset val="186"/>
        <scheme val="minor"/>
      </rPr>
      <t xml:space="preserve">
No 2019.gada RAS pasākumi attiecībā uz vieglās plastmasas maisiņiem.
No 01.2025. tirdzniecības vietās jāaizstāj vieglās plastmasas iepirkumu maisiņi, izņemot ļoti vieglās plastmasas iepirkumu maisiņus, ar iepakojumu no papīra un kartona vai citu dabisko šķiedru un bioplastmasas izejmateriālu. (Prasība neattiecas uz ļoti vieglās plastmasas maisiņiem, kuru biezums ir &lt;15 mikroni un “biezās plastmasas” maisiņiem, kuru biezums ir ≥50 mikroni.)</t>
    </r>
  </si>
  <si>
    <t>Eiropas Parlamenta un Padomes 2015. gada 29. aprīļa direktīva (ES) 2015/720, ar ko groza direktīvu 94/62/EK; 4.pants attiecībā uz vieglās plastmasas iepirkumu maisiņu patēriņa samazināšanu.
Iepakojuma likums (ar grozījumiem no 25.10.2018.).
Eiropas Parlamenta un Padomes Direktīva (ES) 2019/904 (2019. gada 5. jūnijs) par konkrētu plastmasas izstrādājumu ietekmes uz vidi samazināšanu (8.pants attiecībā uz pielikuma E I daļā minētajiem izstrādājumiem; 10.pants attiecībā uz pielikuma G daļā minētajiem izstrādājumiem).
Plastmasu saturošu izstrādājumu patēriņa samazināšanas likums (27.05.2021.) un tā grozījumi 23.01.2025.; 8. pants: Ražotāja paplašinātās atbildības sistēmas piemērošana, 13. pants: Patērētāja informēšanas pienākums (ražotājam).</t>
  </si>
  <si>
    <t>Product Marketing &amp; Use =&gt; ban.
Education =&gt;  visual campaigns; other knowledge provision.
Waste Management =&gt; management of collected waste.</t>
  </si>
  <si>
    <t>Administratīvie; Informācijas; Tehniskie</t>
  </si>
  <si>
    <r>
      <rPr>
        <b/>
        <sz val="10"/>
        <color theme="1"/>
        <rFont val="Calibri"/>
        <family val="2"/>
        <charset val="186"/>
        <scheme val="minor"/>
      </rPr>
      <t>Nacionālie pasākumu vieglās plastmasas iepirkumu maisiņu patēriņa samazināšanai</t>
    </r>
    <r>
      <rPr>
        <sz val="10"/>
        <color theme="1"/>
        <rFont val="Calibri"/>
        <family val="2"/>
        <charset val="186"/>
        <scheme val="minor"/>
      </rPr>
      <t>.</t>
    </r>
  </si>
  <si>
    <r>
      <rPr>
        <b/>
        <sz val="9"/>
        <color theme="1"/>
        <rFont val="Calibri"/>
        <family val="2"/>
        <charset val="186"/>
        <scheme val="minor"/>
      </rPr>
      <t xml:space="preserve">Nacionālie pasākumi vieglās plastmasas iepirkumu maisiņu patēriņa samazināšanai.
</t>
    </r>
    <r>
      <rPr>
        <sz val="9"/>
        <color theme="1"/>
        <rFont val="Calibri"/>
        <family val="2"/>
        <charset val="186"/>
        <scheme val="minor"/>
      </rPr>
      <t xml:space="preserve">Atbilstoši Direktīvas (ES) 2015/720 4.pantam, Dalībvalstu veiktie pasākumi ietver </t>
    </r>
    <r>
      <rPr>
        <u/>
        <sz val="9"/>
        <color theme="1"/>
        <rFont val="Calibri"/>
        <family val="2"/>
        <charset val="186"/>
        <scheme val="minor"/>
      </rPr>
      <t>vai nu vienu, vai abus šādus pasākumus:</t>
    </r>
    <r>
      <rPr>
        <sz val="9"/>
        <color theme="1"/>
        <rFont val="Calibri"/>
        <family val="2"/>
        <charset val="186"/>
        <scheme val="minor"/>
      </rPr>
      <t xml:space="preserve">
a) tādu pasākumu pieņemšana, kuri līdz 2019. gada 31. decembrim nodrošina, ka </t>
    </r>
    <r>
      <rPr>
        <b/>
        <sz val="9"/>
        <color theme="1"/>
        <rFont val="Calibri"/>
        <family val="2"/>
        <charset val="186"/>
        <scheme val="minor"/>
      </rPr>
      <t>gada patēriņa apjoms</t>
    </r>
    <r>
      <rPr>
        <sz val="9"/>
        <color theme="1"/>
        <rFont val="Calibri"/>
        <family val="2"/>
        <charset val="186"/>
        <scheme val="minor"/>
      </rPr>
      <t xml:space="preserve"> nepārsniedz 90 vieglās plastmasas iepirkumu maisiņus uz vienu cilvēku, bet līdz </t>
    </r>
    <r>
      <rPr>
        <b/>
        <sz val="9"/>
        <color theme="1"/>
        <rFont val="Calibri"/>
        <family val="2"/>
        <charset val="186"/>
        <scheme val="minor"/>
      </rPr>
      <t>2025. gada 31. decembrim – 40 vieglās plastmasas iepirkumu maisiņus uz vienu cilvēku</t>
    </r>
    <r>
      <rPr>
        <sz val="9"/>
        <color theme="1"/>
        <rFont val="Calibri"/>
        <family val="2"/>
        <charset val="186"/>
        <scheme val="minor"/>
      </rPr>
      <t xml:space="preserve">, vai līdzvērtīgus mērķus izsakot svara vienībās. </t>
    </r>
    <r>
      <rPr>
        <b/>
        <sz val="9"/>
        <color theme="1"/>
        <rFont val="Calibri"/>
        <family val="2"/>
        <charset val="186"/>
        <scheme val="minor"/>
      </rPr>
      <t>Valsts patēriņa mērķos</t>
    </r>
    <r>
      <rPr>
        <sz val="9"/>
        <color theme="1"/>
        <rFont val="Calibri"/>
        <family val="2"/>
        <charset val="186"/>
        <scheme val="minor"/>
      </rPr>
      <t xml:space="preserve"> var neiekļaut ļoti vieglās plastmasas iepirkumu maisiņus;
b) </t>
    </r>
    <r>
      <rPr>
        <b/>
        <sz val="9"/>
        <color theme="1"/>
        <rFont val="Calibri"/>
        <family val="2"/>
        <charset val="186"/>
        <scheme val="minor"/>
      </rPr>
      <t>tādu instrumentu pieņemšana</t>
    </r>
    <r>
      <rPr>
        <sz val="9"/>
        <color theme="1"/>
        <rFont val="Calibri"/>
        <family val="2"/>
        <charset val="186"/>
        <scheme val="minor"/>
      </rPr>
      <t xml:space="preserve">, kuri līdz 2018. gada 31. decembrim nodrošina, ka vieglās plastmasas iepirkumu maisiņus preču vai ražojumu tirdzniecības vietās </t>
    </r>
    <r>
      <rPr>
        <b/>
        <sz val="9"/>
        <color theme="1"/>
        <rFont val="Calibri"/>
        <family val="2"/>
        <charset val="186"/>
        <scheme val="minor"/>
      </rPr>
      <t>neizsniedz bez maksas</t>
    </r>
    <r>
      <rPr>
        <sz val="9"/>
        <color theme="1"/>
        <rFont val="Calibri"/>
        <family val="2"/>
        <charset val="186"/>
        <scheme val="minor"/>
      </rPr>
      <t>, ja vien nav īstenoti vienlīdz efektīvi instrumenti. Minētajos pasākumos var neiekļaut ļoti vieglās plastmasas iepirkumu maisiņus.</t>
    </r>
    <r>
      <rPr>
        <sz val="9"/>
        <color rgb="FF0070C0"/>
        <rFont val="Calibri"/>
        <family val="2"/>
        <charset val="186"/>
        <scheme val="minor"/>
      </rPr>
      <t xml:space="preserve"> [Latvijā īstenotais variants]
</t>
    </r>
    <r>
      <rPr>
        <sz val="9"/>
        <rFont val="Calibri"/>
        <family val="2"/>
        <charset val="186"/>
        <scheme val="minor"/>
      </rPr>
      <t xml:space="preserve">Atbilstoši Direktīvas (ES) 2019/904 8. un 10.pantam </t>
    </r>
    <r>
      <rPr>
        <b/>
        <sz val="9"/>
        <rFont val="Calibri"/>
        <family val="2"/>
        <charset val="186"/>
        <scheme val="minor"/>
      </rPr>
      <t>RAS un patērētāju izglītošanas un informēšanas pasākumi</t>
    </r>
    <r>
      <rPr>
        <sz val="9"/>
        <rFont val="Calibri"/>
        <family val="2"/>
        <charset val="186"/>
        <scheme val="minor"/>
      </rPr>
      <t>.</t>
    </r>
  </si>
  <si>
    <t>&lt;1%</t>
  </si>
  <si>
    <r>
      <rPr>
        <b/>
        <sz val="10"/>
        <color theme="1"/>
        <rFont val="Calibri"/>
        <family val="2"/>
        <charset val="186"/>
        <scheme val="minor"/>
      </rPr>
      <t>Nacionālie pasākumi vieglās plastmasas iepirkumu maisiņu patēriņa samazināšanai</t>
    </r>
    <r>
      <rPr>
        <sz val="10"/>
        <color theme="1"/>
        <rFont val="Calibri"/>
        <family val="2"/>
        <charset val="186"/>
        <scheme val="minor"/>
      </rPr>
      <t xml:space="preserve">.
</t>
    </r>
    <r>
      <rPr>
        <b/>
        <sz val="10"/>
        <color theme="1"/>
        <rFont val="Calibri"/>
        <family val="2"/>
        <charset val="186"/>
        <scheme val="minor"/>
      </rPr>
      <t>Turpmāki nacionālie pasākumi vieglās plastmasas iepirkumu maisiņu patēriņa noturīgai samazināšanai</t>
    </r>
    <r>
      <rPr>
        <sz val="10"/>
        <color theme="1"/>
        <rFont val="Calibri"/>
        <family val="2"/>
        <charset val="186"/>
        <scheme val="minor"/>
      </rPr>
      <t xml:space="preserve"> atbilstoši ES regulas (ES) 2025/40 34.pantam.</t>
    </r>
  </si>
  <si>
    <t>tarai</t>
  </si>
  <si>
    <t>korķīšiem</t>
  </si>
  <si>
    <t>IPPas1</t>
  </si>
  <si>
    <t>BSPas7</t>
  </si>
  <si>
    <t>gredzeniem</t>
  </si>
  <si>
    <t>1/R</t>
  </si>
  <si>
    <t>4/S</t>
  </si>
  <si>
    <t>2/A</t>
  </si>
  <si>
    <t>1/R; 2/A; (4/S)</t>
  </si>
  <si>
    <t>1/R; 2/A; 4/S</t>
  </si>
  <si>
    <t>Atkritumu plūsmas posms</t>
  </si>
  <si>
    <r>
      <rPr>
        <b/>
        <sz val="9"/>
        <color theme="1"/>
        <rFont val="Calibri"/>
        <family val="2"/>
        <charset val="186"/>
        <scheme val="minor"/>
      </rPr>
      <t>Stikla, plastmasas (PET) un metāla (skārdenes) dzēriena iepakojums</t>
    </r>
    <r>
      <rPr>
        <sz val="9"/>
        <color theme="1"/>
        <rFont val="Calibri"/>
        <family val="2"/>
        <charset val="186"/>
        <scheme val="minor"/>
      </rPr>
      <t xml:space="preserve">:
</t>
    </r>
    <r>
      <rPr>
        <u/>
        <sz val="9"/>
        <color theme="1"/>
        <rFont val="Calibri"/>
        <family val="2"/>
        <charset val="186"/>
        <scheme val="minor"/>
      </rPr>
      <t xml:space="preserve">Plastmasas (PET materiālu grupa) pudeles un skārdenes ar tilpumu no 0,1 līdz 3 l (neieskaitot), t.sk.: </t>
    </r>
    <r>
      <rPr>
        <sz val="9"/>
        <color theme="1"/>
        <rFont val="Calibri"/>
        <family val="2"/>
        <charset val="186"/>
        <scheme val="minor"/>
      </rPr>
      <t xml:space="preserve">
• karbonizēti un nekarbonizēti bezalkoholiskie dzērieni (piemēram, minerālūdens, dzeramais ūdens, limonādes, enerģijas dzērieni, kafijas dzērieni, ledus tēja, sulas, nektāri, bezalkoholiskais alus), sīrupi;
• visu veidu alkoholiskie dzērieni.
</t>
    </r>
    <r>
      <rPr>
        <u/>
        <sz val="9"/>
        <color theme="1"/>
        <rFont val="Calibri"/>
        <family val="2"/>
        <charset val="186"/>
        <scheme val="minor"/>
      </rPr>
      <t xml:space="preserve">Stikla pudeles ar tilpumu no 0,1 līdz 3 l (neieskaitot), t.sk.: </t>
    </r>
    <r>
      <rPr>
        <sz val="9"/>
        <color theme="1"/>
        <rFont val="Calibri"/>
        <family val="2"/>
        <charset val="186"/>
        <scheme val="minor"/>
      </rPr>
      <t xml:space="preserve">
• karbonizēti un nekarbonizēti bezalkoholiskie dzērieni (piemēram, minerālūdens, dzeramais ūdens, limonādes, enerģijas dzērieni, kafijas dzērieni, ledus tēja, sulas, nektāri), sīrupi;
• alus (ieskaitot bezalkoholisko);
• sidrs;
• alkoholiskie dzērieni ar alkohola saturu no 0,5 % līdz 15 % (piemēram, kokteiļi vai jauktie dzērieni (dzērienu maisījumi), kas satur raudzēto dzērienu vai spirtu, tai skaitā aromatizēti vīni, aromatizēti vīna dzērieni, aromatizēti vīna kokteiļi), izņemot vīnu, dzirkstošo vīnu un augļu vīnu.</t>
    </r>
  </si>
  <si>
    <t>KOPĀ:</t>
  </si>
  <si>
    <t>Smēķēšanas atkritumiem (PL11)</t>
  </si>
  <si>
    <t>Vienreizlietojamās cietās plastmasas traukiem un galda piederumiem (PL04+PL06)</t>
  </si>
  <si>
    <t>Dzērienu depozīt-tarai (plastmasas un stikla pudeles, alumīnija skārdenes) (PL02+ME03+GC02)</t>
  </si>
  <si>
    <t>Plastmasas pudeļu korķiem un gredzeniem (PL01+PL05)</t>
  </si>
  <si>
    <t>Pārējām atkritumu frakcijām</t>
  </si>
  <si>
    <t>Nacionālie pasākumi šo prasību izpildei papildus tiem, ko jau nosaka esošie tiesību akti (BSPas1), šobrīd nav zināmi. Vieglās plastmasas maisiņu patēriņš uz 1 iedzīvotāju Latvijā 2023.gadā bija 209 gab (ar nelielu pieaugumu salīdzinājumā ar 2022.gadu). Nerēķinot ļoti vieglās plastmasas maisiņus, attiecīgais patēriņš 2023.g. bija 39 maisiņi.
=&gt; Pasākums ir iekļauts BS pasākumu efektivitātes vērtēšanā, bet ņemts vērā, ka konkrēti nacionālie pasākumi nav zināmi un pavisam vieglās plastmasas maisiņi, kas veido vairāk par 70% no kopējā maisiņu patēriņa, var tikt atbrīvoti no pasākumu piemērošanas.</t>
  </si>
  <si>
    <r>
      <t xml:space="preserve">Nacionālie pasākumi </t>
    </r>
    <r>
      <rPr>
        <b/>
        <sz val="9"/>
        <rFont val="Calibri"/>
        <family val="2"/>
        <charset val="186"/>
        <scheme val="minor"/>
      </rPr>
      <t>patērētāju izglītošanai un informēšanai</t>
    </r>
    <r>
      <rPr>
        <sz val="9"/>
        <rFont val="Calibri"/>
        <family val="2"/>
        <charset val="186"/>
        <scheme val="minor"/>
      </rPr>
      <t xml:space="preserve"> attiecībā uz Direktīvas (ES) 2019/904 pielikuma </t>
    </r>
    <r>
      <rPr>
        <b/>
        <sz val="9"/>
        <rFont val="Calibri"/>
        <family val="2"/>
        <charset val="186"/>
        <scheme val="minor"/>
      </rPr>
      <t>G daļā</t>
    </r>
    <r>
      <rPr>
        <sz val="9"/>
        <rFont val="Calibri"/>
        <family val="2"/>
        <charset val="186"/>
        <scheme val="minor"/>
      </rPr>
      <t xml:space="preserve"> minētajiem izstrādājumiem (atbilstoši direktīvas 10.pantam).
</t>
    </r>
    <r>
      <rPr>
        <i/>
        <sz val="9"/>
        <rFont val="Calibri"/>
        <family val="2"/>
        <charset val="186"/>
        <scheme val="minor"/>
      </rPr>
      <t>Piezīmes. Pasākumi attiecībā uz vieglās plastmasas iepirkumu maisiņiem ietverti zem BSPas1.</t>
    </r>
  </si>
  <si>
    <t xml:space="preserve">Depozīta glāžu un trauku sistēmas publiskajos pasākumos Latvijā tiek organizētas atbilstoši pašvaldības noteiktajām prasībām un pasākuma organizatora izvēlētā pakalpojuma sniedzēja noteikumiem.
Rīgā noteikumi nosaka obligātu prasību depozītglāžu sistēmai pasākumu rīkotājiem, un depozīta sistēmas īstenošanu organizē katra pasākuma rīkotājs. 
Praksē sistēmai ir problēmas – mēdz trūkt atgriešanas punktu, noteikumi un kārtība dažādos pasākumos atšķiras, un mēdz būt arī gadījumi, kad glāzes tiek ienestas no malas vai naudu iespējams saņemt tikai ar ierobežojumiem.  </t>
  </si>
  <si>
    <r>
      <t>Pasākuma piemērošanas teritorijas koeficients</t>
    </r>
    <r>
      <rPr>
        <b/>
        <i/>
        <sz val="10"/>
        <color theme="1"/>
        <rFont val="Calibri"/>
        <family val="2"/>
        <charset val="186"/>
        <scheme val="minor"/>
      </rPr>
      <t xml:space="preserve"> (Kpp)</t>
    </r>
  </si>
  <si>
    <r>
      <t xml:space="preserve">Atkritumu veidu aptvēruma koeficients </t>
    </r>
    <r>
      <rPr>
        <b/>
        <i/>
        <sz val="10"/>
        <color theme="1"/>
        <rFont val="Calibri"/>
        <family val="2"/>
        <charset val="186"/>
        <scheme val="minor"/>
      </rPr>
      <t>(Katkr)</t>
    </r>
  </si>
  <si>
    <r>
      <t xml:space="preserve">Slodzes avotu koeficients </t>
    </r>
    <r>
      <rPr>
        <b/>
        <i/>
        <sz val="10"/>
        <color theme="1"/>
        <rFont val="Calibri"/>
        <family val="2"/>
        <charset val="186"/>
        <scheme val="minor"/>
      </rPr>
      <t>(Kav)</t>
    </r>
  </si>
  <si>
    <t>Vid</t>
  </si>
  <si>
    <t>1/R; 2/A</t>
  </si>
  <si>
    <t>Ja pasākuma efektivitātes novērtējumā tiek ņemts vērā piesārņojuma plūsmas posms, rēķinot kā secīgu (ķēdes) efektu pēc BS pasākumu efekta.</t>
  </si>
  <si>
    <t>Pašvaldību veiktā pludmaļu tīrīšana</t>
  </si>
  <si>
    <r>
      <rPr>
        <b/>
        <sz val="10"/>
        <color theme="1"/>
        <rFont val="Calibri"/>
        <family val="2"/>
        <charset val="186"/>
        <scheme val="minor"/>
      </rPr>
      <t xml:space="preserve">RAS </t>
    </r>
    <r>
      <rPr>
        <sz val="10"/>
        <color theme="1"/>
        <rFont val="Calibri"/>
        <family val="2"/>
        <charset val="186"/>
        <scheme val="minor"/>
      </rPr>
      <t>ieviešana</t>
    </r>
    <r>
      <rPr>
        <b/>
        <sz val="10"/>
        <color theme="1"/>
        <rFont val="Calibri"/>
        <family val="2"/>
        <charset val="186"/>
        <scheme val="minor"/>
      </rPr>
      <t xml:space="preserve"> </t>
    </r>
    <r>
      <rPr>
        <sz val="10"/>
        <color theme="1"/>
        <rFont val="Calibri"/>
        <family val="2"/>
        <charset val="186"/>
        <scheme val="minor"/>
      </rPr>
      <t xml:space="preserve">attiecībā uz vienreizlietojamiem plastmasas izstrādājumiem - </t>
    </r>
    <r>
      <rPr>
        <b/>
        <sz val="10"/>
        <color theme="1"/>
        <rFont val="Calibri"/>
        <family val="2"/>
        <charset val="186"/>
        <scheme val="minor"/>
      </rPr>
      <t xml:space="preserve">tabakas izstrādājumiem ar filtriem un filtriem, </t>
    </r>
    <r>
      <rPr>
        <sz val="10"/>
        <color theme="1"/>
        <rFont val="Calibri"/>
        <family val="2"/>
        <charset val="186"/>
        <scheme val="minor"/>
      </rPr>
      <t xml:space="preserve">ko tirgo lietošanai kopā ar tabakas izstrādājumiem </t>
    </r>
    <r>
      <rPr>
        <i/>
        <sz val="10"/>
        <color theme="1"/>
        <rFont val="Calibri"/>
        <family val="2"/>
        <charset val="186"/>
        <scheme val="minor"/>
      </rPr>
      <t>(atbilstoši esošam regulējumam un īstenošanai)</t>
    </r>
  </si>
  <si>
    <r>
      <rPr>
        <b/>
        <sz val="10"/>
        <color theme="1"/>
        <rFont val="Calibri"/>
        <family val="2"/>
        <charset val="186"/>
        <scheme val="minor"/>
      </rPr>
      <t xml:space="preserve">RAS </t>
    </r>
    <r>
      <rPr>
        <sz val="10"/>
        <color theme="1"/>
        <rFont val="Calibri"/>
        <family val="2"/>
        <charset val="186"/>
        <scheme val="minor"/>
      </rPr>
      <t>ieviešana</t>
    </r>
    <r>
      <rPr>
        <b/>
        <sz val="10"/>
        <color theme="1"/>
        <rFont val="Calibri"/>
        <family val="2"/>
        <charset val="186"/>
        <scheme val="minor"/>
      </rPr>
      <t xml:space="preserve"> </t>
    </r>
    <r>
      <rPr>
        <sz val="10"/>
        <color theme="1"/>
        <rFont val="Calibri"/>
        <family val="2"/>
        <charset val="186"/>
        <scheme val="minor"/>
      </rPr>
      <t xml:space="preserve">attiecībā uz vienreizlietojamiem plastmasas izstrādājumiem - </t>
    </r>
    <r>
      <rPr>
        <b/>
        <sz val="10"/>
        <color theme="1"/>
        <rFont val="Calibri"/>
        <family val="2"/>
        <charset val="186"/>
        <scheme val="minor"/>
      </rPr>
      <t xml:space="preserve">tabakas izstrādājumiem ar filtriem un filtriem, </t>
    </r>
    <r>
      <rPr>
        <sz val="10"/>
        <color theme="1"/>
        <rFont val="Calibri"/>
        <family val="2"/>
        <charset val="186"/>
        <scheme val="minor"/>
      </rPr>
      <t xml:space="preserve">ko tirgo lietošanai kopā ar tabakas izstrādājumiem </t>
    </r>
    <r>
      <rPr>
        <i/>
        <sz val="10"/>
        <color theme="1"/>
        <rFont val="Calibri"/>
        <family val="2"/>
        <charset val="186"/>
        <scheme val="minor"/>
      </rPr>
      <t>(maksimāli efektīvas RAS scenārijs).</t>
    </r>
    <r>
      <rPr>
        <sz val="10"/>
        <color theme="1"/>
        <rFont val="Calibri"/>
        <family val="2"/>
        <charset val="186"/>
        <scheme val="minor"/>
      </rPr>
      <t xml:space="preserve">
</t>
    </r>
    <r>
      <rPr>
        <b/>
        <i/>
        <sz val="10"/>
        <color rgb="FF0070C0"/>
        <rFont val="Calibri"/>
        <family val="2"/>
        <charset val="186"/>
        <scheme val="minor"/>
      </rPr>
      <t>(!) Efekts un efektivitāte rēķināti, kā papildus efekts virs BSPas7 efekta.</t>
    </r>
  </si>
  <si>
    <t>Vidējais a.v. skaits 100 m periodā 2020.-2022. gads</t>
  </si>
  <si>
    <t>Medinānas a.v. skaits 100 m periodā 2020.-2022. gads</t>
  </si>
  <si>
    <t>Īpatsvars %, vid. 2020-2022</t>
  </si>
  <si>
    <t>Īpatsvars %, vid. 2020.-2022.g.</t>
  </si>
  <si>
    <t>Neietilpst TOP15, bet ir BS pasākumi</t>
  </si>
  <si>
    <t>Kopā no visa a.v. skaita</t>
  </si>
  <si>
    <r>
      <t>Atkritumu veidu aptvēruma koeficients</t>
    </r>
    <r>
      <rPr>
        <b/>
        <i/>
        <sz val="8"/>
        <color theme="1"/>
        <rFont val="Calibri"/>
        <family val="2"/>
        <charset val="186"/>
        <scheme val="minor"/>
      </rPr>
      <t xml:space="preserve"> (Katkr)</t>
    </r>
  </si>
  <si>
    <r>
      <t xml:space="preserve">Pasākuma efektivitāte (kopējā a.v. skaita samazinājums %), no 2022.g. līmeņa </t>
    </r>
    <r>
      <rPr>
        <b/>
        <i/>
        <sz val="10"/>
        <color theme="1"/>
        <rFont val="Calibri"/>
        <family val="2"/>
        <charset val="186"/>
        <scheme val="minor"/>
      </rPr>
      <t>(Efp)</t>
    </r>
  </si>
  <si>
    <r>
      <t xml:space="preserve">Pasākuma efekts (SS no avota %) no 2022.g. līmeņa (vid. 2020- 2022.g.) </t>
    </r>
    <r>
      <rPr>
        <b/>
        <i/>
        <sz val="10"/>
        <color theme="1"/>
        <rFont val="Calibri"/>
        <family val="2"/>
        <charset val="186"/>
        <scheme val="minor"/>
      </rPr>
      <t>(SS)</t>
    </r>
  </si>
  <si>
    <t xml:space="preserve">Dati par slodzes apjomu (atkritumu makro-piesārņojumam pludmalē), kas tiek izmantoti pasākumu efektivitātes, pietiekamības un atbilstības LJVS robežvērtībai vērtēšanai </t>
  </si>
  <si>
    <t>Tabulā: Labklājības ieguvumi Latvijas sabiedrībai dažādiem pasākumu ieviešanas un JPA samazināšanas scenārijiem (EUR vidēji uz 1 mājsaimniecību gadā un kopējie nacionālie ieguvumi vidēji gadā milj. EUR).</t>
  </si>
  <si>
    <t>no visiem slodzes avotiem..</t>
  </si>
  <si>
    <t>Kopējie nacionālie labklājības ieguvumi vidēji gadā, milj. EUR</t>
  </si>
  <si>
    <r>
      <t xml:space="preserve">atkritumu </t>
    </r>
    <r>
      <rPr>
        <b/>
        <sz val="10"/>
        <color theme="1"/>
        <rFont val="Calibri"/>
        <family val="2"/>
        <charset val="186"/>
        <scheme val="minor"/>
      </rPr>
      <t>makro</t>
    </r>
    <r>
      <rPr>
        <sz val="10"/>
        <color theme="1"/>
        <rFont val="Calibri"/>
        <family val="2"/>
        <charset val="186"/>
        <scheme val="minor"/>
      </rPr>
      <t>-piesārņojuma pludmalē samazināšanai..</t>
    </r>
  </si>
  <si>
    <r>
      <t xml:space="preserve">jaunu </t>
    </r>
    <r>
      <rPr>
        <b/>
        <sz val="10"/>
        <color theme="1"/>
        <rFont val="Calibri"/>
        <family val="2"/>
        <charset val="186"/>
        <scheme val="minor"/>
      </rPr>
      <t>mikro</t>
    </r>
    <r>
      <rPr>
        <sz val="10"/>
        <color theme="1"/>
        <rFont val="Calibri"/>
        <family val="2"/>
        <charset val="186"/>
        <scheme val="minor"/>
      </rPr>
      <t>-plastmasas ieplūžu samazināšanai..</t>
    </r>
  </si>
  <si>
    <r>
      <t xml:space="preserve">atkritumu </t>
    </r>
    <r>
      <rPr>
        <b/>
        <sz val="10"/>
        <color theme="1"/>
        <rFont val="Calibri"/>
        <family val="2"/>
        <charset val="186"/>
        <scheme val="minor"/>
      </rPr>
      <t>makro</t>
    </r>
    <r>
      <rPr>
        <sz val="10"/>
        <color theme="1"/>
        <rFont val="Calibri"/>
        <family val="2"/>
        <charset val="186"/>
        <scheme val="minor"/>
      </rPr>
      <t>-piesārņojuma pludmalē</t>
    </r>
    <r>
      <rPr>
        <b/>
        <sz val="10"/>
        <color theme="1"/>
        <rFont val="Calibri"/>
        <family val="2"/>
        <charset val="186"/>
        <scheme val="minor"/>
      </rPr>
      <t xml:space="preserve"> un jaunu mikro</t>
    </r>
    <r>
      <rPr>
        <sz val="10"/>
        <color theme="1"/>
        <rFont val="Calibri"/>
        <family val="2"/>
        <charset val="186"/>
        <scheme val="minor"/>
      </rPr>
      <t>-plastmasas ieplūžu samazināšanai..</t>
    </r>
  </si>
  <si>
    <r>
      <t xml:space="preserve">atkritumu </t>
    </r>
    <r>
      <rPr>
        <b/>
        <sz val="10"/>
        <color theme="1"/>
        <rFont val="Calibri"/>
        <family val="2"/>
        <charset val="186"/>
        <scheme val="minor"/>
      </rPr>
      <t>makro</t>
    </r>
    <r>
      <rPr>
        <sz val="10"/>
        <color theme="1"/>
        <rFont val="Calibri"/>
        <family val="2"/>
        <charset val="186"/>
        <scheme val="minor"/>
      </rPr>
      <t xml:space="preserve">-piesārņojuma pludmalē </t>
    </r>
    <r>
      <rPr>
        <b/>
        <sz val="10"/>
        <color theme="1"/>
        <rFont val="Calibri"/>
        <family val="2"/>
        <charset val="186"/>
        <scheme val="minor"/>
      </rPr>
      <t>un jaunu mikro</t>
    </r>
    <r>
      <rPr>
        <sz val="10"/>
        <color theme="1"/>
        <rFont val="Calibri"/>
        <family val="2"/>
        <charset val="186"/>
        <scheme val="minor"/>
      </rPr>
      <t>-plastmasas ieplūžu samazināšanai..</t>
    </r>
  </si>
  <si>
    <t>Zemāk.</t>
  </si>
  <si>
    <t>Augst.</t>
  </si>
  <si>
    <t>Pasākumu efektivitātes novērtējums analīzē ietvertajiem pasākumiem</t>
  </si>
  <si>
    <t>Datu avots: Novērtējumi, balstoties uz pētījumā izstrādāto informācijas bāzi un aprēķiniem.</t>
  </si>
  <si>
    <r>
      <t>Pasākuma efektivitāte (kopējā a.v. skaita samazinājums %), no 2022.g. līmeņa</t>
    </r>
    <r>
      <rPr>
        <b/>
        <i/>
        <sz val="10"/>
        <color theme="1"/>
        <rFont val="Calibri"/>
        <family val="2"/>
        <charset val="186"/>
        <scheme val="minor"/>
      </rPr>
      <t xml:space="preserve"> (Efp)</t>
    </r>
  </si>
  <si>
    <t>Pašvaldību veikti JPA samazināšanas pasākumi piekrastes teritorijās, līdzīgi kā tiek īstenoti ZK pludmalēs</t>
  </si>
  <si>
    <t>Novērtējumi JPA samazināšanas papildu pasākumu sociālo ietekmju rādītājiem</t>
  </si>
  <si>
    <t>Rīka navigācijas pogas (pārejai uz attiecīgām rīka lapām)</t>
  </si>
  <si>
    <r>
      <rPr>
        <b/>
        <sz val="10"/>
        <color rgb="FF0070C0"/>
        <rFont val="Calibri"/>
        <family val="2"/>
        <charset val="186"/>
        <scheme val="minor"/>
      </rPr>
      <t>Sociālās ietekmes rādītājs – sabiedrības atbalsts JPA samazināšanas papildu pasākumu īstenošanai.</t>
    </r>
    <r>
      <rPr>
        <b/>
        <sz val="10"/>
        <color theme="1"/>
        <rFont val="Calibri"/>
        <family val="2"/>
        <charset val="186"/>
        <scheme val="minor"/>
      </rPr>
      <t xml:space="preserve">
</t>
    </r>
    <r>
      <rPr>
        <sz val="10"/>
        <color theme="1"/>
        <rFont val="Calibri"/>
        <family val="2"/>
        <charset val="186"/>
        <scheme val="minor"/>
      </rPr>
      <t>Rādītājs ir balstīts uz Latvijas iedzīvotāju novērtēto nozīmību papildu pasākumiem JPA samazināšanai. Nozīmības novērtējums ir izmantots kā netiešs pasākumu īstenošanas atbalsta rādītājs.</t>
    </r>
  </si>
  <si>
    <t>(1) "Bāzes scenārija" pasākumu efektivitātes novērtējumi.</t>
  </si>
  <si>
    <t>(2) Iespējamu papildu pasākumu efektivitātes novērtējumi.</t>
  </si>
  <si>
    <t>3. Iespējamo papildu pasākumu sociālekonomiskais novērtējums</t>
  </si>
  <si>
    <t>Pasākumu novērtēšana ietver sekojošus novērtējumus:</t>
  </si>
  <si>
    <t>Pasākumu novērtēšanas un rīka saturs</t>
  </si>
  <si>
    <t>Katra novērtēšanā iekļautā pasākuma raksturojums, ietverot pasākumu efektivitātes novērtēšanai nozīmīgus aspektus.</t>
  </si>
  <si>
    <t>Novērtēšanā iekļauto pasākumu raksturojums (attiecībā uz pasākumu efektivitātes novērtēšanai nozīmīgiem aspektiem)</t>
  </si>
  <si>
    <t>Novērtēšanās iekļauto pasākumu aptvertie/ietekmētie atkritumu veidi (pasākumu efektivitātes aprēķinam)</t>
  </si>
  <si>
    <t>Novērtējumam tiek izstrādāti iespējamie papildu pasākumi un veikts to sociālekonomiskais novērtējums, novērtējot šo pasākumu efektivitāti, izmaksas, ieguvumus un nozīmīgas sociālās ietekmes no pasākumu ieviešanas.</t>
  </si>
  <si>
    <t>Katra novērtēšanā iekļautā pasākuma aptvertie/ietekmētie atkritumu veidi (frakcijas un izstrādājumi).
Novērtējums tiek izmantots pasākumu efektivitātes aprēķinam, skat. izmantoto koeficientu "Atkritumu veidu aptvēruma koeficients" (Katkr).</t>
  </si>
  <si>
    <t>Pētījuma uzdevumi neietvēra iespējamo papildu pasākumu izstrādi. Tādēļ šis rīka elements šobrīd nav iekļauts.
Iespējamo papildu pasākumu izstrāde pasākumu programmas atjaunošanai ir plānota projekta darbā 2027.-2028. gadā.
Šis rīka elements tiks pievienots šī plānotā darba ietvaros.</t>
  </si>
  <si>
    <t>Tā kā pētījuma uzdevumi neietvēra iespējamo papildu pasākumu izstrādi, tad netika izstrādāti arī efektivitātes un izmaksu novērtējumi. Šis rīka elements tiks pievienots plānotā darba ietvaros pasākumu programmas atjaunošanai (2027.-2028. gadā).</t>
  </si>
  <si>
    <t>1. Esošo politiku pasākumu ("bāzes scenārija" pasākumu) efektivitātes novērtējums</t>
  </si>
  <si>
    <t>2. Esošo politiku pasākumu ("bāzes scenārija" pasākumu) pietiekamības novērtējums</t>
  </si>
  <si>
    <t xml:space="preserve">Novērtējums: Novērtējums sabiedrības labklājības ieguvumiem ir balstīts uz vides ekonomiskās (monetārās) novērtēšanas pieeju (izmantojot “izvēles eksperimenta metodi”). Dati ir iegūti no speciālas iedzīvotāju izlases aptaujas, kurā tiek noskaidrota indivīdu “vēlēšanās maksāt” par vērtēšanai sniegto “vides labumu”. “Vides labums” ir raksturots ar rādītājiem (ar pasākumiem aptvertie atkritumu slodzes avoti un atkritumu piesārņojuma samazinājuma līmeņi no šiem avotiem). Iegūtās “vēlēšanās maksāt” vērtības no atsevišķajiem rādītājiem ir summētas, lai aprēķinātu dažādu pasākumu ieviešanas scenāriju vērtības (atbilstoši scenārija nosacījumiem).
Aptaujā iegūtiem datiem ir veikta ekonometriskā modelēšana, lai iegūtu vidējo “vēlēšanās maksāt” vērtību eiro uz vienu mājsaimniecību gadā. Šī vidējā vērtība ir reizināta ar mājsaimniecību skaitu ģenerālajā kopumā (Latvijā), aprēķinot kopējos nacionālos labklājības ieguvumus. Mājsaimniecību skaits Latvijā (CSP datu tabula MVS011, 2025): 829 800 mājsaimniecības.
</t>
  </si>
  <si>
    <t>Kā sociālās ietekmes rādītājs ir izmantots sabiedrības (iedzīvotāju) atbalsts JPA samazināšanas papildu pasākumu īstenošanai. Rādītājs ir balstīts uz Latvijas iedzīvotāju novērtēto nozīmību dažādiem papildu pasākumiem JPA samazināšanai. Nozīmības novērtējums ir izmantots kā netiešs pasākumu īstenošanas atbalsta rādītājs.</t>
  </si>
  <si>
    <t>Monetārs novērtējums labklājības ieguvumiem Latvijas sabiedrībai no papildu pasākumu ieviešanas un jūru piesārņojošo atkritumu (JPA) samazināšanas; dažādiem iespējamiem papildu pasākumu un slodzes samazināšanas scenārijiem. Novērtējumus var izmantot, vērtējot ieguvumus no iespējamo papildu pasākumu/pasākumu kopumu ieviešanas (saistot tos ar sasniegtajiem atkritumu piesārņojuma slodzes samazinājumiem).</t>
  </si>
  <si>
    <t>Dati par slodzes apjomu (atkritumu makro-piesārņojumam pludmalē), kas tiek izmantoti pasākumu efektivitātes, pietiekamības un atbilstības LJVS vides mērķa vērtēšanai. Lapā sniegtas arī pilnās pasākumu analīzē izmantotās datu kopas atkritumu vienību skaitam pludmalē (balstoties uz nacionālā monitoringa datiem).</t>
  </si>
  <si>
    <t xml:space="preserve">Piezīmes. Dati periodam 2017.-2022.gads ir pēc UNEP protokola (kodiem). Šo datu salīdzināmībai ar 2023.-2025.gada datiem pēc JRC protokola ir veiktas atsevišķas korekcijas UNEP protokola uzskaišu datos. 2017.-2019.gadam smēķēšanas atkritumu (PL11) vienību skaits ir pārrēķināts no 10 metriem (uzskaišu dati) uz 100 m, izmantojot koeficientu, kas iegūts no 2020.-2022.gadu uzskaišu datu salīdzinājuma, kad ir ievākti dati gan par 10 m, gan 100 m (koeficients 66% (64-70%)). 2020.-2022.gadam ir izmantoti reālu uzskaišu dati par smēķēšanas a.v. skaitu 100 metros (papildu ievākti dati, kas nav ietverti šī perioda protokolā). Koriģēti (papildu ievākti) dati arī attiecībā uz frakciju OT02 “Higiēnas preces”, kas daļēji iepriekš tika ieskaitītas zem plastmasas izstrādājumu frakcijas PL24 “Plastmasa cits/ nekategorizēts”, bet faktiski ietver dažādus materiālus, un JRC protokolā šādas higiēnas preces tiek izdalītas atsevišķi (un ir izdalītas vairākos atsevišķos kodos). 2023.-2025.gadam uzskaišu dati atbilstoši JRC protokolam. </t>
  </si>
  <si>
    <t>Piezīmes. Dati 2017.-2022.gadam ir monitoringa dati no MARLIN/UNEP protokola. 2023.-2024.gada datiem ir izmantoti JRC protokola kodi, līdz ar to atšķiras frakciju nosaukumi (kodos ietvertie atkritumu veidi), jo šim protokolam ir detalizētāks atkritumu veidu izdalījums. 2023.-2024.gada datiem ir veikts pārrēķins (smēķēšanas atkritumiem), lai tie būtu salīdzināmi ar iepriekšējo gadu datiem pēc UNEP protokola.</t>
  </si>
  <si>
    <t xml:space="preserve">Informācijas apkopojums par analīzē iekļautajiem "bāzes scenārija" (BS) pasākumiem JPA samazināšanai </t>
  </si>
  <si>
    <t>Pasākums ir iekļauts BS pasākumu efektivitātes vērtēšanā (scenārijs "RAS atbilstoši esošam regulējumam un īstenošanai" (BSPas7)).</t>
  </si>
  <si>
    <t>Novērtējums slodzes avotu ieguldījumam kopējā slodzē (atkritumu makro-piesārņojumam pludmalē), kas tiek izmantots pasākumu efektivitātes un pietiekamības novērtēšanai. Skat. arī efektivitātes aprēķinā izmantoto koeficientu "Slodzes avotu koeficients" (Kav).</t>
  </si>
  <si>
    <t>Efektivitāte ir novērtēta "bāzes scenārija" (BS) pasākumiem (BSPas..) un atsevišķiem pasākumiem, ko varētu vērtēt kā iespējamos papildu pasākumus (IPPas..).
Katra pasākuma efektivitāte (Efp) tiek novērtēta kā:
Kopējā pasākumu efektivitāte tiek aprēķināta, summējot individuālo pasākumu efektivitāti, kur nepieciešams, ņemot vērā arī pasākumu saikni ar atkritumu piesārņojuma plūsmas posmiem.</t>
  </si>
  <si>
    <t>Datu avots: Aprēķini, balstoties uz pētījuma ietvaros sagatavotiem novērtējumiem.</t>
  </si>
  <si>
    <r>
      <t xml:space="preserve">Balstoties uz </t>
    </r>
    <r>
      <rPr>
        <i/>
        <u/>
        <sz val="10"/>
        <color rgb="FF0070C0"/>
        <rFont val="Calibri"/>
        <family val="2"/>
        <charset val="186"/>
        <scheme val="minor"/>
      </rPr>
      <t>papildu datu kopu esošā stāvokļa atbilstības LJVS robežvērtībai novērtēšanai</t>
    </r>
    <r>
      <rPr>
        <i/>
        <sz val="10"/>
        <color rgb="FF0070C0"/>
        <rFont val="Calibri"/>
        <family val="2"/>
        <charset val="186"/>
        <scheme val="minor"/>
      </rPr>
      <t>ar monitoringa datiem atbilstoši UNEP protokolam.</t>
    </r>
  </si>
  <si>
    <t>Vid. 2023.-2025.g.</t>
  </si>
  <si>
    <t>Vidējais a.v. skaits 100 m periodā 2023.-2025. gads</t>
  </si>
  <si>
    <t>Medinānas a.v. skaits 100 m periodā 2023.-2025. gads</t>
  </si>
  <si>
    <t>Novērtējums, balstoties uz formālo stāvokļa atbilstības vērtēšanas pieeju - pret vidējo iepriekšējā JSD ieviešanas ciklā (2017.-2022.g.).</t>
  </si>
  <si>
    <r>
      <t xml:space="preserve">Balstoties uz </t>
    </r>
    <r>
      <rPr>
        <i/>
        <u/>
        <sz val="10"/>
        <color rgb="FF0070C0"/>
        <rFont val="Calibri"/>
        <family val="2"/>
        <charset val="186"/>
        <scheme val="minor"/>
      </rPr>
      <t>pamata datu kopu pasākumu efektivitātes  un pietiekamības vērtēšanai</t>
    </r>
    <r>
      <rPr>
        <i/>
        <sz val="10"/>
        <color rgb="FF0070C0"/>
        <rFont val="Calibri"/>
        <family val="2"/>
        <charset val="186"/>
        <scheme val="minor"/>
      </rPr>
      <t>ar koriģētu smēķēšanas atkritumu skaitu (2017.-2022.gada datiem) atbilstībai JRC protokolam.</t>
    </r>
  </si>
  <si>
    <t>Novērtējums pret izmantoto references periodu - 2022. gadu, kas atbilst aktuālā JSD ieviešanas cikla sākumam. References periodam izmantots vidējais no 3 gadu datiem (2020.-2022.g.). Salīdzinājumam pievienots novērtējums pret aktuālākajiem datiem (2023.-2025.g.).</t>
  </si>
  <si>
    <t>Rīka izmantošanu ieteicams sākt ar informāciju lapā "Rīka saturs".</t>
  </si>
  <si>
    <r>
      <t xml:space="preserve">Papildu informācija par pasākumu novērtēšanai izmantotajām pieejām un datiem ir pieejama projekta pētījuma atskaitē </t>
    </r>
    <r>
      <rPr>
        <i/>
        <sz val="11"/>
        <color theme="1"/>
        <rFont val="Calibri"/>
        <family val="2"/>
        <charset val="186"/>
        <scheme val="minor"/>
      </rPr>
      <t>AKTiiVS (2026) Ziņojums par pilnveidoto informācijas bāzi un novērtēšanas rīks pasākumu sociālekonomiskai novērtēšanai jūras piegružojuma samazināšanai. ES EJZAF līdzfinansēta projekta “Pētījumi zināšanu uzlabošanai par jūras vides stāvokli integrētās jūrlietu politikas ieviešanai” (Nr. 24-00-U1010801-000001) pētījuma atskaite.</t>
    </r>
  </si>
  <si>
    <t>vid.2020-2022</t>
  </si>
  <si>
    <t>Rīks ir izmantojams nacionāla mēroga novērtējumiem (mērogs, kādā JSD prasību ieviešanai ir noteikts vides mērķis un tiek vērtēta atbilstība šim mērķim attiecībā uz atkritumiem pludmalē), ar galveno paredzēto pielietojumu nacionālo novērtējumu izstrādei saistībā ar JSD ieviešanu (attiecībā uz kvalitatīvo raksturlielumu D10).</t>
  </si>
  <si>
    <t>"Bāzes scenārija" pasākumu kopējās efektivitātes un pietiekamības novērtējums. Novērtējums pret izmantoto references periodu - 2022. gadu (atbilst aktuālā JSD ieviešanas cikla sākumam). Salīdzinājumam pievienoti arī novērtējumi pret aktuālākajiem datiem un atbilstoši formālajai JSD stāvokļa atbilstības vērtēšanas pieejai.</t>
  </si>
  <si>
    <t xml:space="preserve">Vienlaikus, rīks ļauj analizēt arī atsevišķo pasākumu/pasākumu kopumu ietekmi uz JPA daudzuma samazinājumu, tādējādi tas ir pielietojams arī citiem mērķiem, piemēram, politikas plānu un pasākumu ar ietekmi uz JPA ietekmes novērtēšanai dažādu politiku jomās (ciktāl attiecīgie pasākumi ir iestrādāti rīkā). </t>
  </si>
  <si>
    <t xml:space="preserve">Rīks ļauj aprēķināt esošo politiku pasākumu sagaidāmo efektivitāti – panākto atkritumu daudzuma samazinājumu pludmalē un tā atbilstību mērķim (nepieciešamajam samazinājumam). Tādējādi tas ir izmantojams kā analīzes instruments, lai pasākumu programmas atjaunošanai vērtētu pasākumu pietiekamību un analizētu papildu pasākumus (tai skaitā veiktu to analīzi atbilstoši JSD 13.3.panta prasībām). </t>
  </si>
  <si>
    <t>Katra pasākuma ieguldījums (%) kopējā aprēķinātajā efektivitātē</t>
  </si>
  <si>
    <r>
      <rPr>
        <b/>
        <sz val="9"/>
        <rFont val="Calibri"/>
        <family val="2"/>
        <charset val="186"/>
        <scheme val="minor"/>
      </rPr>
      <t>Pārtikas iepakojums</t>
    </r>
    <r>
      <rPr>
        <sz val="9"/>
        <rFont val="Calibri"/>
        <family val="2"/>
        <charset val="186"/>
        <scheme val="minor"/>
      </rPr>
      <t xml:space="preserve">, tostarp, ko izmanto ātrajām uzkodām vai citam ēdienam, kas gatavs tūlītējam patēriņam (ēdiena trauki ar vāciņu vai bez tā);
Paciņas un iesaiņojums no elastīga materiāla, kas paredzēts pārtikas tūlītējam patēriņam no šāda iesaiņojuma bez turpmākas sagatavošanas;
</t>
    </r>
    <r>
      <rPr>
        <b/>
        <sz val="9"/>
        <rFont val="Calibri"/>
        <family val="2"/>
        <charset val="186"/>
        <scheme val="minor"/>
      </rPr>
      <t>Dzērienu iepakojums ar ietilpību līdz trim litriem</t>
    </r>
    <r>
      <rPr>
        <sz val="9"/>
        <rFont val="Calibri"/>
        <family val="2"/>
        <charset val="186"/>
        <scheme val="minor"/>
      </rPr>
      <t xml:space="preserve">, piemēram, plastmasu saturošs vai kompozīta iepakojums, tā korķīši un vāciņi; </t>
    </r>
    <r>
      <rPr>
        <b/>
        <sz val="9"/>
        <rFont val="Calibri"/>
        <family val="2"/>
        <charset val="186"/>
        <scheme val="minor"/>
      </rPr>
      <t>izņemot</t>
    </r>
    <r>
      <rPr>
        <sz val="9"/>
        <rFont val="Calibri"/>
        <family val="2"/>
        <charset val="186"/>
        <scheme val="minor"/>
      </rPr>
      <t xml:space="preserve"> </t>
    </r>
    <r>
      <rPr>
        <u/>
        <sz val="9"/>
        <rFont val="Calibri"/>
        <family val="2"/>
        <charset val="186"/>
        <scheme val="minor"/>
      </rPr>
      <t>dzērienu iepakojumu no stikla vai metāla</t>
    </r>
    <r>
      <rPr>
        <sz val="9"/>
        <rFont val="Calibri"/>
        <family val="2"/>
        <charset val="186"/>
        <scheme val="minor"/>
      </rPr>
      <t xml:space="preserve">, kam ir </t>
    </r>
    <r>
      <rPr>
        <u/>
        <sz val="9"/>
        <rFont val="Calibri"/>
        <family val="2"/>
        <charset val="186"/>
        <scheme val="minor"/>
      </rPr>
      <t>no plastmasas izgatavoti korķīši un vāciņi</t>
    </r>
    <r>
      <rPr>
        <sz val="9"/>
        <rFont val="Calibri"/>
        <family val="2"/>
        <charset val="186"/>
        <scheme val="minor"/>
      </rPr>
      <t xml:space="preserve">;
</t>
    </r>
    <r>
      <rPr>
        <b/>
        <sz val="9"/>
        <rFont val="Calibri"/>
        <family val="2"/>
        <charset val="186"/>
        <scheme val="minor"/>
      </rPr>
      <t>Dzērienu glāzes un to vāciņi</t>
    </r>
    <r>
      <rPr>
        <sz val="9"/>
        <rFont val="Calibri"/>
        <family val="2"/>
        <charset val="186"/>
        <scheme val="minor"/>
      </rPr>
      <t>;
(</t>
    </r>
    <r>
      <rPr>
        <b/>
        <sz val="9"/>
        <rFont val="Calibri"/>
        <family val="2"/>
        <charset val="186"/>
        <scheme val="minor"/>
      </rPr>
      <t>Vieglās plastmasas iepirkumu maisiņi</t>
    </r>
    <r>
      <rPr>
        <sz val="9"/>
        <rFont val="Calibri"/>
        <family val="2"/>
        <charset val="186"/>
        <scheme val="minor"/>
      </rPr>
      <t xml:space="preserve">.)
</t>
    </r>
    <r>
      <rPr>
        <b/>
        <sz val="9"/>
        <rFont val="Calibri"/>
        <family val="2"/>
        <charset val="186"/>
        <scheme val="minor"/>
      </rPr>
      <t>Vienreiz lietojamie galda trauki un piederumi no papīra un kartona vai citas dabiskās šķiedras, metāla, koksnes</t>
    </r>
    <r>
      <rPr>
        <sz val="9"/>
        <rFont val="Calibri"/>
        <family val="2"/>
        <charset val="186"/>
        <scheme val="minor"/>
      </rPr>
      <t xml:space="preserve"> (bet ne no plastmasas).
Prasība </t>
    </r>
    <r>
      <rPr>
        <b/>
        <sz val="9"/>
        <rFont val="Calibri"/>
        <family val="2"/>
        <charset val="186"/>
        <scheme val="minor"/>
      </rPr>
      <t>neattiecas</t>
    </r>
    <r>
      <rPr>
        <sz val="9"/>
        <rFont val="Calibri"/>
        <family val="2"/>
        <charset val="186"/>
        <scheme val="minor"/>
      </rPr>
      <t xml:space="preserve"> uz dzērienu iepakojumu, šķīvjiem, paciņām un iesaiņojumu, kurā</t>
    </r>
    <r>
      <rPr>
        <b/>
        <sz val="9"/>
        <rFont val="Calibri"/>
        <family val="2"/>
        <charset val="186"/>
        <scheme val="minor"/>
      </rPr>
      <t xml:space="preserve"> pārtiku iepako ražošanas līnijā.</t>
    </r>
  </si>
  <si>
    <r>
      <rPr>
        <b/>
        <sz val="9"/>
        <rFont val="Calibri"/>
        <family val="2"/>
        <charset val="186"/>
        <scheme val="minor"/>
      </rPr>
      <t>Nacionālie pasākumi</t>
    </r>
    <r>
      <rPr>
        <sz val="9"/>
        <rFont val="Calibri"/>
        <family val="2"/>
        <charset val="186"/>
        <scheme val="minor"/>
      </rPr>
      <t xml:space="preserve"> Direktīvas (ES) 2019/904 pielikuma </t>
    </r>
    <r>
      <rPr>
        <b/>
        <sz val="9"/>
        <rFont val="Calibri"/>
        <family val="2"/>
        <charset val="186"/>
        <scheme val="minor"/>
      </rPr>
      <t>A daļā minēto vienreizlietojamo plastmasas izstrādājumu patēriņa nozīmīgai samazināšanai</t>
    </r>
    <r>
      <rPr>
        <sz val="9"/>
        <rFont val="Calibri"/>
        <family val="2"/>
        <charset val="186"/>
        <scheme val="minor"/>
      </rPr>
      <t xml:space="preserve">.
</t>
    </r>
    <r>
      <rPr>
        <u/>
        <sz val="9"/>
        <rFont val="Calibri"/>
        <family val="2"/>
        <charset val="186"/>
        <scheme val="minor"/>
      </rPr>
      <t>Ražotājam</t>
    </r>
    <r>
      <rPr>
        <sz val="9"/>
        <rFont val="Calibri"/>
        <family val="2"/>
        <charset val="186"/>
        <scheme val="minor"/>
      </rPr>
      <t xml:space="preserve"> ir pienākums:
1) kā alternatīvu noteiktajiem izstrādājumiem </t>
    </r>
    <r>
      <rPr>
        <u/>
        <sz val="9"/>
        <rFont val="Calibri"/>
        <family val="2"/>
        <charset val="186"/>
        <scheme val="minor"/>
      </rPr>
      <t>piedāvāt vai pārdot</t>
    </r>
    <r>
      <rPr>
        <sz val="9"/>
        <rFont val="Calibri"/>
        <family val="2"/>
        <charset val="186"/>
        <scheme val="minor"/>
      </rPr>
      <t xml:space="preserve"> patērētājam </t>
    </r>
    <r>
      <rPr>
        <u/>
        <sz val="9"/>
        <rFont val="Calibri"/>
        <family val="2"/>
        <charset val="186"/>
        <scheme val="minor"/>
      </rPr>
      <t>atkārtoti lietojamus plastmasas izstrādājumus vai izstrādājumus, kas nesatur plastmasu</t>
    </r>
    <r>
      <rPr>
        <sz val="9"/>
        <rFont val="Calibri"/>
        <family val="2"/>
        <charset val="186"/>
        <scheme val="minor"/>
      </rPr>
      <t xml:space="preserve">;
2) </t>
    </r>
    <r>
      <rPr>
        <u/>
        <sz val="9"/>
        <rFont val="Calibri"/>
        <family val="2"/>
        <charset val="186"/>
        <scheme val="minor"/>
      </rPr>
      <t>informēt patērētājus par iespēju izmantot līdzpaņemtas dzērienu glāzes vai pārtikas iepakojumu</t>
    </r>
    <r>
      <rPr>
        <sz val="9"/>
        <rFont val="Calibri"/>
        <family val="2"/>
        <charset val="186"/>
        <scheme val="minor"/>
      </rPr>
      <t xml:space="preserve"> kā alternatīvu noteiktajiem izstrādājumiem;
3) </t>
    </r>
    <r>
      <rPr>
        <u/>
        <sz val="9"/>
        <rFont val="Calibri"/>
        <family val="2"/>
        <charset val="186"/>
        <scheme val="minor"/>
      </rPr>
      <t xml:space="preserve">neizsniegt patērētājam bez maksas </t>
    </r>
    <r>
      <rPr>
        <sz val="9"/>
        <rFont val="Calibri"/>
        <family val="2"/>
        <charset val="186"/>
        <scheme val="minor"/>
      </rPr>
      <t>noteiktos izstrādājumus.</t>
    </r>
  </si>
  <si>
    <r>
      <rPr>
        <b/>
        <sz val="10"/>
        <rFont val="Calibri"/>
        <family val="2"/>
        <charset val="186"/>
        <scheme val="minor"/>
      </rPr>
      <t>Nacionālie pasākumi</t>
    </r>
    <r>
      <rPr>
        <sz val="10"/>
        <rFont val="Calibri"/>
        <family val="2"/>
        <charset val="186"/>
        <scheme val="minor"/>
      </rPr>
      <t xml:space="preserve"> Direktīvas (ES) 2019/904 pielikuma </t>
    </r>
    <r>
      <rPr>
        <b/>
        <sz val="10"/>
        <rFont val="Calibri"/>
        <family val="2"/>
        <charset val="186"/>
        <scheme val="minor"/>
      </rPr>
      <t>A daļā minēto vienreizlietojamo plastmasas izstrādājumu patēriņa nozīmīgai samazināšanai</t>
    </r>
    <r>
      <rPr>
        <sz val="10"/>
        <rFont val="Calibri"/>
        <family val="2"/>
        <charset val="186"/>
        <scheme val="minor"/>
      </rPr>
      <t>.</t>
    </r>
    <r>
      <rPr>
        <u/>
        <sz val="10"/>
        <rFont val="Calibri"/>
        <family val="2"/>
        <charset val="186"/>
        <scheme val="minor"/>
      </rPr>
      <t/>
    </r>
  </si>
  <si>
    <r>
      <rPr>
        <b/>
        <sz val="10"/>
        <rFont val="Calibri"/>
        <family val="2"/>
        <charset val="186"/>
        <scheme val="minor"/>
      </rPr>
      <t>Nacionālie pasākumi</t>
    </r>
    <r>
      <rPr>
        <sz val="10"/>
        <rFont val="Calibri"/>
        <family val="2"/>
        <charset val="186"/>
        <scheme val="minor"/>
      </rPr>
      <t xml:space="preserve"> Direktīvas (ES) 2019/904 pielikuma </t>
    </r>
    <r>
      <rPr>
        <b/>
        <sz val="10"/>
        <rFont val="Calibri"/>
        <family val="2"/>
        <charset val="186"/>
        <scheme val="minor"/>
      </rPr>
      <t>A daļā minēto vienreizlietojamo palstmasas izstrādājumu patēriņa nozīmīgai samazināšanai</t>
    </r>
    <r>
      <rPr>
        <sz val="10"/>
        <rFont val="Calibri"/>
        <family val="2"/>
        <charset val="186"/>
        <scheme val="minor"/>
      </rPr>
      <t>.</t>
    </r>
    <r>
      <rPr>
        <u/>
        <sz val="10"/>
        <rFont val="Calibri"/>
        <family val="2"/>
        <charset val="186"/>
        <scheme val="minor"/>
      </rPr>
      <t/>
    </r>
  </si>
  <si>
    <t>Vid.</t>
  </si>
  <si>
    <t>"Bāzes scenārija" pasākumu kopuma netieša ietekme uz pārējām atkritumu frakcijām</t>
  </si>
  <si>
    <t>[1] Mērķis</t>
  </si>
  <si>
    <t>Ar zemāko BS samazinājumu</t>
  </si>
  <si>
    <t>Ar vidējo BS samazinājumu</t>
  </si>
  <si>
    <t>Ar augstāko BS samazinājumu</t>
  </si>
  <si>
    <t>Izmantotais a.v. skaita datu atskaites laika periods</t>
  </si>
  <si>
    <t>Aritmētiskais vidējais a.v. skaits 100 m</t>
  </si>
  <si>
    <t>[2] Vidējais a.v. skaits 100 pludmales metros atskaites periodā</t>
  </si>
  <si>
    <t>Vid. 2020.-2022.g.</t>
  </si>
  <si>
    <t>Vid. 2017.-2022.g.</t>
  </si>
  <si>
    <t>[3] "Bāzes scenārijā" sagaidāmais a.v. skaita samazinājums vid. 100 pludmales m*</t>
  </si>
  <si>
    <t>(*) Aprēķināts no "bāzes scenārija" pasākumu efektivitātes % no novērtējuma atskaites perioda a.v. skaita (345 a.v. 100 m vidēji 2020.-2022.g.).</t>
  </si>
  <si>
    <t>[5] Papildu nepieciešamais samazinājums vid. a.v. skaitā no atskaites līmeņa, lai atbilstu mērķim ([2]-[3]-[1])</t>
  </si>
  <si>
    <t>[6] Papildu nepieciešamais samazinājums % no atskaites līmeņa ([5]/[2]*100)</t>
  </si>
  <si>
    <t>Balstoties uz atskaites līmeņa aritmētisko vidējo a.v. skaitu [2.1]</t>
  </si>
  <si>
    <t>Balstoties uz atskaites līmeņa mediānas a.v. skaitu [2.2]</t>
  </si>
  <si>
    <t>[2.1] Aritmētiskais vidējais a.v. skaits 100 m</t>
  </si>
  <si>
    <t>[2.2] Mediānas a.v. skaits 100 m</t>
  </si>
  <si>
    <t>[4] "Bāzes scenārijā" (BS) sagaidāmais slodzes līmenis (a.v. 100 m), ņemot vērā BS pasākumu ietekmi</t>
  </si>
  <si>
    <t>[6.1] Balstoties uz atskaites līmeņa aritmētisko vidējo a.v. skaitu [2.1]</t>
  </si>
  <si>
    <t>[6.2] Balstoties uz atskaites līmeņa mediānas a.v. skaitu [2.2]</t>
  </si>
  <si>
    <r>
      <t xml:space="preserve">Nacionāli un lokāli sabiedrības izglītošanas pasākumi </t>
    </r>
    <r>
      <rPr>
        <sz val="9"/>
        <rFont val="Calibri"/>
        <family val="2"/>
        <charset val="186"/>
        <scheme val="minor"/>
      </rPr>
      <t xml:space="preserve">saistībā ar cilvēku darbības un plastmasas ietekmi uz vidi (t.sk. jūras), videi draudzīgu uzvedību/rīcībām u.tml.
(Papildus tiem pasākumiem, kas tiek īstenoti RAS ietvaros, jo tie ir ņemti vērā zem attiecīgo RAS pasākumiem.)
Kampaņas projektu un iniciatīvu ietvaros. 
</t>
    </r>
    <r>
      <rPr>
        <u/>
        <sz val="9"/>
        <rFont val="Calibri"/>
        <family val="2"/>
        <charset val="186"/>
        <scheme val="minor"/>
      </rPr>
      <t>Piemēri:</t>
    </r>
    <r>
      <rPr>
        <sz val="9"/>
        <rFont val="Calibri"/>
        <family val="2"/>
        <charset val="186"/>
        <scheme val="minor"/>
      </rPr>
      <t xml:space="preserve"> LIFE IP projekta "No atkritumiem uz resursiem" īstenota kampaņa "Neguli atkritumos" 2023.gada vasarā ar informāciju sociālajos medijos, video Rīgas sabiedriskajā transportā, 10 interaktīviem stendiem ĪADT pludmalēs; 
VIF ikgadējā kampaņas “Mana jūra” zaļā ekspedīcija; sociālā kampaņa “Esi vienreizīgs – nelieto vienreizēju” – vides reklāma pilsētvidē un vilcienos; uzlīmes uz kafijas automātiem pilsētvidē sadarbībā ar uzņēmējiem; vides objekta LIELKRŪZES izveide un izvietošana pilsētvidē; lietus ūdens noteku gleznojums “Ko izmetīsi te – atradīsi jūrā!” u.c. papildu aktivitātes t.sk., sociālo tīklu platformās.</t>
    </r>
  </si>
  <si>
    <t>Regula stājas spēkā 12.08.2026., bet dažādām prasībām noteikti dažādi īstenošanas termiņi.</t>
  </si>
  <si>
    <t>Plastmasas pārtikas iepakojums / pakas / saldumu ietinamie</t>
  </si>
  <si>
    <t>par 20% virs "bāzes scenārija" panāktā samazinājuma (50 %), sasniedzot 70 % samazinājumu no esošā līmeņa.</t>
  </si>
  <si>
    <t>par 40% virs "bāzes scenārija" panāktā samazinājuma (50 %), sasniedzot 90 % samazinājumu no esošā līmeņa.</t>
  </si>
  <si>
    <t>par 0-25% virs "bāzes scenārija" panāktā samazinājumā (&lt;25 %), sasniedzot 25-50% samazinājumu no esošā līmeņa.</t>
  </si>
  <si>
    <t>par 25-55% virs "bāzes scenārija" panāktā samazinājumā (&lt;25 %), sasniedzot 50-80% samazinājumu no esošā līmeņa.</t>
  </si>
  <si>
    <t>par vairāk kā 55% virs "bāzes scenārija" panāktā samazinājumā (&lt;25 %), sasniedzot vairāk kā 80% samazinājumu no esošā līmeņa.</t>
  </si>
  <si>
    <r>
      <t xml:space="preserve">par </t>
    </r>
    <r>
      <rPr>
        <b/>
        <sz val="10"/>
        <color theme="1"/>
        <rFont val="Calibri"/>
        <family val="2"/>
        <charset val="186"/>
        <scheme val="minor"/>
      </rPr>
      <t xml:space="preserve">20% </t>
    </r>
    <r>
      <rPr>
        <sz val="10"/>
        <color theme="1"/>
        <rFont val="Calibri"/>
        <family val="2"/>
        <charset val="186"/>
        <scheme val="minor"/>
      </rPr>
      <t xml:space="preserve">makro-piesārņojumam pludmalē </t>
    </r>
    <r>
      <rPr>
        <b/>
        <sz val="10"/>
        <color theme="1"/>
        <rFont val="Calibri"/>
        <family val="2"/>
        <charset val="186"/>
        <scheme val="minor"/>
      </rPr>
      <t>un 0-25%</t>
    </r>
    <r>
      <rPr>
        <sz val="10"/>
        <color theme="1"/>
        <rFont val="Calibri"/>
        <family val="2"/>
        <charset val="186"/>
        <scheme val="minor"/>
      </rPr>
      <t xml:space="preserve"> mikro-plastmasas ieplūdēm virs "bāzes scenārija" panāktā samazinājuma (50% un &lt;25%), </t>
    </r>
    <r>
      <rPr>
        <u/>
        <sz val="10"/>
        <color theme="1"/>
        <rFont val="Calibri"/>
        <family val="2"/>
        <charset val="186"/>
        <scheme val="minor"/>
      </rPr>
      <t>sasniedzot samazinājumu no esošā līmeņa par 70 % makro-piesārņojumam un 25-50% mikro-plastmasas ieplūdēm.</t>
    </r>
  </si>
  <si>
    <r>
      <t xml:space="preserve">par </t>
    </r>
    <r>
      <rPr>
        <b/>
        <sz val="10"/>
        <color theme="1"/>
        <rFont val="Calibri"/>
        <family val="2"/>
        <charset val="186"/>
        <scheme val="minor"/>
      </rPr>
      <t>20%</t>
    </r>
    <r>
      <rPr>
        <sz val="10"/>
        <color theme="1"/>
        <rFont val="Calibri"/>
        <family val="2"/>
        <charset val="186"/>
        <scheme val="minor"/>
      </rPr>
      <t xml:space="preserve"> makro-piesārņojumam pludmalē </t>
    </r>
    <r>
      <rPr>
        <b/>
        <sz val="10"/>
        <color theme="1"/>
        <rFont val="Calibri"/>
        <family val="2"/>
        <charset val="186"/>
        <scheme val="minor"/>
      </rPr>
      <t>un 25-55%</t>
    </r>
    <r>
      <rPr>
        <sz val="10"/>
        <color theme="1"/>
        <rFont val="Calibri"/>
        <family val="2"/>
        <charset val="186"/>
        <scheme val="minor"/>
      </rPr>
      <t xml:space="preserve"> mikro-plastmasas ieplūdēm virs "bāzes scenārija" panāktā samazinājuma (50% un &lt;25%), </t>
    </r>
    <r>
      <rPr>
        <u/>
        <sz val="10"/>
        <color theme="1"/>
        <rFont val="Calibri"/>
        <family val="2"/>
        <charset val="186"/>
        <scheme val="minor"/>
      </rPr>
      <t>sasniedzot samazinājumu no esošā līmeņa par 70 % makro-piesārņojumam un 50-80% mikro-plastmasas ieplūdēm.</t>
    </r>
  </si>
  <si>
    <r>
      <t xml:space="preserve">par </t>
    </r>
    <r>
      <rPr>
        <b/>
        <sz val="10"/>
        <color theme="1"/>
        <rFont val="Calibri"/>
        <family val="2"/>
        <charset val="186"/>
        <scheme val="minor"/>
      </rPr>
      <t xml:space="preserve">20% </t>
    </r>
    <r>
      <rPr>
        <sz val="10"/>
        <color theme="1"/>
        <rFont val="Calibri"/>
        <family val="2"/>
        <charset val="186"/>
        <scheme val="minor"/>
      </rPr>
      <t xml:space="preserve">makro-piesārņojumam pludmalē </t>
    </r>
    <r>
      <rPr>
        <b/>
        <sz val="10"/>
        <color theme="1"/>
        <rFont val="Calibri"/>
        <family val="2"/>
        <charset val="186"/>
        <scheme val="minor"/>
      </rPr>
      <t xml:space="preserve">un vairāk kā 55% </t>
    </r>
    <r>
      <rPr>
        <sz val="10"/>
        <color theme="1"/>
        <rFont val="Calibri"/>
        <family val="2"/>
        <charset val="186"/>
        <scheme val="minor"/>
      </rPr>
      <t xml:space="preserve">mikro-plastmasas ieplūdēm virs "bāzes scenārija" panāktā samazinājuma (50% un &lt;25%), </t>
    </r>
    <r>
      <rPr>
        <u/>
        <sz val="10"/>
        <color theme="1"/>
        <rFont val="Calibri"/>
        <family val="2"/>
        <charset val="186"/>
        <scheme val="minor"/>
      </rPr>
      <t>sasniedzot samazinājumu no esošā līmeņa par 70 % makro-piesārņojumam un vairāk kā 80% mikro-plastmasas ieplūdēm.</t>
    </r>
  </si>
  <si>
    <r>
      <t xml:space="preserve">par </t>
    </r>
    <r>
      <rPr>
        <b/>
        <sz val="10"/>
        <color theme="1"/>
        <rFont val="Calibri"/>
        <family val="2"/>
        <charset val="186"/>
        <scheme val="minor"/>
      </rPr>
      <t>40%</t>
    </r>
    <r>
      <rPr>
        <sz val="10"/>
        <color theme="1"/>
        <rFont val="Calibri"/>
        <family val="2"/>
        <charset val="186"/>
        <scheme val="minor"/>
      </rPr>
      <t xml:space="preserve"> makro-piesārņojumam pludmalē </t>
    </r>
    <r>
      <rPr>
        <b/>
        <sz val="10"/>
        <color theme="1"/>
        <rFont val="Calibri"/>
        <family val="2"/>
        <charset val="186"/>
        <scheme val="minor"/>
      </rPr>
      <t>un 25-55%</t>
    </r>
    <r>
      <rPr>
        <sz val="10"/>
        <color theme="1"/>
        <rFont val="Calibri"/>
        <family val="2"/>
        <charset val="186"/>
        <scheme val="minor"/>
      </rPr>
      <t xml:space="preserve"> mikro-plastmasas ieplūdēm virs "bāzes scenārija" panāktā samazinājuma (50% un &lt;25%), </t>
    </r>
    <r>
      <rPr>
        <u/>
        <sz val="10"/>
        <color theme="1"/>
        <rFont val="Calibri"/>
        <family val="2"/>
        <charset val="186"/>
        <scheme val="minor"/>
      </rPr>
      <t>sasniedzot samazinājumu no esošā līmeņa par 90 % makro-piesārņojumam un 50-80% mikro-plastmasas ieplūdēm.</t>
    </r>
  </si>
  <si>
    <r>
      <t xml:space="preserve">par </t>
    </r>
    <r>
      <rPr>
        <b/>
        <sz val="10"/>
        <color theme="1"/>
        <rFont val="Calibri"/>
        <family val="2"/>
        <charset val="186"/>
        <scheme val="minor"/>
      </rPr>
      <t xml:space="preserve">40% </t>
    </r>
    <r>
      <rPr>
        <sz val="10"/>
        <color theme="1"/>
        <rFont val="Calibri"/>
        <family val="2"/>
        <charset val="186"/>
        <scheme val="minor"/>
      </rPr>
      <t xml:space="preserve">makro-piesārņojumam pludmalē </t>
    </r>
    <r>
      <rPr>
        <b/>
        <sz val="10"/>
        <color theme="1"/>
        <rFont val="Calibri"/>
        <family val="2"/>
        <charset val="186"/>
        <scheme val="minor"/>
      </rPr>
      <t xml:space="preserve">un vairāk kā 55% </t>
    </r>
    <r>
      <rPr>
        <sz val="10"/>
        <color theme="1"/>
        <rFont val="Calibri"/>
        <family val="2"/>
        <charset val="186"/>
        <scheme val="minor"/>
      </rPr>
      <t xml:space="preserve">mikro-plastmasas ieplūdēm virs "bāzes scenārija" panāktā samazinājuma (50% un &lt;25%), </t>
    </r>
    <r>
      <rPr>
        <u/>
        <sz val="10"/>
        <color theme="1"/>
        <rFont val="Calibri"/>
        <family val="2"/>
        <charset val="186"/>
        <scheme val="minor"/>
      </rPr>
      <t>sasniedzot samazinājumu no esošā līmeņa par 90 % makro-piesārņojumam un vairāk kā 80% mikro-plastmasas ieplūdēm.</t>
    </r>
  </si>
  <si>
    <r>
      <t xml:space="preserve">par </t>
    </r>
    <r>
      <rPr>
        <b/>
        <sz val="10"/>
        <color theme="1"/>
        <rFont val="Calibri"/>
        <family val="2"/>
        <charset val="186"/>
        <scheme val="minor"/>
      </rPr>
      <t>40%</t>
    </r>
    <r>
      <rPr>
        <sz val="10"/>
        <color theme="1"/>
        <rFont val="Calibri"/>
        <family val="2"/>
        <charset val="186"/>
        <scheme val="minor"/>
      </rPr>
      <t xml:space="preserve"> makro-piesārņojumam pludmalē </t>
    </r>
    <r>
      <rPr>
        <b/>
        <sz val="10"/>
        <color theme="1"/>
        <rFont val="Calibri"/>
        <family val="2"/>
        <charset val="186"/>
        <scheme val="minor"/>
      </rPr>
      <t>un 0-25%</t>
    </r>
    <r>
      <rPr>
        <sz val="10"/>
        <color theme="1"/>
        <rFont val="Calibri"/>
        <family val="2"/>
        <charset val="186"/>
        <scheme val="minor"/>
      </rPr>
      <t xml:space="preserve"> mikro-plastmasas ieplūdēm virs "bāzes scenārija" panāktā samazinājuma (50% un &lt;25%), </t>
    </r>
    <r>
      <rPr>
        <u/>
        <sz val="10"/>
        <color theme="1"/>
        <rFont val="Calibri"/>
        <family val="2"/>
        <charset val="186"/>
        <scheme val="minor"/>
      </rPr>
      <t>sasniedzot samazinājumu no esošā līmeņa par 90 % makro-piesārņojumam un 25-50% mikro-plastmasas ieplūdēm</t>
    </r>
    <r>
      <rPr>
        <sz val="10"/>
        <color theme="1"/>
        <rFont val="Calibri"/>
        <family val="2"/>
        <charset val="186"/>
        <scheme val="minor"/>
      </rPr>
      <t>.</t>
    </r>
  </si>
  <si>
    <t>Papildu pasākumu programmas varianti, nodrošinot norādīto atkritumu piesārņojuma samazinājumu no visiem slodzes avotiem</t>
  </si>
  <si>
    <t>Papildu pasākumu kopums..</t>
  </si>
  <si>
    <t>3.46-3.56</t>
  </si>
  <si>
    <t>3.32-3.44</t>
  </si>
  <si>
    <t>3.30-3.41</t>
  </si>
  <si>
    <t>3.17-3.31</t>
  </si>
  <si>
    <t>3.14-3.27</t>
  </si>
  <si>
    <t>3.08-3.19</t>
  </si>
  <si>
    <t>3.04-3.17</t>
  </si>
  <si>
    <t>2.95-3.09</t>
  </si>
  <si>
    <t>2.94-3.09</t>
  </si>
  <si>
    <t>2.91-3.05</t>
  </si>
  <si>
    <t>2.80-2.94</t>
  </si>
  <si>
    <t>2.60-2.76</t>
  </si>
  <si>
    <t>2.51-2.65</t>
  </si>
  <si>
    <t>2.08-2.24</t>
  </si>
  <si>
    <r>
      <t xml:space="preserve">Jautājuma formulējums anketā: </t>
    </r>
    <r>
      <rPr>
        <i/>
        <sz val="10"/>
        <color theme="1"/>
        <rFont val="Calibri"/>
        <family val="2"/>
        <charset val="186"/>
        <scheme val="minor"/>
      </rPr>
      <t>“Jūsuprāt, cik svarīgi būtu Latvijā īstenot minētās papildu rīcības jeb pasākumus, lai atkritumi nenonāktu vidē un tiktu samazināts atkritumu piesārņojums Latvijas pludmalēs un jūrā?”</t>
    </r>
    <r>
      <rPr>
        <sz val="10"/>
        <color theme="1"/>
        <rFont val="Calibri"/>
        <family val="2"/>
        <charset val="186"/>
        <scheme val="minor"/>
      </rPr>
      <t xml:space="preserve">. Dati no atbildēm kodēti kā 4 “ļoti svarīgi”, 3 “diezgan svarīgi”, 2 “ne pārāk svarīgi”, 1 “pilnīgi nesvarīgi” un 0 “nezinu/grūti pateikt”.
Balstoties uz respondentu sniegtajiem vērtējumiem, katram pasākumam ir aprēķināts vidējais “atbalsta vērtējums” (vidējā balle no visu respondentu sniegtajām atbildēm).
Tabulā: JPA samazināšanas papildu pasākumiem aprēķinātās vidējās balles, balstoties uz Latvijas iedzīvotāju vērtējumu par pasākumu īstenošanas svarīgumu (vidējā balle, tās standartnovirze un 95% ticamības intervāls (TI)). </t>
    </r>
  </si>
  <si>
    <t>95% TI</t>
  </si>
  <si>
    <t>[4] "Bāzes scenārijā" (BS) sagaidāmais slodzes līmenis (a.v. 100 m), ņemot vērā BS pasākumu ietekmi (345 a.v. - [3])</t>
  </si>
  <si>
    <t>Rīks sniedz datus un novērtējumus un ļauj veikt aprēķinus jūru piesārņojošo atkritumu samazināšanas pasākumu efektivitātes un sociālekonomiskai novērtēšanai.</t>
  </si>
  <si>
    <t>Pilnveidotā redakcija (04.2026.).</t>
  </si>
  <si>
    <t>Novērtējumā tiek novērtēta atbilstība starp “bāzes scenārijā” sagaidāmo slodzi (atkritumu daudzumu, ņemot vērā “bāzes scenārija” pasākumu ietekmi) un pieļaujamo slodzi atbilstoši vides mērķim (20 a.v. 100 pludmales m) un, ja pastāv neatbilstība, tiek novērtēts papildu nepieciešamais slodzes samazinājums.</t>
  </si>
  <si>
    <t>Novērtējums sagaidāmajam pludmales atkritumu daudzuma samazinājumam, ņemot vērā esošo politiku pasākumu ietekmi (saukts par "bāzes scenāriju"). Esošo politiku pasākumi, jeb "bāzes scenārija" pasākumi, ir īstenošanā esoši un plānoti pasākumi, kas varētu turpmāk samazināt slodzi salīdzinājumā ar references periodu. Novērtējumā izmantotais references periods ir 2022. gads (esošā JSD ieviešanas cikla sākuma gads).</t>
  </si>
  <si>
    <t>Novērtēšanā iekļautie "bāzes scenārija" pasākumi/pasākumu kopumi jūru piesārņojošo atkritumu (JPA) samazināšanai ar paskaidrojošu informāciju par to saturu un īstenošanu, kā arī paskaidrojumiem par to iekļaušanu “bāzes scenārija” pasākumu efektivitātes un pietiekamības novērtēšanā (pasākumu kodi BSPas..)</t>
  </si>
  <si>
    <t>Analīzes rīks jūru piesārņojošo atkritumu (JPA) samazināšanas pasākumu efektivitātes un sociālekonomiskai novērtēšanai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</si>
</sst>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76" x14ac:knownFonts="1">
    <font>
      <sz val="11"/>
      <color theme="1"/>
      <name val="Calibri"/>
      <family val="2"/>
      <charset val="186"/>
      <scheme val="minor"/>
    </font>
    <font>
      <sz val="11"/>
      <color theme="1"/>
      <name val="Calibri"/>
      <family val="2"/>
      <charset val="186"/>
      <scheme val="minor"/>
    </font>
    <font>
      <b/>
      <sz val="12"/>
      <color theme="1"/>
      <name val="Calibri"/>
      <family val="2"/>
      <charset val="186"/>
      <scheme val="minor"/>
    </font>
    <font>
      <sz val="11"/>
      <name val="Calibri"/>
      <family val="2"/>
      <charset val="186"/>
      <scheme val="minor"/>
    </font>
    <font>
      <i/>
      <sz val="11"/>
      <color theme="1"/>
      <name val="Calibri"/>
      <family val="2"/>
      <charset val="186"/>
      <scheme val="minor"/>
    </font>
    <font>
      <b/>
      <sz val="10"/>
      <color theme="1"/>
      <name val="Calibri"/>
      <family val="2"/>
      <charset val="186"/>
      <scheme val="minor"/>
    </font>
    <font>
      <b/>
      <sz val="10"/>
      <name val="Calibri"/>
      <family val="2"/>
      <charset val="186"/>
      <scheme val="minor"/>
    </font>
    <font>
      <sz val="10"/>
      <color theme="1"/>
      <name val="Calibri"/>
      <family val="2"/>
      <charset val="186"/>
      <scheme val="minor"/>
    </font>
    <font>
      <sz val="10"/>
      <name val="Calibri"/>
      <family val="2"/>
      <charset val="186"/>
      <scheme val="minor"/>
    </font>
    <font>
      <u/>
      <sz val="10"/>
      <name val="Calibri"/>
      <family val="2"/>
      <charset val="186"/>
      <scheme val="minor"/>
    </font>
    <font>
      <i/>
      <sz val="10"/>
      <name val="Calibri"/>
      <family val="2"/>
      <charset val="186"/>
      <scheme val="minor"/>
    </font>
    <font>
      <b/>
      <sz val="9"/>
      <color indexed="81"/>
      <name val="Tahoma"/>
      <family val="2"/>
      <charset val="186"/>
    </font>
    <font>
      <sz val="9"/>
      <color indexed="81"/>
      <name val="Tahoma"/>
      <family val="2"/>
      <charset val="186"/>
    </font>
    <font>
      <b/>
      <sz val="9"/>
      <color theme="1"/>
      <name val="Calibri"/>
      <family val="2"/>
      <charset val="186"/>
      <scheme val="minor"/>
    </font>
    <font>
      <sz val="9"/>
      <color theme="1"/>
      <name val="Calibri"/>
      <family val="2"/>
      <charset val="186"/>
      <scheme val="minor"/>
    </font>
    <font>
      <u/>
      <sz val="9"/>
      <color theme="1"/>
      <name val="Calibri"/>
      <family val="2"/>
      <charset val="186"/>
      <scheme val="minor"/>
    </font>
    <font>
      <sz val="9"/>
      <color rgb="FF0070C0"/>
      <name val="Calibri"/>
      <family val="2"/>
      <charset val="186"/>
      <scheme val="minor"/>
    </font>
    <font>
      <sz val="9"/>
      <name val="Calibri"/>
      <family val="2"/>
      <charset val="186"/>
      <scheme val="minor"/>
    </font>
    <font>
      <b/>
      <sz val="9"/>
      <name val="Calibri"/>
      <family val="2"/>
      <charset val="186"/>
      <scheme val="minor"/>
    </font>
    <font>
      <b/>
      <u/>
      <sz val="9"/>
      <color theme="1"/>
      <name val="Calibri"/>
      <family val="2"/>
      <charset val="186"/>
      <scheme val="minor"/>
    </font>
    <font>
      <u/>
      <sz val="9"/>
      <name val="Calibri"/>
      <family val="2"/>
      <charset val="186"/>
      <scheme val="minor"/>
    </font>
    <font>
      <i/>
      <sz val="9"/>
      <color theme="1"/>
      <name val="Calibri"/>
      <family val="2"/>
      <charset val="186"/>
      <scheme val="minor"/>
    </font>
    <font>
      <b/>
      <sz val="9"/>
      <color rgb="FF0070C0"/>
      <name val="Calibri"/>
      <family val="2"/>
      <charset val="186"/>
      <scheme val="minor"/>
    </font>
    <font>
      <i/>
      <sz val="9"/>
      <name val="Calibri"/>
      <family val="2"/>
      <charset val="186"/>
      <scheme val="minor"/>
    </font>
    <font>
      <b/>
      <sz val="9"/>
      <color rgb="FFFF0000"/>
      <name val="Calibri"/>
      <family val="2"/>
      <charset val="186"/>
      <scheme val="minor"/>
    </font>
    <font>
      <sz val="9"/>
      <color rgb="FFFF0000"/>
      <name val="Calibri"/>
      <family val="2"/>
      <charset val="186"/>
      <scheme val="minor"/>
    </font>
    <font>
      <sz val="9"/>
      <color indexed="39"/>
      <name val="Tahoma"/>
      <family val="2"/>
      <charset val="186"/>
    </font>
    <font>
      <u/>
      <sz val="9"/>
      <color indexed="81"/>
      <name val="Tahoma"/>
      <family val="2"/>
      <charset val="186"/>
    </font>
    <font>
      <sz val="8"/>
      <color theme="1"/>
      <name val="Calibri"/>
      <family val="2"/>
      <charset val="186"/>
    </font>
    <font>
      <b/>
      <sz val="8"/>
      <color theme="1"/>
      <name val="Calibri"/>
      <family val="2"/>
      <charset val="186"/>
    </font>
    <font>
      <sz val="8"/>
      <color theme="0" tint="-0.499984740745262"/>
      <name val="Calibri"/>
      <family val="2"/>
      <charset val="186"/>
    </font>
    <font>
      <b/>
      <sz val="8"/>
      <color rgb="FFFF0000"/>
      <name val="Calibri"/>
      <family val="2"/>
      <charset val="186"/>
    </font>
    <font>
      <b/>
      <sz val="8"/>
      <color rgb="FF000000"/>
      <name val="Calibri"/>
      <family val="2"/>
      <charset val="186"/>
    </font>
    <font>
      <b/>
      <sz val="8"/>
      <color theme="1"/>
      <name val="Calibri"/>
      <family val="2"/>
      <charset val="186"/>
      <scheme val="minor"/>
    </font>
    <font>
      <sz val="8"/>
      <color rgb="FF000000"/>
      <name val="Calibri"/>
      <family val="2"/>
      <charset val="186"/>
    </font>
    <font>
      <sz val="8"/>
      <color theme="1"/>
      <name val="Calibri"/>
      <family val="2"/>
      <charset val="186"/>
      <scheme val="minor"/>
    </font>
    <font>
      <sz val="8"/>
      <color rgb="FFFF0000"/>
      <name val="Calibri"/>
      <family val="2"/>
      <charset val="186"/>
    </font>
    <font>
      <sz val="8"/>
      <color rgb="FF0070C0"/>
      <name val="Calibri"/>
      <family val="2"/>
      <charset val="186"/>
    </font>
    <font>
      <b/>
      <sz val="8"/>
      <color rgb="FFFF0000"/>
      <name val="Calibri"/>
      <family val="2"/>
      <charset val="186"/>
      <scheme val="minor"/>
    </font>
    <font>
      <sz val="8"/>
      <name val="Calibri"/>
      <family val="2"/>
      <charset val="186"/>
      <scheme val="minor"/>
    </font>
    <font>
      <b/>
      <sz val="12"/>
      <color rgb="FF0070C0"/>
      <name val="Calibri"/>
      <family val="2"/>
      <charset val="186"/>
      <scheme val="minor"/>
    </font>
    <font>
      <i/>
      <sz val="10"/>
      <color theme="1"/>
      <name val="Calibri"/>
      <family val="2"/>
      <charset val="186"/>
      <scheme val="minor"/>
    </font>
    <font>
      <sz val="10"/>
      <color rgb="FF000000"/>
      <name val="Calibri"/>
      <family val="2"/>
      <charset val="186"/>
      <scheme val="minor"/>
    </font>
    <font>
      <b/>
      <sz val="10"/>
      <color theme="1"/>
      <name val="Calibri"/>
      <family val="2"/>
      <charset val="186"/>
    </font>
    <font>
      <sz val="10"/>
      <color theme="1"/>
      <name val="Calibri"/>
      <family val="2"/>
      <charset val="186"/>
    </font>
    <font>
      <sz val="10"/>
      <color rgb="FF000000"/>
      <name val="Calibri"/>
      <family val="2"/>
      <charset val="186"/>
    </font>
    <font>
      <b/>
      <sz val="10"/>
      <color rgb="FF000000"/>
      <name val="Calibri"/>
      <family val="2"/>
      <charset val="186"/>
    </font>
    <font>
      <sz val="10"/>
      <name val="Calibri"/>
      <family val="2"/>
      <charset val="186"/>
    </font>
    <font>
      <b/>
      <sz val="10"/>
      <color rgb="FFFF0000"/>
      <name val="Calibri"/>
      <family val="2"/>
      <charset val="186"/>
    </font>
    <font>
      <b/>
      <u/>
      <sz val="10"/>
      <color theme="1"/>
      <name val="Calibri"/>
      <family val="2"/>
      <charset val="186"/>
    </font>
    <font>
      <b/>
      <sz val="9"/>
      <color theme="0"/>
      <name val="Calibri"/>
      <family val="2"/>
      <charset val="186"/>
      <scheme val="minor"/>
    </font>
    <font>
      <b/>
      <sz val="9"/>
      <color theme="0" tint="-4.9989318521683403E-2"/>
      <name val="Calibri"/>
      <family val="2"/>
      <charset val="186"/>
      <scheme val="minor"/>
    </font>
    <font>
      <sz val="9"/>
      <color theme="0"/>
      <name val="Calibri"/>
      <family val="2"/>
      <charset val="186"/>
      <scheme val="minor"/>
    </font>
    <font>
      <sz val="9"/>
      <color theme="0" tint="-0.499984740745262"/>
      <name val="Calibri"/>
      <family val="2"/>
      <charset val="186"/>
      <scheme val="minor"/>
    </font>
    <font>
      <b/>
      <sz val="9"/>
      <color theme="4" tint="0.39997558519241921"/>
      <name val="Calibri"/>
      <family val="2"/>
      <charset val="186"/>
      <scheme val="minor"/>
    </font>
    <font>
      <i/>
      <sz val="10"/>
      <color rgb="FF0070C0"/>
      <name val="Calibri"/>
      <family val="2"/>
      <charset val="186"/>
      <scheme val="minor"/>
    </font>
    <font>
      <i/>
      <u/>
      <sz val="10"/>
      <color rgb="FF0070C0"/>
      <name val="Calibri"/>
      <family val="2"/>
      <charset val="186"/>
      <scheme val="minor"/>
    </font>
    <font>
      <b/>
      <i/>
      <sz val="10"/>
      <color theme="1"/>
      <name val="Calibri"/>
      <family val="2"/>
      <charset val="186"/>
      <scheme val="minor"/>
    </font>
    <font>
      <sz val="10"/>
      <color rgb="FF0070C0"/>
      <name val="Calibri"/>
      <family val="2"/>
      <charset val="186"/>
      <scheme val="minor"/>
    </font>
    <font>
      <b/>
      <i/>
      <sz val="10"/>
      <color rgb="FF0070C0"/>
      <name val="Calibri"/>
      <family val="2"/>
      <charset val="186"/>
      <scheme val="minor"/>
    </font>
    <font>
      <b/>
      <sz val="12"/>
      <name val="Calibri"/>
      <family val="2"/>
      <charset val="186"/>
      <scheme val="minor"/>
    </font>
    <font>
      <i/>
      <sz val="10"/>
      <color theme="1" tint="0.499984740745262"/>
      <name val="Calibri"/>
      <family val="2"/>
      <charset val="186"/>
      <scheme val="minor"/>
    </font>
    <font>
      <sz val="10"/>
      <color theme="1" tint="0.499984740745262"/>
      <name val="Calibri"/>
      <family val="2"/>
      <charset val="186"/>
      <scheme val="minor"/>
    </font>
    <font>
      <b/>
      <sz val="11"/>
      <color theme="0"/>
      <name val="Calibri"/>
      <family val="2"/>
      <charset val="186"/>
      <scheme val="minor"/>
    </font>
    <font>
      <sz val="11"/>
      <color rgb="FFFF0000"/>
      <name val="Calibri"/>
      <family val="2"/>
      <charset val="186"/>
      <scheme val="minor"/>
    </font>
    <font>
      <b/>
      <i/>
      <sz val="8"/>
      <color theme="1"/>
      <name val="Calibri"/>
      <family val="2"/>
      <charset val="186"/>
      <scheme val="minor"/>
    </font>
    <font>
      <b/>
      <i/>
      <sz val="8"/>
      <name val="Calibri"/>
      <family val="2"/>
      <charset val="186"/>
    </font>
    <font>
      <i/>
      <sz val="8"/>
      <name val="Calibri"/>
      <family val="2"/>
      <charset val="186"/>
    </font>
    <font>
      <b/>
      <sz val="10"/>
      <color rgb="FF000000"/>
      <name val="Calibri"/>
      <family val="2"/>
      <charset val="186"/>
      <scheme val="minor"/>
    </font>
    <font>
      <b/>
      <sz val="11"/>
      <color theme="1"/>
      <name val="Calibri"/>
      <family val="2"/>
      <charset val="186"/>
      <scheme val="minor"/>
    </font>
    <font>
      <b/>
      <sz val="10"/>
      <color rgb="FF0070C0"/>
      <name val="Calibri"/>
      <family val="2"/>
      <charset val="186"/>
      <scheme val="minor"/>
    </font>
    <font>
      <b/>
      <sz val="13"/>
      <color rgb="FF0070C0"/>
      <name val="Calibri"/>
      <family val="2"/>
      <charset val="186"/>
      <scheme val="minor"/>
    </font>
    <font>
      <b/>
      <sz val="14"/>
      <color rgb="FF0070C0"/>
      <name val="Calibri"/>
      <family val="2"/>
      <charset val="186"/>
      <scheme val="minor"/>
    </font>
    <font>
      <b/>
      <sz val="15"/>
      <color rgb="FF0070C0"/>
      <name val="Calibri"/>
      <family val="2"/>
      <charset val="186"/>
      <scheme val="minor"/>
    </font>
    <font>
      <b/>
      <sz val="16"/>
      <color rgb="FF0070C0"/>
      <name val="Calibri"/>
      <family val="2"/>
      <charset val="186"/>
      <scheme val="minor"/>
    </font>
    <font>
      <u/>
      <sz val="10"/>
      <color theme="1"/>
      <name val="Calibri"/>
      <family val="2"/>
      <charset val="186"/>
      <scheme val="minor"/>
    </font>
  </fonts>
  <fills count="48">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9" tint="0.79998168889431442"/>
        <bgColor indexed="64"/>
      </patternFill>
    </fill>
    <fill>
      <patternFill patternType="solid">
        <fgColor rgb="FF80D2B5"/>
        <bgColor indexed="64"/>
      </patternFill>
    </fill>
    <fill>
      <gradientFill degree="180">
        <stop position="0">
          <color rgb="FFFFC000"/>
        </stop>
        <stop position="1">
          <color rgb="FF80D2B5"/>
        </stop>
      </gradientFill>
    </fill>
    <fill>
      <patternFill patternType="solid">
        <fgColor rgb="FFFFC000"/>
        <bgColor indexed="64"/>
      </patternFill>
    </fill>
    <fill>
      <patternFill patternType="solid">
        <fgColor rgb="FFFF8989"/>
        <bgColor indexed="64"/>
      </patternFill>
    </fill>
    <fill>
      <gradientFill>
        <stop position="0">
          <color rgb="FF80D2B5"/>
        </stop>
        <stop position="1">
          <color rgb="FFFF8989"/>
        </stop>
      </gradientFill>
    </fill>
    <fill>
      <patternFill patternType="solid">
        <fgColor theme="4" tint="0.7999816888943144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2F2F"/>
        <bgColor indexed="64"/>
      </patternFill>
    </fill>
    <fill>
      <patternFill patternType="solid">
        <fgColor rgb="FFFFA669"/>
        <bgColor indexed="64"/>
      </patternFill>
    </fill>
    <fill>
      <patternFill patternType="solid">
        <fgColor rgb="FFFFFF81"/>
        <bgColor indexed="64"/>
      </patternFill>
    </fill>
    <fill>
      <patternFill patternType="solid">
        <fgColor rgb="FFFFFFFF"/>
        <bgColor indexed="64"/>
      </patternFill>
    </fill>
    <fill>
      <patternFill patternType="solid">
        <fgColor rgb="FFD7FDE3"/>
        <bgColor indexed="64"/>
      </patternFill>
    </fill>
    <fill>
      <patternFill patternType="solid">
        <fgColor rgb="FFADADAD"/>
        <bgColor indexed="64"/>
      </patternFill>
    </fill>
    <fill>
      <patternFill patternType="solid">
        <fgColor rgb="FFFFAC86"/>
        <bgColor indexed="64"/>
      </patternFill>
    </fill>
    <fill>
      <patternFill patternType="solid">
        <fgColor rgb="FFA6C9EC"/>
        <bgColor indexed="64"/>
      </patternFill>
    </fill>
    <fill>
      <patternFill patternType="solid">
        <fgColor rgb="FFD0D0D0"/>
        <bgColor indexed="64"/>
      </patternFill>
    </fill>
    <fill>
      <patternFill patternType="solid">
        <fgColor rgb="FFB5E6A2"/>
        <bgColor indexed="64"/>
      </patternFill>
    </fill>
    <fill>
      <patternFill patternType="solid">
        <fgColor theme="2"/>
        <bgColor indexed="64"/>
      </patternFill>
    </fill>
    <fill>
      <patternFill patternType="solid">
        <fgColor theme="8" tint="0.79998168889431442"/>
        <bgColor indexed="64"/>
      </patternFill>
    </fill>
    <fill>
      <patternFill patternType="solid">
        <fgColor rgb="FFFF000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AFAF"/>
        <bgColor indexed="64"/>
      </patternFill>
    </fill>
    <fill>
      <gradientFill type="path" left="0.5" right="0.5" top="0.5" bottom="0.5">
        <stop position="0">
          <color theme="0"/>
        </stop>
        <stop position="1">
          <color theme="4"/>
        </stop>
      </gradientFill>
    </fill>
    <fill>
      <patternFill patternType="solid">
        <fgColor theme="5" tint="0.59999389629810485"/>
        <bgColor indexed="64"/>
      </patternFill>
    </fill>
    <fill>
      <patternFill patternType="solid">
        <fgColor rgb="FFABFFAB"/>
        <bgColor indexed="64"/>
      </patternFill>
    </fill>
    <fill>
      <patternFill patternType="solid">
        <fgColor rgb="FFBDF2FF"/>
        <bgColor indexed="64"/>
      </patternFill>
    </fill>
    <fill>
      <patternFill patternType="solid">
        <fgColor rgb="FFEEDCCA"/>
        <bgColor indexed="64"/>
      </patternFill>
    </fill>
    <fill>
      <patternFill patternType="solid">
        <fgColor rgb="FFEBD7C3"/>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63" fillId="42" borderId="58"/>
  </cellStyleXfs>
  <cellXfs count="959">
    <xf numFmtId="0" fontId="0" fillId="0" borderId="0" xfId="0"/>
    <xf numFmtId="0" fontId="0" fillId="0" borderId="0" xfId="0" applyAlignment="1">
      <alignment vertical="top"/>
    </xf>
    <xf numFmtId="0" fontId="0" fillId="0" borderId="0" xfId="0" applyAlignment="1">
      <alignment horizontal="center" vertical="top" wrapText="1"/>
    </xf>
    <xf numFmtId="0" fontId="0" fillId="0" borderId="0" xfId="0" applyFill="1" applyAlignment="1">
      <alignment horizontal="left" vertical="top" wrapText="1"/>
    </xf>
    <xf numFmtId="0" fontId="3" fillId="0" borderId="0" xfId="0" applyFont="1" applyAlignment="1">
      <alignment vertical="top" wrapText="1"/>
    </xf>
    <xf numFmtId="0" fontId="0" fillId="0" borderId="0" xfId="0" applyAlignment="1">
      <alignment vertical="top" wrapText="1"/>
    </xf>
    <xf numFmtId="0" fontId="4" fillId="0" borderId="0" xfId="0" applyFont="1" applyAlignment="1">
      <alignment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6"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7" fillId="0" borderId="0" xfId="0" applyFont="1" applyAlignment="1">
      <alignment vertical="top" wrapText="1"/>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7" fillId="5" borderId="1" xfId="0" applyFont="1" applyFill="1" applyBorder="1" applyAlignment="1">
      <alignment horizontal="center" vertical="top" wrapText="1"/>
    </xf>
    <xf numFmtId="0" fontId="8" fillId="0" borderId="2" xfId="0" applyFont="1" applyBorder="1" applyAlignment="1">
      <alignment horizontal="left" vertical="top" wrapText="1"/>
    </xf>
    <xf numFmtId="0" fontId="7" fillId="0" borderId="1" xfId="0" applyFont="1" applyBorder="1" applyAlignment="1">
      <alignment vertical="top" wrapText="1"/>
    </xf>
    <xf numFmtId="0" fontId="7" fillId="0" borderId="1" xfId="0" applyFont="1" applyFill="1" applyBorder="1" applyAlignment="1">
      <alignment horizontal="left" vertical="top" wrapText="1"/>
    </xf>
    <xf numFmtId="0" fontId="7" fillId="0" borderId="3" xfId="0" applyFont="1" applyBorder="1" applyAlignment="1">
      <alignment vertical="top" wrapText="1"/>
    </xf>
    <xf numFmtId="0" fontId="7" fillId="6" borderId="1" xfId="0" applyFont="1" applyFill="1" applyBorder="1" applyAlignment="1">
      <alignment horizontal="center" vertical="top"/>
    </xf>
    <xf numFmtId="0" fontId="7" fillId="0" borderId="2" xfId="0" applyFont="1" applyBorder="1" applyAlignment="1">
      <alignment vertical="top" wrapText="1"/>
    </xf>
    <xf numFmtId="0" fontId="7" fillId="7" borderId="1" xfId="0" applyFont="1" applyFill="1" applyBorder="1" applyAlignment="1">
      <alignment horizontal="center" vertical="top"/>
    </xf>
    <xf numFmtId="0" fontId="5" fillId="0" borderId="2" xfId="0" applyFont="1" applyFill="1" applyBorder="1" applyAlignment="1">
      <alignment horizontal="left" vertical="top" wrapText="1"/>
    </xf>
    <xf numFmtId="0" fontId="7" fillId="5" borderId="1" xfId="0" applyFont="1" applyFill="1" applyBorder="1" applyAlignment="1">
      <alignment horizontal="center" vertical="top"/>
    </xf>
    <xf numFmtId="0" fontId="6" fillId="0" borderId="2" xfId="0" applyFont="1" applyBorder="1" applyAlignment="1">
      <alignment horizontal="left" vertical="top" wrapText="1"/>
    </xf>
    <xf numFmtId="0" fontId="8"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5" fillId="0" borderId="2" xfId="0" applyFont="1" applyBorder="1" applyAlignment="1">
      <alignment horizontal="left" vertical="top" wrapText="1"/>
    </xf>
    <xf numFmtId="0" fontId="7" fillId="0" borderId="1" xfId="0" applyFont="1" applyBorder="1" applyAlignment="1">
      <alignment horizontal="left" vertical="top"/>
    </xf>
    <xf numFmtId="0" fontId="7" fillId="8" borderId="1" xfId="0" applyFont="1" applyFill="1" applyBorder="1" applyAlignment="1">
      <alignment horizontal="center" vertical="top"/>
    </xf>
    <xf numFmtId="0" fontId="7" fillId="9" borderId="1" xfId="0" applyFont="1" applyFill="1" applyBorder="1" applyAlignment="1">
      <alignment horizontal="center" vertical="top"/>
    </xf>
    <xf numFmtId="0" fontId="6" fillId="0" borderId="1" xfId="0" applyFont="1" applyBorder="1" applyAlignment="1">
      <alignment horizontal="left" vertical="top" wrapText="1"/>
    </xf>
    <xf numFmtId="0" fontId="28" fillId="0" borderId="0" xfId="0" applyFont="1" applyAlignment="1">
      <alignment horizontal="center" vertical="top" wrapText="1"/>
    </xf>
    <xf numFmtId="0" fontId="28" fillId="0" borderId="0" xfId="0" applyFont="1" applyAlignment="1">
      <alignment horizontal="center" vertical="top"/>
    </xf>
    <xf numFmtId="0" fontId="28" fillId="0" borderId="0" xfId="0" applyFont="1" applyAlignment="1">
      <alignment vertical="top"/>
    </xf>
    <xf numFmtId="0" fontId="30" fillId="0" borderId="0" xfId="0" applyFont="1" applyAlignment="1">
      <alignment horizontal="center" vertical="top"/>
    </xf>
    <xf numFmtId="0" fontId="30" fillId="0" borderId="0" xfId="0" applyFont="1" applyAlignment="1">
      <alignment vertical="top"/>
    </xf>
    <xf numFmtId="0" fontId="30" fillId="0" borderId="0" xfId="0" applyFont="1" applyAlignment="1">
      <alignment horizontal="center" vertical="top" wrapText="1"/>
    </xf>
    <xf numFmtId="0" fontId="28" fillId="7" borderId="1" xfId="0" applyFont="1" applyFill="1" applyBorder="1" applyAlignment="1">
      <alignment horizontal="center" vertical="top" wrapText="1"/>
    </xf>
    <xf numFmtId="165" fontId="34" fillId="0" borderId="9" xfId="0" applyNumberFormat="1" applyFont="1" applyBorder="1" applyAlignment="1">
      <alignment horizontal="center" vertical="top"/>
    </xf>
    <xf numFmtId="0" fontId="28" fillId="0" borderId="1" xfId="0" applyFont="1" applyBorder="1" applyAlignment="1">
      <alignment horizontal="center" vertical="top"/>
    </xf>
    <xf numFmtId="164" fontId="30" fillId="0" borderId="0" xfId="0" applyNumberFormat="1" applyFont="1" applyAlignment="1">
      <alignment horizontal="center" vertical="top"/>
    </xf>
    <xf numFmtId="2" fontId="28" fillId="0" borderId="10" xfId="0" applyNumberFormat="1" applyFont="1" applyBorder="1" applyAlignment="1">
      <alignment horizontal="center" vertical="top"/>
    </xf>
    <xf numFmtId="2" fontId="29" fillId="0" borderId="1" xfId="0" applyNumberFormat="1" applyFont="1" applyBorder="1" applyAlignment="1">
      <alignment horizontal="center" vertical="top"/>
    </xf>
    <xf numFmtId="2" fontId="28" fillId="0" borderId="11" xfId="0" applyNumberFormat="1" applyFont="1" applyBorder="1" applyAlignment="1">
      <alignment horizontal="center" vertical="top"/>
    </xf>
    <xf numFmtId="2" fontId="30" fillId="0" borderId="0" xfId="0" applyNumberFormat="1" applyFont="1" applyAlignment="1">
      <alignment vertical="top"/>
    </xf>
    <xf numFmtId="0" fontId="33" fillId="20" borderId="1" xfId="0" applyFont="1" applyFill="1" applyBorder="1" applyAlignment="1">
      <alignment horizontal="center" vertical="center"/>
    </xf>
    <xf numFmtId="0" fontId="34" fillId="0" borderId="1" xfId="0" applyFont="1" applyFill="1" applyBorder="1" applyAlignment="1">
      <alignment vertical="top" wrapText="1"/>
    </xf>
    <xf numFmtId="0" fontId="33" fillId="21" borderId="1" xfId="0" applyFont="1" applyFill="1" applyBorder="1" applyAlignment="1">
      <alignment horizontal="center" vertical="center" wrapText="1"/>
    </xf>
    <xf numFmtId="0" fontId="33" fillId="19" borderId="1" xfId="0" applyFont="1" applyFill="1" applyBorder="1" applyAlignment="1">
      <alignment horizontal="center" vertical="center" wrapText="1"/>
    </xf>
    <xf numFmtId="0" fontId="33" fillId="18" borderId="1" xfId="0" applyFont="1" applyFill="1" applyBorder="1" applyAlignment="1">
      <alignment horizontal="center" vertical="center" wrapText="1"/>
    </xf>
    <xf numFmtId="166" fontId="34" fillId="0" borderId="9" xfId="0" applyNumberFormat="1" applyFont="1" applyBorder="1" applyAlignment="1">
      <alignment horizontal="center" vertical="top"/>
    </xf>
    <xf numFmtId="0" fontId="33" fillId="17" borderId="1" xfId="0" applyFont="1" applyFill="1" applyBorder="1" applyAlignment="1">
      <alignment horizontal="center" vertical="center" wrapText="1"/>
    </xf>
    <xf numFmtId="10" fontId="34" fillId="0" borderId="9" xfId="0" applyNumberFormat="1" applyFont="1" applyBorder="1" applyAlignment="1">
      <alignment horizontal="center" vertical="top"/>
    </xf>
    <xf numFmtId="9" fontId="34" fillId="0" borderId="9" xfId="0" applyNumberFormat="1" applyFont="1" applyBorder="1" applyAlignment="1">
      <alignment horizontal="center" vertical="top"/>
    </xf>
    <xf numFmtId="0" fontId="28" fillId="15" borderId="1" xfId="0" applyFont="1" applyFill="1" applyBorder="1" applyAlignment="1">
      <alignment horizontal="center" vertical="top"/>
    </xf>
    <xf numFmtId="2" fontId="28" fillId="15" borderId="10" xfId="0" applyNumberFormat="1" applyFont="1" applyFill="1" applyBorder="1" applyAlignment="1">
      <alignment horizontal="center" vertical="top"/>
    </xf>
    <xf numFmtId="2" fontId="29" fillId="15" borderId="1" xfId="0" applyNumberFormat="1" applyFont="1" applyFill="1" applyBorder="1" applyAlignment="1">
      <alignment horizontal="center" vertical="top"/>
    </xf>
    <xf numFmtId="2" fontId="28" fillId="15" borderId="11" xfId="0" applyNumberFormat="1" applyFont="1" applyFill="1" applyBorder="1" applyAlignment="1">
      <alignment horizontal="center" vertical="top"/>
    </xf>
    <xf numFmtId="0" fontId="34" fillId="0" borderId="1" xfId="0" applyFont="1" applyFill="1" applyBorder="1" applyAlignment="1">
      <alignment vertical="top"/>
    </xf>
    <xf numFmtId="164" fontId="30" fillId="0" borderId="0" xfId="0" applyNumberFormat="1" applyFont="1" applyFill="1" applyAlignment="1">
      <alignment horizontal="center" vertical="top"/>
    </xf>
    <xf numFmtId="0" fontId="33" fillId="0" borderId="0" xfId="0" applyFont="1" applyAlignment="1">
      <alignment horizontal="center" vertical="center" wrapText="1"/>
    </xf>
    <xf numFmtId="0" fontId="35" fillId="0" borderId="0" xfId="0" applyFont="1" applyAlignment="1">
      <alignment horizontal="center" vertical="center" wrapText="1"/>
    </xf>
    <xf numFmtId="0" fontId="35" fillId="0" borderId="1" xfId="0" applyFont="1" applyBorder="1" applyAlignment="1">
      <alignment horizontal="center" vertical="top"/>
    </xf>
    <xf numFmtId="165" fontId="35" fillId="0" borderId="9" xfId="0" applyNumberFormat="1" applyFont="1" applyBorder="1" applyAlignment="1">
      <alignment horizontal="center" vertical="top"/>
    </xf>
    <xf numFmtId="0" fontId="35" fillId="0" borderId="1" xfId="0" applyFont="1" applyFill="1" applyBorder="1" applyAlignment="1">
      <alignment horizontal="left" vertical="top" wrapText="1"/>
    </xf>
    <xf numFmtId="0" fontId="28" fillId="22" borderId="1" xfId="0" applyFont="1" applyFill="1" applyBorder="1" applyAlignment="1">
      <alignment horizontal="center" vertical="top" wrapText="1"/>
    </xf>
    <xf numFmtId="0" fontId="28" fillId="23" borderId="1" xfId="0" applyFont="1" applyFill="1" applyBorder="1" applyAlignment="1">
      <alignment horizontal="center" vertical="top" wrapText="1"/>
    </xf>
    <xf numFmtId="0" fontId="28" fillId="3" borderId="1" xfId="0" applyFont="1" applyFill="1" applyBorder="1" applyAlignment="1">
      <alignment horizontal="center" vertical="top" wrapText="1"/>
    </xf>
    <xf numFmtId="0" fontId="28" fillId="25" borderId="1" xfId="0" applyFont="1" applyFill="1" applyBorder="1" applyAlignment="1">
      <alignment horizontal="center" vertical="top" wrapText="1"/>
    </xf>
    <xf numFmtId="0" fontId="28" fillId="26" borderId="12" xfId="0" applyFont="1" applyFill="1" applyBorder="1" applyAlignment="1">
      <alignment horizontal="center" vertical="top" wrapText="1"/>
    </xf>
    <xf numFmtId="0" fontId="34" fillId="0" borderId="12" xfId="0" applyFont="1" applyFill="1" applyBorder="1" applyAlignment="1">
      <alignment vertical="top"/>
    </xf>
    <xf numFmtId="0" fontId="28" fillId="20" borderId="12" xfId="0" applyFont="1" applyFill="1" applyBorder="1" applyAlignment="1">
      <alignment horizontal="center" vertical="top"/>
    </xf>
    <xf numFmtId="0" fontId="28" fillId="21" borderId="12" xfId="0" applyFont="1" applyFill="1" applyBorder="1" applyAlignment="1">
      <alignment horizontal="center" vertical="top"/>
    </xf>
    <xf numFmtId="2" fontId="28" fillId="0" borderId="17" xfId="0" applyNumberFormat="1" applyFont="1" applyBorder="1" applyAlignment="1">
      <alignment horizontal="center" vertical="top"/>
    </xf>
    <xf numFmtId="2" fontId="29" fillId="0" borderId="12" xfId="0" applyNumberFormat="1" applyFont="1" applyBorder="1" applyAlignment="1">
      <alignment horizontal="center" vertical="top"/>
    </xf>
    <xf numFmtId="2" fontId="28" fillId="0" borderId="18" xfId="0" applyNumberFormat="1" applyFont="1" applyBorder="1" applyAlignment="1">
      <alignment horizontal="center" vertical="top"/>
    </xf>
    <xf numFmtId="0" fontId="37" fillId="0" borderId="1" xfId="0" applyFont="1" applyBorder="1" applyAlignment="1">
      <alignment horizontal="center" vertical="top" wrapText="1"/>
    </xf>
    <xf numFmtId="0" fontId="37" fillId="0" borderId="1" xfId="0" applyFont="1" applyBorder="1" applyAlignment="1">
      <alignment horizontal="center" vertical="top"/>
    </xf>
    <xf numFmtId="0" fontId="37" fillId="0" borderId="1" xfId="0" applyFont="1" applyBorder="1" applyAlignment="1">
      <alignment vertical="top"/>
    </xf>
    <xf numFmtId="0" fontId="37" fillId="0" borderId="9" xfId="0" applyFont="1" applyBorder="1" applyAlignment="1">
      <alignment vertical="top"/>
    </xf>
    <xf numFmtId="0" fontId="37" fillId="0" borderId="0" xfId="0" applyFont="1" applyAlignment="1">
      <alignment vertical="top"/>
    </xf>
    <xf numFmtId="0" fontId="29" fillId="0" borderId="0" xfId="0" applyFont="1" applyAlignment="1">
      <alignment horizontal="center" vertical="top"/>
    </xf>
    <xf numFmtId="0" fontId="33" fillId="22" borderId="1" xfId="0" applyFont="1" applyFill="1" applyBorder="1" applyAlignment="1">
      <alignment horizontal="center" vertical="top"/>
    </xf>
    <xf numFmtId="0" fontId="33" fillId="26" borderId="1" xfId="0" applyFont="1" applyFill="1" applyBorder="1" applyAlignment="1">
      <alignment vertical="top"/>
    </xf>
    <xf numFmtId="0" fontId="33" fillId="27" borderId="1" xfId="0" applyFont="1" applyFill="1" applyBorder="1" applyAlignment="1">
      <alignment horizontal="left" vertical="top"/>
    </xf>
    <xf numFmtId="0" fontId="33" fillId="23" borderId="1" xfId="0" applyFont="1" applyFill="1" applyBorder="1" applyAlignment="1">
      <alignment horizontal="left" vertical="top"/>
    </xf>
    <xf numFmtId="0" fontId="33" fillId="0" borderId="0" xfId="0" applyFont="1" applyAlignment="1">
      <alignment vertical="top"/>
    </xf>
    <xf numFmtId="0" fontId="35" fillId="28" borderId="1" xfId="0" applyFont="1" applyFill="1" applyBorder="1" applyAlignment="1">
      <alignment vertical="top"/>
    </xf>
    <xf numFmtId="0" fontId="35" fillId="0" borderId="0" xfId="0" applyFont="1" applyAlignment="1">
      <alignment vertical="top"/>
    </xf>
    <xf numFmtId="0" fontId="39" fillId="28" borderId="1" xfId="0" applyFont="1" applyFill="1" applyBorder="1" applyAlignment="1">
      <alignment horizontal="center" vertical="top" wrapText="1"/>
    </xf>
    <xf numFmtId="0" fontId="39" fillId="28" borderId="1" xfId="0" applyFont="1" applyFill="1" applyBorder="1" applyAlignment="1">
      <alignment vertical="top" wrapText="1"/>
    </xf>
    <xf numFmtId="0" fontId="35" fillId="0" borderId="1" xfId="0" applyFont="1" applyBorder="1" applyAlignment="1">
      <alignment horizontal="center" vertical="top" wrapText="1"/>
    </xf>
    <xf numFmtId="0" fontId="35" fillId="10" borderId="1" xfId="0" applyFont="1" applyFill="1" applyBorder="1" applyAlignment="1">
      <alignment horizontal="center" vertical="top"/>
    </xf>
    <xf numFmtId="0" fontId="34" fillId="10" borderId="1" xfId="0" applyFont="1" applyFill="1" applyBorder="1" applyAlignment="1">
      <alignment horizontal="center" vertical="top" wrapText="1"/>
    </xf>
    <xf numFmtId="0" fontId="34" fillId="10" borderId="1" xfId="0" applyFont="1" applyFill="1" applyBorder="1" applyAlignment="1">
      <alignment horizontal="center" vertical="top"/>
    </xf>
    <xf numFmtId="0" fontId="35" fillId="10" borderId="1" xfId="0" applyFont="1" applyFill="1" applyBorder="1" applyAlignment="1">
      <alignment horizontal="left" vertical="top" wrapText="1"/>
    </xf>
    <xf numFmtId="0" fontId="34" fillId="10" borderId="1" xfId="0" applyFont="1" applyFill="1" applyBorder="1" applyAlignment="1">
      <alignment vertical="top" wrapText="1"/>
    </xf>
    <xf numFmtId="0" fontId="34" fillId="10" borderId="1" xfId="0" applyFont="1" applyFill="1" applyBorder="1" applyAlignment="1">
      <alignment horizontal="left" vertical="top" wrapText="1"/>
    </xf>
    <xf numFmtId="0" fontId="35" fillId="10" borderId="1" xfId="0" applyFont="1" applyFill="1" applyBorder="1" applyAlignment="1">
      <alignment horizontal="center" vertical="top" wrapText="1"/>
    </xf>
    <xf numFmtId="10" fontId="33" fillId="10" borderId="1" xfId="0" applyNumberFormat="1" applyFont="1" applyFill="1" applyBorder="1" applyAlignment="1">
      <alignment horizontal="center" vertical="top"/>
    </xf>
    <xf numFmtId="10" fontId="35" fillId="10" borderId="1" xfId="0" applyNumberFormat="1" applyFont="1" applyFill="1" applyBorder="1" applyAlignment="1">
      <alignment horizontal="center" vertical="top"/>
    </xf>
    <xf numFmtId="10" fontId="34" fillId="10" borderId="1" xfId="0" applyNumberFormat="1" applyFont="1" applyFill="1" applyBorder="1" applyAlignment="1">
      <alignment horizontal="center" vertical="top"/>
    </xf>
    <xf numFmtId="9" fontId="35" fillId="10" borderId="1" xfId="0" applyNumberFormat="1" applyFont="1" applyFill="1" applyBorder="1" applyAlignment="1">
      <alignment horizontal="center" vertical="top"/>
    </xf>
    <xf numFmtId="165" fontId="33" fillId="10" borderId="1" xfId="0" applyNumberFormat="1" applyFont="1" applyFill="1" applyBorder="1" applyAlignment="1">
      <alignment horizontal="center" vertical="top"/>
    </xf>
    <xf numFmtId="165" fontId="35" fillId="10" borderId="1" xfId="0" applyNumberFormat="1" applyFont="1" applyFill="1" applyBorder="1" applyAlignment="1">
      <alignment horizontal="center" vertical="top"/>
    </xf>
    <xf numFmtId="10" fontId="29" fillId="10" borderId="1" xfId="0" applyNumberFormat="1" applyFont="1" applyFill="1" applyBorder="1" applyAlignment="1">
      <alignment horizontal="center" vertical="top"/>
    </xf>
    <xf numFmtId="10" fontId="28" fillId="10" borderId="1" xfId="0" applyNumberFormat="1" applyFont="1" applyFill="1" applyBorder="1" applyAlignment="1">
      <alignment horizontal="center" vertical="top"/>
    </xf>
    <xf numFmtId="0" fontId="35" fillId="0" borderId="0" xfId="0" applyFont="1" applyAlignment="1">
      <alignment vertical="top" wrapText="1"/>
    </xf>
    <xf numFmtId="0" fontId="35" fillId="0" borderId="0" xfId="0" applyFont="1" applyAlignment="1">
      <alignment horizontal="center" vertical="top"/>
    </xf>
    <xf numFmtId="0" fontId="40" fillId="0" borderId="0" xfId="0" applyFont="1" applyAlignment="1">
      <alignment vertical="top"/>
    </xf>
    <xf numFmtId="0" fontId="7" fillId="0" borderId="0" xfId="0" applyFont="1" applyAlignment="1">
      <alignment vertical="top"/>
    </xf>
    <xf numFmtId="0" fontId="5"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10" borderId="1" xfId="0" applyFont="1" applyFill="1" applyBorder="1" applyAlignment="1">
      <alignment vertical="top" wrapText="1"/>
    </xf>
    <xf numFmtId="0" fontId="7" fillId="37" borderId="1" xfId="0" applyFont="1" applyFill="1" applyBorder="1" applyAlignment="1">
      <alignment vertical="top" wrapText="1"/>
    </xf>
    <xf numFmtId="0" fontId="7" fillId="37" borderId="9" xfId="0" applyFont="1" applyFill="1" applyBorder="1" applyAlignment="1">
      <alignment vertical="top" wrapText="1"/>
    </xf>
    <xf numFmtId="0" fontId="7" fillId="10" borderId="9" xfId="0" applyFont="1" applyFill="1" applyBorder="1" applyAlignment="1">
      <alignment vertical="top" wrapText="1"/>
    </xf>
    <xf numFmtId="0" fontId="14" fillId="0" borderId="0" xfId="0" applyFont="1" applyAlignment="1">
      <alignment horizontal="left" vertical="top"/>
    </xf>
    <xf numFmtId="0" fontId="13" fillId="0" borderId="0" xfId="0" applyFont="1" applyAlignment="1">
      <alignment horizontal="center" vertical="top"/>
    </xf>
    <xf numFmtId="0" fontId="44" fillId="0" borderId="0" xfId="0" applyFont="1" applyAlignment="1">
      <alignment vertical="top"/>
    </xf>
    <xf numFmtId="0" fontId="44" fillId="0" borderId="0" xfId="0" applyFont="1" applyAlignment="1">
      <alignment horizontal="center" vertical="top"/>
    </xf>
    <xf numFmtId="0" fontId="45" fillId="3" borderId="1" xfId="0" applyFont="1" applyFill="1" applyBorder="1" applyAlignment="1">
      <alignment horizontal="center" vertical="top" wrapText="1"/>
    </xf>
    <xf numFmtId="0" fontId="44" fillId="0" borderId="1" xfId="0" applyFont="1" applyFill="1" applyBorder="1" applyAlignment="1">
      <alignment horizontal="justify" vertical="top" wrapText="1"/>
    </xf>
    <xf numFmtId="0" fontId="44" fillId="29" borderId="1" xfId="0" applyFont="1" applyFill="1" applyBorder="1" applyAlignment="1">
      <alignment vertical="top"/>
    </xf>
    <xf numFmtId="0" fontId="44" fillId="7" borderId="1" xfId="0" applyFont="1" applyFill="1" applyBorder="1" applyAlignment="1">
      <alignment horizontal="justify" vertical="top" wrapText="1"/>
    </xf>
    <xf numFmtId="0" fontId="44" fillId="29" borderId="1" xfId="0" applyFont="1" applyFill="1" applyBorder="1" applyAlignment="1">
      <alignment horizontal="center" vertical="top"/>
    </xf>
    <xf numFmtId="9" fontId="44" fillId="0" borderId="1" xfId="1" applyFont="1" applyFill="1" applyBorder="1" applyAlignment="1">
      <alignment horizontal="center" vertical="top"/>
    </xf>
    <xf numFmtId="0" fontId="44" fillId="7" borderId="1" xfId="0" applyFont="1" applyFill="1" applyBorder="1" applyAlignment="1">
      <alignment vertical="top"/>
    </xf>
    <xf numFmtId="0" fontId="44" fillId="0" borderId="1" xfId="0" applyFont="1" applyBorder="1" applyAlignment="1">
      <alignment horizontal="center" vertical="top"/>
    </xf>
    <xf numFmtId="0" fontId="44" fillId="10" borderId="1" xfId="0" applyFont="1" applyFill="1" applyBorder="1" applyAlignment="1">
      <alignment vertical="top"/>
    </xf>
    <xf numFmtId="0" fontId="44" fillId="16" borderId="1" xfId="0" applyFont="1" applyFill="1" applyBorder="1" applyAlignment="1">
      <alignment horizontal="justify" vertical="top" wrapText="1"/>
    </xf>
    <xf numFmtId="0" fontId="44" fillId="30" borderId="1" xfId="0" applyFont="1" applyFill="1" applyBorder="1" applyAlignment="1">
      <alignment vertical="top"/>
    </xf>
    <xf numFmtId="0" fontId="44" fillId="30" borderId="1" xfId="0" applyFont="1" applyFill="1" applyBorder="1" applyAlignment="1">
      <alignment horizontal="justify" vertical="top" wrapText="1"/>
    </xf>
    <xf numFmtId="0" fontId="44" fillId="31" borderId="1" xfId="0" applyFont="1" applyFill="1" applyBorder="1" applyAlignment="1">
      <alignment vertical="top"/>
    </xf>
    <xf numFmtId="0" fontId="44" fillId="31" borderId="1" xfId="0" applyFont="1" applyFill="1" applyBorder="1" applyAlignment="1">
      <alignment horizontal="justify" vertical="top" wrapText="1"/>
    </xf>
    <xf numFmtId="0" fontId="44" fillId="2" borderId="1" xfId="0" applyFont="1" applyFill="1" applyBorder="1" applyAlignment="1">
      <alignment vertical="top"/>
    </xf>
    <xf numFmtId="0" fontId="44" fillId="2" borderId="1" xfId="0" applyFont="1" applyFill="1" applyBorder="1" applyAlignment="1">
      <alignment horizontal="justify" vertical="top" wrapText="1"/>
    </xf>
    <xf numFmtId="0" fontId="44" fillId="11" borderId="1" xfId="0" applyFont="1" applyFill="1" applyBorder="1" applyAlignment="1">
      <alignment vertical="top"/>
    </xf>
    <xf numFmtId="0" fontId="44" fillId="11" borderId="1" xfId="0" applyFont="1" applyFill="1" applyBorder="1" applyAlignment="1">
      <alignment horizontal="justify" vertical="top" wrapText="1"/>
    </xf>
    <xf numFmtId="0" fontId="43" fillId="32" borderId="1" xfId="0" applyFont="1" applyFill="1" applyBorder="1" applyAlignment="1">
      <alignment horizontal="justify" vertical="top" wrapText="1"/>
    </xf>
    <xf numFmtId="0" fontId="44" fillId="32" borderId="1" xfId="0" applyFont="1" applyFill="1" applyBorder="1" applyAlignment="1">
      <alignment vertical="top"/>
    </xf>
    <xf numFmtId="0" fontId="44" fillId="32" borderId="1" xfId="0" applyFont="1" applyFill="1" applyBorder="1" applyAlignment="1">
      <alignment horizontal="justify" vertical="top" wrapText="1"/>
    </xf>
    <xf numFmtId="0" fontId="45" fillId="32" borderId="1" xfId="0" applyFont="1" applyFill="1" applyBorder="1" applyAlignment="1">
      <alignment horizontal="justify" vertical="top" wrapText="1"/>
    </xf>
    <xf numFmtId="0" fontId="44" fillId="32" borderId="1" xfId="0" applyFont="1" applyFill="1" applyBorder="1" applyAlignment="1">
      <alignment horizontal="center" vertical="top" wrapText="1"/>
    </xf>
    <xf numFmtId="165" fontId="44" fillId="32" borderId="1" xfId="1" applyNumberFormat="1" applyFont="1" applyFill="1" applyBorder="1" applyAlignment="1">
      <alignment horizontal="center" vertical="top" wrapText="1"/>
    </xf>
    <xf numFmtId="9" fontId="44" fillId="32" borderId="1" xfId="1" applyFont="1" applyFill="1" applyBorder="1" applyAlignment="1">
      <alignment horizontal="center" vertical="top"/>
    </xf>
    <xf numFmtId="10" fontId="44" fillId="32" borderId="1" xfId="0" applyNumberFormat="1" applyFont="1" applyFill="1" applyBorder="1" applyAlignment="1">
      <alignment horizontal="center" vertical="top" wrapText="1"/>
    </xf>
    <xf numFmtId="0" fontId="46" fillId="32" borderId="1" xfId="0" applyFont="1" applyFill="1" applyBorder="1" applyAlignment="1">
      <alignment horizontal="justify" vertical="top" wrapText="1"/>
    </xf>
    <xf numFmtId="0" fontId="43" fillId="32" borderId="1" xfId="0" applyFont="1" applyFill="1" applyBorder="1" applyAlignment="1">
      <alignment horizontal="center" vertical="top" wrapText="1"/>
    </xf>
    <xf numFmtId="9" fontId="44" fillId="32" borderId="1" xfId="0" applyNumberFormat="1" applyFont="1" applyFill="1" applyBorder="1" applyAlignment="1">
      <alignment horizontal="center" vertical="top" wrapText="1"/>
    </xf>
    <xf numFmtId="0" fontId="46" fillId="32" borderId="12" xfId="0" applyFont="1" applyFill="1" applyBorder="1" applyAlignment="1">
      <alignment horizontal="justify" vertical="top" wrapText="1"/>
    </xf>
    <xf numFmtId="0" fontId="43" fillId="32" borderId="12" xfId="0" applyFont="1" applyFill="1" applyBorder="1" applyAlignment="1">
      <alignment horizontal="center" vertical="top" wrapText="1"/>
    </xf>
    <xf numFmtId="0" fontId="44" fillId="32" borderId="12" xfId="0" applyFont="1" applyFill="1" applyBorder="1" applyAlignment="1">
      <alignment vertical="top"/>
    </xf>
    <xf numFmtId="0" fontId="44" fillId="32" borderId="12" xfId="0" applyFont="1" applyFill="1" applyBorder="1" applyAlignment="1">
      <alignment horizontal="center" vertical="top" wrapText="1"/>
    </xf>
    <xf numFmtId="0" fontId="46" fillId="32" borderId="24" xfId="0" applyFont="1" applyFill="1" applyBorder="1" applyAlignment="1">
      <alignment horizontal="justify" vertical="top" wrapText="1"/>
    </xf>
    <xf numFmtId="0" fontId="46" fillId="32" borderId="25" xfId="0" applyFont="1" applyFill="1" applyBorder="1" applyAlignment="1">
      <alignment horizontal="justify" vertical="top" wrapText="1"/>
    </xf>
    <xf numFmtId="0" fontId="43" fillId="32" borderId="25" xfId="0" applyFont="1" applyFill="1" applyBorder="1" applyAlignment="1">
      <alignment horizontal="center" vertical="top" wrapText="1"/>
    </xf>
    <xf numFmtId="0" fontId="43" fillId="32" borderId="25" xfId="0" applyFont="1" applyFill="1" applyBorder="1" applyAlignment="1">
      <alignment vertical="top"/>
    </xf>
    <xf numFmtId="1" fontId="43" fillId="32" borderId="25" xfId="0" applyNumberFormat="1" applyFont="1" applyFill="1" applyBorder="1" applyAlignment="1">
      <alignment horizontal="center" vertical="top" wrapText="1"/>
    </xf>
    <xf numFmtId="0" fontId="43" fillId="32" borderId="26" xfId="0" applyFont="1" applyFill="1" applyBorder="1" applyAlignment="1">
      <alignment horizontal="center" vertical="top" wrapText="1"/>
    </xf>
    <xf numFmtId="0" fontId="44" fillId="33" borderId="1" xfId="0" applyFont="1" applyFill="1" applyBorder="1" applyAlignment="1">
      <alignment vertical="top"/>
    </xf>
    <xf numFmtId="0" fontId="45" fillId="29" borderId="1" xfId="0" applyFont="1" applyFill="1" applyBorder="1" applyAlignment="1">
      <alignment horizontal="center" vertical="top"/>
    </xf>
    <xf numFmtId="0" fontId="45" fillId="0" borderId="1" xfId="0" applyFont="1" applyFill="1" applyBorder="1" applyAlignment="1">
      <alignment horizontal="center" vertical="top"/>
    </xf>
    <xf numFmtId="9" fontId="45" fillId="0" borderId="1" xfId="0" applyNumberFormat="1" applyFont="1" applyBorder="1" applyAlignment="1">
      <alignment horizontal="center" vertical="top"/>
    </xf>
    <xf numFmtId="0" fontId="47" fillId="30" borderId="1" xfId="0" applyFont="1" applyFill="1" applyBorder="1" applyAlignment="1">
      <alignment horizontal="justify" vertical="top" wrapText="1"/>
    </xf>
    <xf numFmtId="165" fontId="44" fillId="0" borderId="1" xfId="1" applyNumberFormat="1" applyFont="1" applyBorder="1" applyAlignment="1">
      <alignment horizontal="center" vertical="top"/>
    </xf>
    <xf numFmtId="0" fontId="44" fillId="0" borderId="1" xfId="0" applyFont="1" applyFill="1" applyBorder="1" applyAlignment="1">
      <alignment horizontal="center" vertical="top"/>
    </xf>
    <xf numFmtId="9" fontId="44" fillId="0" borderId="1" xfId="1" applyFont="1" applyBorder="1" applyAlignment="1">
      <alignment horizontal="center" vertical="top"/>
    </xf>
    <xf numFmtId="0" fontId="47" fillId="29" borderId="1" xfId="0" applyFont="1" applyFill="1" applyBorder="1" applyAlignment="1">
      <alignment vertical="top"/>
    </xf>
    <xf numFmtId="9" fontId="44" fillId="32" borderId="1" xfId="1" applyFont="1" applyFill="1" applyBorder="1" applyAlignment="1">
      <alignment horizontal="center" vertical="top" wrapText="1"/>
    </xf>
    <xf numFmtId="0" fontId="44" fillId="32" borderId="1" xfId="0" applyFont="1" applyFill="1" applyBorder="1" applyAlignment="1">
      <alignment horizontal="center" vertical="top"/>
    </xf>
    <xf numFmtId="0" fontId="44" fillId="32" borderId="12" xfId="0" applyFont="1" applyFill="1" applyBorder="1" applyAlignment="1">
      <alignment horizontal="justify" vertical="top" wrapText="1"/>
    </xf>
    <xf numFmtId="9" fontId="44" fillId="32" borderId="12" xfId="1" applyFont="1" applyFill="1" applyBorder="1" applyAlignment="1">
      <alignment horizontal="center" vertical="top" wrapText="1"/>
    </xf>
    <xf numFmtId="0" fontId="44" fillId="32" borderId="12" xfId="0" applyFont="1" applyFill="1" applyBorder="1" applyAlignment="1">
      <alignment horizontal="center" vertical="top"/>
    </xf>
    <xf numFmtId="0" fontId="44" fillId="32" borderId="24" xfId="0" applyFont="1" applyFill="1" applyBorder="1" applyAlignment="1">
      <alignment horizontal="justify" vertical="top" wrapText="1"/>
    </xf>
    <xf numFmtId="0" fontId="44" fillId="32" borderId="25" xfId="0" applyFont="1" applyFill="1" applyBorder="1" applyAlignment="1">
      <alignment vertical="top"/>
    </xf>
    <xf numFmtId="9" fontId="44" fillId="32" borderId="25" xfId="1" applyFont="1" applyFill="1" applyBorder="1" applyAlignment="1">
      <alignment horizontal="center" vertical="top" wrapText="1"/>
    </xf>
    <xf numFmtId="0" fontId="44" fillId="32" borderId="26" xfId="0" applyFont="1" applyFill="1" applyBorder="1" applyAlignment="1">
      <alignment horizontal="center" vertical="top"/>
    </xf>
    <xf numFmtId="0" fontId="44" fillId="7" borderId="0" xfId="0" applyFont="1" applyFill="1" applyAlignment="1">
      <alignment vertical="top"/>
    </xf>
    <xf numFmtId="0" fontId="44" fillId="10" borderId="0" xfId="0" applyFont="1" applyFill="1" applyAlignment="1">
      <alignment vertical="top"/>
    </xf>
    <xf numFmtId="0" fontId="44" fillId="34" borderId="0" xfId="0" applyFont="1" applyFill="1" applyAlignment="1">
      <alignment vertical="top"/>
    </xf>
    <xf numFmtId="0" fontId="47" fillId="34" borderId="1" xfId="0" applyFont="1" applyFill="1" applyBorder="1" applyAlignment="1">
      <alignment horizontal="justify" vertical="top" wrapText="1"/>
    </xf>
    <xf numFmtId="0" fontId="44" fillId="2" borderId="0" xfId="0" applyFont="1" applyFill="1" applyAlignment="1">
      <alignment vertical="top"/>
    </xf>
    <xf numFmtId="0" fontId="44" fillId="33" borderId="0" xfId="0" applyFont="1" applyFill="1" applyAlignment="1">
      <alignment vertical="top"/>
    </xf>
    <xf numFmtId="0" fontId="44" fillId="11" borderId="0" xfId="0" applyFont="1" applyFill="1" applyAlignment="1">
      <alignment vertical="top"/>
    </xf>
    <xf numFmtId="0" fontId="44" fillId="35" borderId="0" xfId="0" applyFont="1" applyFill="1" applyAlignment="1">
      <alignment vertical="top"/>
    </xf>
    <xf numFmtId="0" fontId="44" fillId="35" borderId="1" xfId="0" applyFont="1" applyFill="1" applyBorder="1" applyAlignment="1">
      <alignment vertical="top"/>
    </xf>
    <xf numFmtId="0" fontId="44" fillId="30" borderId="0" xfId="0" applyFont="1" applyFill="1" applyAlignment="1">
      <alignment vertical="top"/>
    </xf>
    <xf numFmtId="0" fontId="44" fillId="0" borderId="1" xfId="0" applyFont="1" applyBorder="1" applyAlignment="1">
      <alignment horizontal="center" vertical="top" wrapText="1"/>
    </xf>
    <xf numFmtId="0" fontId="44" fillId="16" borderId="1" xfId="0" applyFont="1" applyFill="1" applyBorder="1" applyAlignment="1">
      <alignment vertical="top"/>
    </xf>
    <xf numFmtId="0" fontId="44" fillId="4" borderId="1" xfId="0" applyFont="1" applyFill="1" applyBorder="1" applyAlignment="1">
      <alignment vertical="top"/>
    </xf>
    <xf numFmtId="1" fontId="44" fillId="0" borderId="0" xfId="0" applyNumberFormat="1" applyFont="1" applyAlignment="1">
      <alignment vertical="top"/>
    </xf>
    <xf numFmtId="0" fontId="43" fillId="32" borderId="24" xfId="0" applyFont="1" applyFill="1" applyBorder="1" applyAlignment="1">
      <alignment horizontal="justify" vertical="top" wrapText="1"/>
    </xf>
    <xf numFmtId="9" fontId="43" fillId="32" borderId="25" xfId="1" applyFont="1" applyFill="1" applyBorder="1" applyAlignment="1">
      <alignment horizontal="center" vertical="top" wrapText="1"/>
    </xf>
    <xf numFmtId="0" fontId="43" fillId="32" borderId="26" xfId="0" applyFont="1" applyFill="1" applyBorder="1" applyAlignment="1">
      <alignment horizontal="center" vertical="top"/>
    </xf>
    <xf numFmtId="9" fontId="44" fillId="0" borderId="1" xfId="0" applyNumberFormat="1" applyFont="1" applyFill="1" applyBorder="1" applyAlignment="1">
      <alignment horizontal="center" vertical="top"/>
    </xf>
    <xf numFmtId="164" fontId="44" fillId="0" borderId="0" xfId="0" applyNumberFormat="1" applyFont="1" applyAlignment="1">
      <alignment vertical="top"/>
    </xf>
    <xf numFmtId="0" fontId="44" fillId="36" borderId="1" xfId="0" applyFont="1" applyFill="1" applyBorder="1" applyAlignment="1">
      <alignment vertical="top"/>
    </xf>
    <xf numFmtId="0" fontId="44" fillId="34" borderId="1" xfId="0" applyFont="1" applyFill="1" applyBorder="1" applyAlignment="1">
      <alignment vertical="top"/>
    </xf>
    <xf numFmtId="0" fontId="44" fillId="22" borderId="1" xfId="0" applyFont="1" applyFill="1" applyBorder="1" applyAlignment="1">
      <alignment horizontal="left" vertical="top"/>
    </xf>
    <xf numFmtId="9" fontId="44" fillId="0" borderId="1" xfId="1" applyFont="1" applyBorder="1" applyAlignment="1">
      <alignment horizontal="center" vertical="top" wrapText="1"/>
    </xf>
    <xf numFmtId="0" fontId="44" fillId="29" borderId="1" xfId="0" applyFont="1" applyFill="1" applyBorder="1" applyAlignment="1">
      <alignment horizontal="center" vertical="top" wrapText="1"/>
    </xf>
    <xf numFmtId="0" fontId="35" fillId="28" borderId="1" xfId="0" applyFont="1" applyFill="1" applyBorder="1" applyAlignment="1">
      <alignment horizontal="center" vertical="top" wrapText="1"/>
    </xf>
    <xf numFmtId="0" fontId="35" fillId="28" borderId="1" xfId="0" applyFont="1" applyFill="1" applyBorder="1" applyAlignment="1">
      <alignment horizontal="center" vertical="top"/>
    </xf>
    <xf numFmtId="0" fontId="3" fillId="0" borderId="0" xfId="0" applyFont="1" applyFill="1" applyAlignment="1">
      <alignment horizontal="left" vertical="top" wrapText="1"/>
    </xf>
    <xf numFmtId="0" fontId="33" fillId="7" borderId="1" xfId="0" applyFont="1" applyFill="1" applyBorder="1" applyAlignment="1">
      <alignment horizontal="left" vertical="top"/>
    </xf>
    <xf numFmtId="0" fontId="35" fillId="0" borderId="1" xfId="0" applyFont="1" applyFill="1" applyBorder="1" applyAlignment="1">
      <alignment horizontal="center" vertical="top"/>
    </xf>
    <xf numFmtId="0" fontId="35" fillId="0" borderId="1" xfId="0" applyFont="1" applyFill="1" applyBorder="1" applyAlignment="1">
      <alignment horizontal="center" vertical="top" wrapText="1"/>
    </xf>
    <xf numFmtId="10" fontId="35" fillId="0" borderId="1" xfId="0" applyNumberFormat="1" applyFont="1" applyFill="1" applyBorder="1" applyAlignment="1">
      <alignment horizontal="center" vertical="top"/>
    </xf>
    <xf numFmtId="0" fontId="35" fillId="0" borderId="0" xfId="0" applyFont="1" applyBorder="1" applyAlignment="1">
      <alignment vertical="top"/>
    </xf>
    <xf numFmtId="0" fontId="7" fillId="14" borderId="1" xfId="0" applyFont="1" applyFill="1" applyBorder="1" applyAlignment="1">
      <alignment horizontal="center" vertical="top" wrapText="1"/>
    </xf>
    <xf numFmtId="10" fontId="35" fillId="28" borderId="1" xfId="0" applyNumberFormat="1" applyFont="1" applyFill="1" applyBorder="1" applyAlignment="1">
      <alignment horizontal="center" vertical="top" wrapText="1"/>
    </xf>
    <xf numFmtId="10" fontId="35" fillId="28" borderId="1" xfId="0" applyNumberFormat="1" applyFont="1" applyFill="1" applyBorder="1" applyAlignment="1">
      <alignment horizontal="center" vertical="top"/>
    </xf>
    <xf numFmtId="10" fontId="39" fillId="28" borderId="1" xfId="0" applyNumberFormat="1" applyFont="1" applyFill="1" applyBorder="1" applyAlignment="1">
      <alignment horizontal="center" vertical="top" wrapText="1"/>
    </xf>
    <xf numFmtId="0" fontId="7" fillId="14" borderId="1" xfId="0" applyFont="1" applyFill="1" applyBorder="1" applyAlignment="1">
      <alignment horizontal="center" vertical="top"/>
    </xf>
    <xf numFmtId="2" fontId="7" fillId="0" borderId="1" xfId="0" applyNumberFormat="1" applyFont="1" applyFill="1" applyBorder="1" applyAlignment="1">
      <alignment horizontal="center" vertical="top"/>
    </xf>
    <xf numFmtId="0" fontId="7" fillId="14" borderId="10" xfId="0" applyFont="1" applyFill="1" applyBorder="1" applyAlignment="1">
      <alignment horizontal="center" vertical="top" wrapText="1"/>
    </xf>
    <xf numFmtId="0" fontId="7" fillId="14" borderId="11" xfId="0" applyFont="1" applyFill="1" applyBorder="1" applyAlignment="1">
      <alignment horizontal="center" vertical="top" wrapText="1"/>
    </xf>
    <xf numFmtId="0" fontId="7" fillId="14" borderId="10" xfId="0" applyFont="1" applyFill="1" applyBorder="1" applyAlignment="1">
      <alignment horizontal="center" vertical="top"/>
    </xf>
    <xf numFmtId="0" fontId="7" fillId="14" borderId="11" xfId="0" applyFont="1" applyFill="1" applyBorder="1" applyAlignment="1">
      <alignment horizontal="center" vertical="top"/>
    </xf>
    <xf numFmtId="2" fontId="7" fillId="0" borderId="10" xfId="0" applyNumberFormat="1" applyFont="1" applyFill="1" applyBorder="1" applyAlignment="1">
      <alignment horizontal="center" vertical="top"/>
    </xf>
    <xf numFmtId="0" fontId="7" fillId="0" borderId="10"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11" xfId="0" applyFont="1" applyFill="1" applyBorder="1" applyAlignment="1">
      <alignment horizontal="center" vertical="top" wrapText="1"/>
    </xf>
    <xf numFmtId="0" fontId="7" fillId="0" borderId="1" xfId="0" applyFont="1" applyFill="1" applyBorder="1" applyAlignment="1">
      <alignment horizontal="center" vertical="top"/>
    </xf>
    <xf numFmtId="0" fontId="5" fillId="0" borderId="0" xfId="0" applyFont="1" applyAlignment="1">
      <alignment vertical="top"/>
    </xf>
    <xf numFmtId="0" fontId="7" fillId="0" borderId="10" xfId="0" applyFont="1" applyBorder="1" applyAlignment="1">
      <alignment horizontal="center" vertical="top"/>
    </xf>
    <xf numFmtId="0" fontId="7" fillId="0" borderId="1" xfId="0" applyFont="1" applyBorder="1" applyAlignment="1">
      <alignment vertical="top"/>
    </xf>
    <xf numFmtId="2" fontId="7" fillId="0" borderId="11" xfId="0" applyNumberFormat="1" applyFont="1" applyFill="1" applyBorder="1" applyAlignment="1">
      <alignment horizontal="center" vertical="top"/>
    </xf>
    <xf numFmtId="0" fontId="14" fillId="12" borderId="10" xfId="0" applyFont="1" applyFill="1" applyBorder="1" applyAlignment="1">
      <alignment horizontal="left" vertical="top"/>
    </xf>
    <xf numFmtId="10" fontId="33" fillId="10" borderId="12" xfId="0" applyNumberFormat="1" applyFont="1" applyFill="1" applyBorder="1" applyAlignment="1">
      <alignment horizontal="center" vertical="top"/>
    </xf>
    <xf numFmtId="10" fontId="35" fillId="10" borderId="12" xfId="0" applyNumberFormat="1" applyFont="1" applyFill="1" applyBorder="1" applyAlignment="1">
      <alignment horizontal="center" vertical="top"/>
    </xf>
    <xf numFmtId="0" fontId="7" fillId="0" borderId="0" xfId="0" applyFont="1" applyAlignment="1">
      <alignment horizontal="center" vertical="top"/>
    </xf>
    <xf numFmtId="0" fontId="7" fillId="10" borderId="1" xfId="0" applyFont="1" applyFill="1" applyBorder="1" applyAlignment="1">
      <alignment horizontal="center" vertical="top"/>
    </xf>
    <xf numFmtId="0" fontId="44" fillId="0" borderId="0" xfId="0" applyFont="1" applyFill="1" applyBorder="1" applyAlignment="1">
      <alignment vertical="top"/>
    </xf>
    <xf numFmtId="1" fontId="7" fillId="0" borderId="1" xfId="0" applyNumberFormat="1" applyFont="1" applyBorder="1" applyAlignment="1">
      <alignment horizontal="center" vertical="top"/>
    </xf>
    <xf numFmtId="164" fontId="7" fillId="0" borderId="1" xfId="0" applyNumberFormat="1" applyFont="1" applyBorder="1" applyAlignment="1">
      <alignment horizontal="center" vertical="top"/>
    </xf>
    <xf numFmtId="0" fontId="35" fillId="0" borderId="9" xfId="0" applyFont="1" applyBorder="1" applyAlignment="1">
      <alignment horizontal="center" vertical="top"/>
    </xf>
    <xf numFmtId="0" fontId="35" fillId="15" borderId="1" xfId="0" applyFont="1" applyFill="1" applyBorder="1" applyAlignment="1">
      <alignment horizontal="center" vertical="top"/>
    </xf>
    <xf numFmtId="0" fontId="35" fillId="0" borderId="2" xfId="0" applyFont="1" applyBorder="1" applyAlignment="1">
      <alignment horizontal="center" vertical="top"/>
    </xf>
    <xf numFmtId="0" fontId="35" fillId="0" borderId="1" xfId="0" applyFont="1" applyBorder="1" applyAlignment="1">
      <alignment horizontal="center"/>
    </xf>
    <xf numFmtId="0" fontId="35" fillId="15" borderId="1" xfId="0" applyFont="1" applyFill="1" applyBorder="1" applyAlignment="1">
      <alignment horizontal="center"/>
    </xf>
    <xf numFmtId="0" fontId="35" fillId="39" borderId="1" xfId="0" applyFont="1" applyFill="1" applyBorder="1" applyAlignment="1">
      <alignment horizontal="center" vertical="top"/>
    </xf>
    <xf numFmtId="0" fontId="35" fillId="39" borderId="1" xfId="0" applyFont="1" applyFill="1" applyBorder="1" applyAlignment="1">
      <alignment horizontal="center"/>
    </xf>
    <xf numFmtId="0" fontId="35" fillId="0" borderId="12" xfId="0" applyFont="1" applyBorder="1" applyAlignment="1">
      <alignment horizontal="center" vertical="top"/>
    </xf>
    <xf numFmtId="0" fontId="35" fillId="15" borderId="12" xfId="0" applyFont="1" applyFill="1" applyBorder="1" applyAlignment="1">
      <alignment horizontal="center" vertical="top"/>
    </xf>
    <xf numFmtId="0" fontId="35" fillId="15" borderId="9" xfId="0" applyFont="1" applyFill="1" applyBorder="1" applyAlignment="1">
      <alignment horizontal="center" vertical="top"/>
    </xf>
    <xf numFmtId="0" fontId="35" fillId="15" borderId="2" xfId="0" applyFont="1" applyFill="1" applyBorder="1" applyAlignment="1">
      <alignment horizontal="center" vertical="top"/>
    </xf>
    <xf numFmtId="0" fontId="35" fillId="0" borderId="15" xfId="0" applyFont="1" applyBorder="1" applyAlignment="1">
      <alignment horizontal="center" vertical="top"/>
    </xf>
    <xf numFmtId="0" fontId="35" fillId="0" borderId="15" xfId="0" applyFont="1" applyFill="1" applyBorder="1" applyAlignment="1">
      <alignment horizontal="center" vertical="top"/>
    </xf>
    <xf numFmtId="0" fontId="35" fillId="15" borderId="15" xfId="0" applyFont="1" applyFill="1" applyBorder="1" applyAlignment="1">
      <alignment horizontal="center" vertical="top"/>
    </xf>
    <xf numFmtId="0" fontId="7" fillId="0" borderId="2" xfId="0" applyFont="1" applyFill="1" applyBorder="1" applyAlignment="1">
      <alignment horizontal="left" vertical="top" wrapText="1"/>
    </xf>
    <xf numFmtId="0" fontId="35" fillId="0" borderId="1" xfId="0" applyFont="1" applyFill="1" applyBorder="1" applyAlignment="1">
      <alignment horizontal="right" vertical="top" wrapText="1"/>
    </xf>
    <xf numFmtId="0" fontId="33" fillId="15" borderId="1" xfId="0" applyFont="1" applyFill="1" applyBorder="1" applyAlignment="1">
      <alignment horizontal="left" vertical="top" wrapText="1"/>
    </xf>
    <xf numFmtId="0" fontId="35" fillId="4" borderId="1" xfId="0" applyFont="1" applyFill="1" applyBorder="1" applyAlignment="1">
      <alignment horizontal="center" vertical="top"/>
    </xf>
    <xf numFmtId="0" fontId="35" fillId="4" borderId="12" xfId="0" applyFont="1" applyFill="1" applyBorder="1" applyAlignment="1">
      <alignment horizontal="center" vertical="top"/>
    </xf>
    <xf numFmtId="0" fontId="35" fillId="4" borderId="9" xfId="0" applyFont="1" applyFill="1" applyBorder="1" applyAlignment="1">
      <alignment horizontal="center" vertical="top"/>
    </xf>
    <xf numFmtId="0" fontId="35" fillId="4" borderId="1" xfId="0" applyFont="1" applyFill="1" applyBorder="1" applyAlignment="1">
      <alignment horizontal="center"/>
    </xf>
    <xf numFmtId="0" fontId="35" fillId="4" borderId="15" xfId="0" applyFont="1" applyFill="1" applyBorder="1" applyAlignment="1">
      <alignment horizontal="center" vertical="top"/>
    </xf>
    <xf numFmtId="1" fontId="35" fillId="4" borderId="1" xfId="0" applyNumberFormat="1" applyFont="1" applyFill="1" applyBorder="1" applyAlignment="1">
      <alignment horizontal="center" vertical="top"/>
    </xf>
    <xf numFmtId="0" fontId="7" fillId="0" borderId="17" xfId="0" applyFont="1" applyFill="1" applyBorder="1" applyAlignment="1">
      <alignment horizontal="center" vertical="top"/>
    </xf>
    <xf numFmtId="0" fontId="7" fillId="0" borderId="12" xfId="0" applyFont="1" applyFill="1" applyBorder="1" applyAlignment="1">
      <alignment horizontal="center" vertical="top"/>
    </xf>
    <xf numFmtId="0" fontId="7" fillId="0" borderId="18" xfId="0" applyFont="1" applyFill="1" applyBorder="1" applyAlignment="1">
      <alignment horizontal="center" vertical="top"/>
    </xf>
    <xf numFmtId="0" fontId="7" fillId="14" borderId="4" xfId="0" applyFont="1" applyFill="1" applyBorder="1" applyAlignment="1">
      <alignment horizontal="center" vertical="top" wrapText="1"/>
    </xf>
    <xf numFmtId="0" fontId="7" fillId="14" borderId="7" xfId="0" applyFont="1" applyFill="1" applyBorder="1" applyAlignment="1">
      <alignment horizontal="center" vertical="top" wrapText="1"/>
    </xf>
    <xf numFmtId="0" fontId="7" fillId="14" borderId="8" xfId="0" applyFont="1" applyFill="1" applyBorder="1" applyAlignment="1">
      <alignment horizontal="center" vertical="top" wrapText="1"/>
    </xf>
    <xf numFmtId="0" fontId="7" fillId="0" borderId="8" xfId="0" applyFont="1" applyFill="1" applyBorder="1" applyAlignment="1">
      <alignment horizontal="center" vertical="top"/>
    </xf>
    <xf numFmtId="0" fontId="6" fillId="0" borderId="0" xfId="0" applyFont="1" applyFill="1" applyBorder="1" applyAlignment="1">
      <alignment horizontal="left" vertical="top" wrapText="1"/>
    </xf>
    <xf numFmtId="0" fontId="5" fillId="4" borderId="40" xfId="0" applyFont="1" applyFill="1" applyBorder="1" applyAlignment="1">
      <alignment horizontal="left" vertical="top" wrapText="1"/>
    </xf>
    <xf numFmtId="0" fontId="5" fillId="4" borderId="36" xfId="0" applyFont="1" applyFill="1" applyBorder="1" applyAlignment="1">
      <alignment horizontal="left" vertical="top" wrapText="1"/>
    </xf>
    <xf numFmtId="164" fontId="7" fillId="0" borderId="11" xfId="0" applyNumberFormat="1" applyFont="1" applyBorder="1" applyAlignment="1">
      <alignment horizontal="center" vertical="top"/>
    </xf>
    <xf numFmtId="0" fontId="6" fillId="0" borderId="0" xfId="0" applyFont="1" applyFill="1" applyBorder="1" applyAlignment="1">
      <alignment horizontal="center" vertical="top" wrapText="1"/>
    </xf>
    <xf numFmtId="0" fontId="5" fillId="0" borderId="0" xfId="0" applyFont="1" applyFill="1" applyBorder="1" applyAlignment="1">
      <alignment horizontal="center" vertical="top"/>
    </xf>
    <xf numFmtId="2" fontId="5" fillId="0" borderId="0" xfId="0" applyNumberFormat="1" applyFont="1" applyFill="1" applyBorder="1" applyAlignment="1">
      <alignment vertical="top"/>
    </xf>
    <xf numFmtId="164" fontId="5" fillId="0" borderId="0" xfId="0" applyNumberFormat="1" applyFont="1" applyFill="1" applyBorder="1" applyAlignment="1">
      <alignment horizontal="center" vertical="top"/>
    </xf>
    <xf numFmtId="165" fontId="35" fillId="0" borderId="0" xfId="0" applyNumberFormat="1" applyFont="1" applyAlignment="1">
      <alignment vertical="top"/>
    </xf>
    <xf numFmtId="164" fontId="7" fillId="0" borderId="8" xfId="0" applyNumberFormat="1" applyFont="1" applyBorder="1" applyAlignment="1">
      <alignment horizontal="center" vertical="top"/>
    </xf>
    <xf numFmtId="167" fontId="7" fillId="0" borderId="10" xfId="0" applyNumberFormat="1" applyFont="1" applyBorder="1" applyAlignment="1">
      <alignment horizontal="center" vertical="top"/>
    </xf>
    <xf numFmtId="167" fontId="7" fillId="0" borderId="10" xfId="0" applyNumberFormat="1" applyFont="1" applyFill="1" applyBorder="1" applyAlignment="1">
      <alignment horizontal="center" vertical="top"/>
    </xf>
    <xf numFmtId="167" fontId="7" fillId="0" borderId="17" xfId="0" applyNumberFormat="1" applyFont="1" applyBorder="1" applyAlignment="1">
      <alignment horizontal="center" vertical="top"/>
    </xf>
    <xf numFmtId="10" fontId="35" fillId="0" borderId="0" xfId="0" applyNumberFormat="1" applyFont="1" applyAlignment="1">
      <alignment horizontal="center" vertical="top"/>
    </xf>
    <xf numFmtId="2" fontId="7" fillId="0" borderId="7" xfId="0" applyNumberFormat="1" applyFont="1" applyFill="1" applyBorder="1" applyAlignment="1">
      <alignment horizontal="center" vertical="top"/>
    </xf>
    <xf numFmtId="0" fontId="7" fillId="0" borderId="4" xfId="0" applyFont="1" applyFill="1" applyBorder="1" applyAlignment="1">
      <alignment horizontal="center" vertical="top"/>
    </xf>
    <xf numFmtId="0" fontId="5" fillId="40" borderId="47" xfId="0" applyFont="1" applyFill="1" applyBorder="1" applyAlignment="1">
      <alignment horizontal="left" vertical="top" wrapText="1"/>
    </xf>
    <xf numFmtId="0" fontId="7" fillId="14" borderId="47" xfId="0" applyFont="1" applyFill="1" applyBorder="1" applyAlignment="1">
      <alignment horizontal="center" vertical="top" wrapText="1"/>
    </xf>
    <xf numFmtId="0" fontId="7" fillId="14" borderId="44" xfId="0" applyFont="1" applyFill="1" applyBorder="1" applyAlignment="1">
      <alignment horizontal="center" vertical="top" wrapText="1"/>
    </xf>
    <xf numFmtId="0" fontId="7" fillId="14" borderId="48" xfId="0" applyFont="1" applyFill="1" applyBorder="1" applyAlignment="1">
      <alignment horizontal="center" vertical="top" wrapText="1"/>
    </xf>
    <xf numFmtId="2" fontId="7" fillId="0" borderId="49" xfId="0" applyNumberFormat="1" applyFont="1" applyFill="1" applyBorder="1" applyAlignment="1">
      <alignment horizontal="center" vertical="top"/>
    </xf>
    <xf numFmtId="2" fontId="7" fillId="0" borderId="44" xfId="0" applyNumberFormat="1" applyFont="1" applyFill="1" applyBorder="1" applyAlignment="1">
      <alignment horizontal="center" vertical="top"/>
    </xf>
    <xf numFmtId="2" fontId="7" fillId="0" borderId="50" xfId="0" applyNumberFormat="1" applyFont="1" applyFill="1" applyBorder="1" applyAlignment="1">
      <alignment horizontal="center" vertical="top"/>
    </xf>
    <xf numFmtId="0" fontId="7" fillId="0" borderId="51" xfId="0" applyFont="1" applyFill="1" applyBorder="1" applyAlignment="1">
      <alignment horizontal="center" vertical="top"/>
    </xf>
    <xf numFmtId="0" fontId="7" fillId="10" borderId="1" xfId="0" applyFont="1" applyFill="1" applyBorder="1" applyAlignment="1">
      <alignment vertical="top"/>
    </xf>
    <xf numFmtId="0" fontId="5" fillId="37" borderId="1" xfId="0" applyFont="1" applyFill="1" applyBorder="1" applyAlignment="1">
      <alignment horizontal="center" vertical="top" wrapText="1"/>
    </xf>
    <xf numFmtId="0" fontId="5" fillId="0" borderId="1" xfId="0" applyFont="1" applyBorder="1" applyAlignment="1">
      <alignment vertical="top"/>
    </xf>
    <xf numFmtId="1" fontId="7" fillId="0" borderId="1" xfId="0" applyNumberFormat="1" applyFont="1" applyFill="1" applyBorder="1" applyAlignment="1">
      <alignment horizontal="center" vertical="top"/>
    </xf>
    <xf numFmtId="0" fontId="14" fillId="0" borderId="0" xfId="0" applyFont="1" applyAlignment="1">
      <alignment horizontal="left" vertical="top" wrapText="1"/>
    </xf>
    <xf numFmtId="0" fontId="13" fillId="0" borderId="0" xfId="0" applyFont="1" applyAlignment="1">
      <alignment horizontal="center" vertical="top" wrapText="1"/>
    </xf>
    <xf numFmtId="0" fontId="13" fillId="2" borderId="1" xfId="0" applyFont="1" applyFill="1" applyBorder="1" applyAlignment="1">
      <alignment horizontal="left" vertical="top" wrapText="1"/>
    </xf>
    <xf numFmtId="0" fontId="13" fillId="2" borderId="2" xfId="0" applyFont="1" applyFill="1" applyBorder="1" applyAlignment="1">
      <alignment horizontal="left" vertical="top" wrapText="1"/>
    </xf>
    <xf numFmtId="0" fontId="13" fillId="10" borderId="4" xfId="0" applyFont="1" applyFill="1" applyBorder="1" applyAlignment="1">
      <alignment horizontal="center" vertical="top" wrapText="1"/>
    </xf>
    <xf numFmtId="0" fontId="13" fillId="10" borderId="7" xfId="0" applyFont="1" applyFill="1" applyBorder="1" applyAlignment="1">
      <alignment horizontal="center" vertical="top" wrapText="1"/>
    </xf>
    <xf numFmtId="0" fontId="13" fillId="11" borderId="8" xfId="0" applyFont="1" applyFill="1" applyBorder="1" applyAlignment="1">
      <alignment horizontal="center" vertical="top" wrapText="1"/>
    </xf>
    <xf numFmtId="0" fontId="13" fillId="10" borderId="6" xfId="0" applyFont="1" applyFill="1" applyBorder="1" applyAlignment="1">
      <alignment horizontal="center" vertical="top" wrapText="1"/>
    </xf>
    <xf numFmtId="0" fontId="13" fillId="10" borderId="5" xfId="0" applyFont="1" applyFill="1" applyBorder="1" applyAlignment="1">
      <alignment horizontal="center" vertical="top" wrapText="1"/>
    </xf>
    <xf numFmtId="0" fontId="13" fillId="10" borderId="8" xfId="0" applyFont="1" applyFill="1" applyBorder="1" applyAlignment="1">
      <alignment horizontal="center" vertical="top" wrapText="1"/>
    </xf>
    <xf numFmtId="0" fontId="13" fillId="0" borderId="0" xfId="0" applyFont="1" applyAlignment="1">
      <alignment horizontal="left" vertical="top" wrapText="1"/>
    </xf>
    <xf numFmtId="0" fontId="24" fillId="0" borderId="0" xfId="0" applyFont="1" applyFill="1" applyAlignment="1">
      <alignment horizontal="left" vertical="top" wrapText="1"/>
    </xf>
    <xf numFmtId="0" fontId="25" fillId="0" borderId="0" xfId="0" applyFont="1" applyAlignment="1">
      <alignment horizontal="left" vertical="top" wrapText="1"/>
    </xf>
    <xf numFmtId="0" fontId="7" fillId="0" borderId="10" xfId="0" applyFont="1" applyFill="1" applyBorder="1" applyAlignment="1">
      <alignment horizontal="center" vertical="top"/>
    </xf>
    <xf numFmtId="0" fontId="7" fillId="0" borderId="11" xfId="0" applyFont="1" applyFill="1" applyBorder="1" applyAlignment="1">
      <alignment horizontal="center" vertical="top"/>
    </xf>
    <xf numFmtId="164" fontId="7" fillId="0" borderId="0" xfId="0" applyNumberFormat="1" applyFont="1" applyAlignment="1">
      <alignment horizontal="center" vertical="top"/>
    </xf>
    <xf numFmtId="0" fontId="8" fillId="0" borderId="17" xfId="0" applyFont="1" applyFill="1" applyBorder="1" applyAlignment="1">
      <alignment horizontal="center" vertical="top" wrapText="1"/>
    </xf>
    <xf numFmtId="0" fontId="8" fillId="0" borderId="12" xfId="0" applyFont="1" applyFill="1" applyBorder="1" applyAlignment="1">
      <alignment horizontal="center" vertical="top" wrapText="1"/>
    </xf>
    <xf numFmtId="0" fontId="8" fillId="0" borderId="18"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6" xfId="0" applyFont="1" applyFill="1" applyBorder="1" applyAlignment="1">
      <alignment horizontal="center" vertical="top" wrapText="1"/>
    </xf>
    <xf numFmtId="0" fontId="7" fillId="0" borderId="5" xfId="0" applyFont="1" applyFill="1" applyBorder="1" applyAlignment="1">
      <alignment horizontal="center" vertical="top" wrapText="1"/>
    </xf>
    <xf numFmtId="0" fontId="8" fillId="0" borderId="10" xfId="0" applyFont="1" applyFill="1" applyBorder="1" applyAlignment="1">
      <alignment horizontal="center" vertical="top" wrapText="1"/>
    </xf>
    <xf numFmtId="0" fontId="8" fillId="0" borderId="11" xfId="0" applyFont="1" applyFill="1" applyBorder="1" applyAlignment="1">
      <alignment horizontal="center" vertical="top" wrapText="1"/>
    </xf>
    <xf numFmtId="0" fontId="5" fillId="15" borderId="9" xfId="0" applyFont="1" applyFill="1" applyBorder="1" applyAlignment="1">
      <alignment horizontal="left" vertical="top" wrapText="1"/>
    </xf>
    <xf numFmtId="0" fontId="5" fillId="15" borderId="40" xfId="0" applyFont="1" applyFill="1" applyBorder="1" applyAlignment="1">
      <alignment horizontal="left" vertical="top" wrapText="1"/>
    </xf>
    <xf numFmtId="0" fontId="5" fillId="15" borderId="16" xfId="0" applyFont="1" applyFill="1" applyBorder="1" applyAlignment="1">
      <alignment horizontal="center" vertical="top" wrapText="1"/>
    </xf>
    <xf numFmtId="0" fontId="5" fillId="15" borderId="46" xfId="0" applyFont="1" applyFill="1" applyBorder="1" applyAlignment="1">
      <alignment horizontal="center" vertical="top" wrapText="1"/>
    </xf>
    <xf numFmtId="0" fontId="5" fillId="15" borderId="17" xfId="0" applyFont="1" applyFill="1" applyBorder="1" applyAlignment="1">
      <alignment horizontal="center" vertical="top" wrapText="1"/>
    </xf>
    <xf numFmtId="0" fontId="5" fillId="15" borderId="12" xfId="0" applyFont="1" applyFill="1" applyBorder="1" applyAlignment="1">
      <alignment horizontal="center" vertical="top" wrapText="1"/>
    </xf>
    <xf numFmtId="0" fontId="5" fillId="15" borderId="18" xfId="0" applyFont="1" applyFill="1" applyBorder="1" applyAlignment="1">
      <alignment horizontal="center" vertical="top"/>
    </xf>
    <xf numFmtId="0" fontId="5" fillId="15" borderId="19" xfId="0" applyFont="1" applyFill="1" applyBorder="1" applyAlignment="1">
      <alignment horizontal="center" vertical="top"/>
    </xf>
    <xf numFmtId="0" fontId="6" fillId="15" borderId="41" xfId="0" applyFont="1" applyFill="1" applyBorder="1" applyAlignment="1">
      <alignment horizontal="center" vertical="top" wrapText="1"/>
    </xf>
    <xf numFmtId="0" fontId="5" fillId="15" borderId="52" xfId="0" applyFont="1" applyFill="1" applyBorder="1" applyAlignment="1">
      <alignment horizontal="center" vertical="top"/>
    </xf>
    <xf numFmtId="0" fontId="2" fillId="0" borderId="39" xfId="0" applyFont="1" applyFill="1" applyBorder="1" applyAlignment="1">
      <alignment horizontal="left" vertical="top" wrapText="1"/>
    </xf>
    <xf numFmtId="0" fontId="60" fillId="0" borderId="0" xfId="0" applyFont="1" applyFill="1" applyBorder="1" applyAlignment="1">
      <alignment horizontal="center" vertical="top" wrapText="1"/>
    </xf>
    <xf numFmtId="0" fontId="2" fillId="0" borderId="0" xfId="0" applyFont="1" applyFill="1" applyBorder="1" applyAlignment="1">
      <alignment horizontal="center" vertical="top"/>
    </xf>
    <xf numFmtId="164" fontId="2" fillId="0" borderId="0" xfId="0" applyNumberFormat="1" applyFont="1" applyFill="1" applyBorder="1" applyAlignment="1">
      <alignment horizontal="center" vertical="top"/>
    </xf>
    <xf numFmtId="2" fontId="2" fillId="0" borderId="0" xfId="0" applyNumberFormat="1" applyFont="1" applyFill="1" applyBorder="1" applyAlignment="1">
      <alignment vertical="top"/>
    </xf>
    <xf numFmtId="0" fontId="2" fillId="0" borderId="0" xfId="0" applyFont="1" applyAlignment="1">
      <alignment vertical="top"/>
    </xf>
    <xf numFmtId="0" fontId="2" fillId="0" borderId="0" xfId="0" applyFont="1" applyAlignment="1">
      <alignment horizontal="center" vertical="top"/>
    </xf>
    <xf numFmtId="0" fontId="5" fillId="40" borderId="12" xfId="0" applyFont="1" applyFill="1" applyBorder="1" applyAlignment="1">
      <alignment horizontal="center" vertical="top" wrapText="1"/>
    </xf>
    <xf numFmtId="0" fontId="5" fillId="40" borderId="18" xfId="0" applyFont="1" applyFill="1" applyBorder="1" applyAlignment="1">
      <alignment horizontal="center" vertical="top"/>
    </xf>
    <xf numFmtId="0" fontId="5" fillId="40" borderId="3" xfId="0" applyFont="1" applyFill="1" applyBorder="1" applyAlignment="1">
      <alignment horizontal="center" vertical="top" wrapText="1"/>
    </xf>
    <xf numFmtId="0" fontId="7" fillId="0" borderId="47" xfId="0" applyFont="1" applyFill="1" applyBorder="1" applyAlignment="1">
      <alignment horizontal="center" vertical="top"/>
    </xf>
    <xf numFmtId="0" fontId="7" fillId="0" borderId="44" xfId="0" applyFont="1" applyFill="1" applyBorder="1" applyAlignment="1">
      <alignment horizontal="center" vertical="top"/>
    </xf>
    <xf numFmtId="0" fontId="7" fillId="0" borderId="48" xfId="0" applyFont="1" applyFill="1" applyBorder="1" applyAlignment="1">
      <alignment horizontal="center" vertical="top"/>
    </xf>
    <xf numFmtId="0" fontId="5" fillId="0" borderId="53"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54" xfId="0" applyFont="1" applyFill="1" applyBorder="1" applyAlignment="1">
      <alignment horizontal="center" vertical="top" wrapText="1"/>
    </xf>
    <xf numFmtId="0" fontId="7" fillId="0" borderId="29" xfId="0" applyFont="1" applyFill="1" applyBorder="1" applyAlignment="1">
      <alignment horizontal="center" vertical="top"/>
    </xf>
    <xf numFmtId="0" fontId="5" fillId="0" borderId="15" xfId="0" applyFont="1" applyFill="1" applyBorder="1" applyAlignment="1">
      <alignment horizontal="center" vertical="top"/>
    </xf>
    <xf numFmtId="0" fontId="7" fillId="0" borderId="30" xfId="0" applyFont="1" applyFill="1" applyBorder="1" applyAlignment="1">
      <alignment horizontal="center" vertical="top"/>
    </xf>
    <xf numFmtId="2" fontId="7" fillId="0" borderId="15" xfId="0" applyNumberFormat="1" applyFont="1" applyFill="1" applyBorder="1" applyAlignment="1">
      <alignment horizontal="center" vertical="top"/>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top"/>
    </xf>
    <xf numFmtId="0" fontId="7" fillId="0" borderId="7" xfId="0" applyFont="1" applyFill="1" applyBorder="1" applyAlignment="1">
      <alignment horizontal="center" vertical="top"/>
    </xf>
    <xf numFmtId="0" fontId="5" fillId="0" borderId="2" xfId="0" applyFont="1" applyFill="1" applyBorder="1" applyAlignment="1">
      <alignment horizontal="center" vertical="top" wrapText="1"/>
    </xf>
    <xf numFmtId="0" fontId="5" fillId="0" borderId="9" xfId="0" applyFont="1" applyFill="1" applyBorder="1" applyAlignment="1">
      <alignment horizontal="center" vertical="top" wrapText="1"/>
    </xf>
    <xf numFmtId="2" fontId="7" fillId="0" borderId="8" xfId="0" applyNumberFormat="1" applyFont="1" applyFill="1" applyBorder="1" applyAlignment="1">
      <alignment horizontal="center" vertical="top"/>
    </xf>
    <xf numFmtId="0" fontId="8" fillId="0" borderId="49" xfId="0" applyFont="1" applyFill="1" applyBorder="1" applyAlignment="1">
      <alignment horizontal="center" vertical="top" wrapText="1"/>
    </xf>
    <xf numFmtId="0" fontId="8" fillId="0" borderId="44" xfId="0" applyFont="1" applyFill="1" applyBorder="1" applyAlignment="1">
      <alignment horizontal="center" vertical="top" wrapText="1"/>
    </xf>
    <xf numFmtId="0" fontId="8" fillId="0" borderId="48" xfId="0" applyFont="1" applyFill="1" applyBorder="1" applyAlignment="1">
      <alignment horizontal="center" vertical="top" wrapText="1"/>
    </xf>
    <xf numFmtId="0" fontId="7" fillId="0" borderId="51" xfId="0" applyFont="1" applyBorder="1" applyAlignment="1">
      <alignment horizontal="center" vertical="top"/>
    </xf>
    <xf numFmtId="2" fontId="5" fillId="0" borderId="49" xfId="0" applyNumberFormat="1" applyFont="1" applyFill="1" applyBorder="1" applyAlignment="1">
      <alignment horizontal="center" vertical="top"/>
    </xf>
    <xf numFmtId="2" fontId="5" fillId="0" borderId="48" xfId="0" applyNumberFormat="1" applyFont="1" applyFill="1" applyBorder="1" applyAlignment="1">
      <alignment horizontal="center" vertical="top"/>
    </xf>
    <xf numFmtId="2" fontId="7" fillId="0" borderId="30" xfId="0" applyNumberFormat="1" applyFont="1" applyFill="1" applyBorder="1" applyAlignment="1">
      <alignment horizontal="center" vertical="top"/>
    </xf>
    <xf numFmtId="0" fontId="7" fillId="0" borderId="7" xfId="0" applyFont="1" applyFill="1" applyBorder="1" applyAlignment="1">
      <alignment horizontal="center" vertical="top" wrapText="1"/>
    </xf>
    <xf numFmtId="0" fontId="7" fillId="0" borderId="22" xfId="0" applyFont="1" applyFill="1" applyBorder="1" applyAlignment="1">
      <alignment horizontal="center" vertical="top" wrapText="1"/>
    </xf>
    <xf numFmtId="0" fontId="7" fillId="0" borderId="22" xfId="0" applyFont="1" applyFill="1" applyBorder="1" applyAlignment="1">
      <alignment horizontal="center" vertical="top"/>
    </xf>
    <xf numFmtId="2" fontId="7" fillId="0" borderId="22" xfId="0" applyNumberFormat="1" applyFont="1" applyFill="1" applyBorder="1" applyAlignment="1">
      <alignment horizontal="center" vertical="top"/>
    </xf>
    <xf numFmtId="0" fontId="7" fillId="0" borderId="21" xfId="0" applyFont="1" applyFill="1" applyBorder="1" applyAlignment="1">
      <alignment horizontal="center" vertical="top" wrapText="1"/>
    </xf>
    <xf numFmtId="0" fontId="7" fillId="0" borderId="20" xfId="0" applyFont="1" applyFill="1" applyBorder="1" applyAlignment="1">
      <alignment horizontal="center" vertical="top" wrapText="1"/>
    </xf>
    <xf numFmtId="0" fontId="7" fillId="0" borderId="19" xfId="0" applyFont="1" applyFill="1" applyBorder="1" applyAlignment="1">
      <alignment horizontal="center" vertical="top"/>
    </xf>
    <xf numFmtId="0" fontId="7" fillId="0" borderId="23" xfId="0" applyFont="1" applyFill="1" applyBorder="1" applyAlignment="1">
      <alignment horizontal="center" vertical="top"/>
    </xf>
    <xf numFmtId="2" fontId="7" fillId="0" borderId="19" xfId="0" applyNumberFormat="1" applyFont="1" applyFill="1" applyBorder="1" applyAlignment="1">
      <alignment horizontal="center" vertical="top"/>
    </xf>
    <xf numFmtId="2" fontId="7" fillId="0" borderId="23" xfId="0" applyNumberFormat="1" applyFont="1" applyFill="1" applyBorder="1" applyAlignment="1">
      <alignment horizontal="center" vertical="top"/>
    </xf>
    <xf numFmtId="0" fontId="61" fillId="0" borderId="1" xfId="0" applyFont="1" applyBorder="1" applyAlignment="1">
      <alignment horizontal="center" vertical="top"/>
    </xf>
    <xf numFmtId="0" fontId="61" fillId="0" borderId="2" xfId="0" applyFont="1" applyBorder="1" applyAlignment="1">
      <alignment horizontal="center" vertical="top"/>
    </xf>
    <xf numFmtId="0" fontId="61" fillId="0" borderId="9" xfId="0" applyFont="1" applyBorder="1" applyAlignment="1">
      <alignment horizontal="center" vertical="top"/>
    </xf>
    <xf numFmtId="0" fontId="61" fillId="0" borderId="10" xfId="0" applyFont="1" applyFill="1" applyBorder="1" applyAlignment="1">
      <alignment horizontal="center" vertical="top"/>
    </xf>
    <xf numFmtId="0" fontId="61" fillId="0" borderId="1" xfId="0" applyFont="1" applyFill="1" applyBorder="1" applyAlignment="1">
      <alignment horizontal="center" vertical="top"/>
    </xf>
    <xf numFmtId="0" fontId="61" fillId="0" borderId="11" xfId="0" applyFont="1" applyFill="1" applyBorder="1" applyAlignment="1">
      <alignment horizontal="center" vertical="top"/>
    </xf>
    <xf numFmtId="2" fontId="61" fillId="0" borderId="1" xfId="0" applyNumberFormat="1" applyFont="1" applyFill="1" applyBorder="1" applyAlignment="1">
      <alignment horizontal="center" vertical="top"/>
    </xf>
    <xf numFmtId="2" fontId="61" fillId="0" borderId="11" xfId="0" applyNumberFormat="1" applyFont="1" applyFill="1" applyBorder="1" applyAlignment="1">
      <alignment horizontal="center" vertical="top"/>
    </xf>
    <xf numFmtId="164" fontId="61" fillId="0" borderId="1" xfId="0" applyNumberFormat="1" applyFont="1" applyFill="1" applyBorder="1" applyAlignment="1">
      <alignment horizontal="center" vertical="top"/>
    </xf>
    <xf numFmtId="164" fontId="61" fillId="0" borderId="11" xfId="0" applyNumberFormat="1" applyFont="1" applyFill="1" applyBorder="1" applyAlignment="1">
      <alignment horizontal="center" vertical="top"/>
    </xf>
    <xf numFmtId="2" fontId="61" fillId="0" borderId="2" xfId="0" applyNumberFormat="1" applyFont="1" applyFill="1" applyBorder="1" applyAlignment="1">
      <alignment horizontal="center" vertical="top"/>
    </xf>
    <xf numFmtId="0" fontId="61" fillId="0" borderId="22" xfId="0" applyFont="1" applyBorder="1" applyAlignment="1">
      <alignment horizontal="center" vertical="top"/>
    </xf>
    <xf numFmtId="0" fontId="61" fillId="0" borderId="21" xfId="0" applyFont="1" applyBorder="1" applyAlignment="1">
      <alignment horizontal="center" vertical="top"/>
    </xf>
    <xf numFmtId="0" fontId="61" fillId="0" borderId="20" xfId="0" applyFont="1" applyBorder="1" applyAlignment="1">
      <alignment horizontal="center" vertical="top"/>
    </xf>
    <xf numFmtId="0" fontId="61" fillId="0" borderId="19" xfId="0" applyFont="1" applyFill="1" applyBorder="1" applyAlignment="1">
      <alignment horizontal="center" vertical="top"/>
    </xf>
    <xf numFmtId="0" fontId="61" fillId="0" borderId="22" xfId="0" applyFont="1" applyFill="1" applyBorder="1" applyAlignment="1">
      <alignment horizontal="center" vertical="top"/>
    </xf>
    <xf numFmtId="0" fontId="61" fillId="0" borderId="23" xfId="0" applyFont="1" applyFill="1" applyBorder="1" applyAlignment="1">
      <alignment horizontal="center" vertical="top"/>
    </xf>
    <xf numFmtId="2" fontId="61" fillId="0" borderId="22" xfId="0" applyNumberFormat="1" applyFont="1" applyFill="1" applyBorder="1" applyAlignment="1">
      <alignment horizontal="center" vertical="top"/>
    </xf>
    <xf numFmtId="2" fontId="61" fillId="0" borderId="23" xfId="0" applyNumberFormat="1" applyFont="1" applyFill="1" applyBorder="1" applyAlignment="1">
      <alignment horizontal="center" vertical="top"/>
    </xf>
    <xf numFmtId="164" fontId="61" fillId="0" borderId="22" xfId="0" applyNumberFormat="1" applyFont="1" applyFill="1" applyBorder="1" applyAlignment="1">
      <alignment horizontal="center" vertical="top"/>
    </xf>
    <xf numFmtId="164" fontId="61" fillId="0" borderId="23" xfId="0" applyNumberFormat="1" applyFont="1" applyFill="1" applyBorder="1" applyAlignment="1">
      <alignment horizontal="center" vertical="top"/>
    </xf>
    <xf numFmtId="0" fontId="62" fillId="0" borderId="36" xfId="0" applyFont="1" applyBorder="1" applyAlignment="1">
      <alignment horizontal="right" vertical="top"/>
    </xf>
    <xf numFmtId="0" fontId="62" fillId="0" borderId="56" xfId="0" applyFont="1" applyBorder="1" applyAlignment="1">
      <alignment horizontal="right" vertical="top"/>
    </xf>
    <xf numFmtId="0" fontId="5" fillId="40" borderId="41" xfId="0" applyFont="1" applyFill="1" applyBorder="1" applyAlignment="1">
      <alignment horizontal="left" vertical="top" wrapText="1"/>
    </xf>
    <xf numFmtId="0" fontId="5" fillId="40" borderId="43" xfId="0" applyFont="1" applyFill="1" applyBorder="1" applyAlignment="1">
      <alignment horizontal="left" vertical="top" wrapText="1"/>
    </xf>
    <xf numFmtId="0" fontId="5" fillId="40" borderId="55" xfId="0" applyFont="1" applyFill="1" applyBorder="1" applyAlignment="1">
      <alignment horizontal="left" vertical="top" wrapText="1"/>
    </xf>
    <xf numFmtId="0" fontId="7" fillId="40" borderId="42" xfId="0" applyFont="1" applyFill="1" applyBorder="1" applyAlignment="1">
      <alignment vertical="top"/>
    </xf>
    <xf numFmtId="0" fontId="7" fillId="40" borderId="43" xfId="0" applyFont="1" applyFill="1" applyBorder="1" applyAlignment="1">
      <alignment vertical="top"/>
    </xf>
    <xf numFmtId="164" fontId="2" fillId="0" borderId="1" xfId="0" applyNumberFormat="1" applyFont="1" applyBorder="1" applyAlignment="1">
      <alignment horizontal="center" vertical="top"/>
    </xf>
    <xf numFmtId="0" fontId="5" fillId="15" borderId="1" xfId="0" applyFont="1" applyFill="1" applyBorder="1" applyAlignment="1">
      <alignment horizontal="center" vertical="top" wrapText="1"/>
    </xf>
    <xf numFmtId="0" fontId="5" fillId="15" borderId="1" xfId="0" applyFont="1" applyFill="1" applyBorder="1" applyAlignment="1">
      <alignment horizontal="center" vertical="top"/>
    </xf>
    <xf numFmtId="0" fontId="8" fillId="0" borderId="1" xfId="0" applyFont="1" applyFill="1" applyBorder="1" applyAlignment="1">
      <alignment horizontal="center" vertical="top" wrapText="1"/>
    </xf>
    <xf numFmtId="0" fontId="17" fillId="0" borderId="1" xfId="0" applyFont="1" applyFill="1" applyBorder="1" applyAlignment="1">
      <alignment horizontal="left" vertical="top" wrapText="1"/>
    </xf>
    <xf numFmtId="0" fontId="14" fillId="0" borderId="1" xfId="0" applyFont="1" applyBorder="1" applyAlignment="1">
      <alignment horizontal="left" vertical="top" wrapText="1"/>
    </xf>
    <xf numFmtId="0" fontId="14" fillId="0" borderId="9" xfId="0" applyFont="1" applyFill="1" applyBorder="1" applyAlignment="1">
      <alignment horizontal="left" vertical="top" wrapText="1"/>
    </xf>
    <xf numFmtId="0" fontId="50" fillId="0" borderId="10" xfId="0" applyFont="1" applyFill="1" applyBorder="1" applyAlignment="1">
      <alignment horizontal="center" vertical="top" wrapText="1"/>
    </xf>
    <xf numFmtId="0" fontId="13" fillId="0" borderId="1" xfId="0" applyFont="1" applyBorder="1" applyAlignment="1">
      <alignment horizontal="center" vertical="top" wrapText="1"/>
    </xf>
    <xf numFmtId="0" fontId="13" fillId="0" borderId="11" xfId="0" applyFont="1" applyBorder="1" applyAlignment="1">
      <alignment horizontal="center" vertical="top" wrapText="1"/>
    </xf>
    <xf numFmtId="0" fontId="13" fillId="0" borderId="2" xfId="0" applyFont="1" applyBorder="1" applyAlignment="1">
      <alignment horizontal="center" vertical="top" wrapText="1"/>
    </xf>
    <xf numFmtId="0" fontId="13" fillId="10" borderId="9" xfId="0" applyFont="1" applyFill="1" applyBorder="1" applyAlignment="1">
      <alignment horizontal="center" vertical="top" wrapText="1"/>
    </xf>
    <xf numFmtId="0" fontId="13" fillId="10" borderId="11" xfId="0" applyFont="1" applyFill="1" applyBorder="1" applyAlignment="1">
      <alignment horizontal="center" vertical="top" wrapText="1"/>
    </xf>
    <xf numFmtId="0" fontId="28" fillId="0" borderId="12" xfId="0" applyFont="1" applyBorder="1" applyAlignment="1">
      <alignment horizontal="center" vertical="top"/>
    </xf>
    <xf numFmtId="0" fontId="28" fillId="0" borderId="15" xfId="0" applyFont="1" applyBorder="1" applyAlignment="1">
      <alignment horizontal="center" vertical="top"/>
    </xf>
    <xf numFmtId="2" fontId="28" fillId="0" borderId="29" xfId="0" applyNumberFormat="1" applyFont="1" applyBorder="1" applyAlignment="1">
      <alignment horizontal="center" vertical="top"/>
    </xf>
    <xf numFmtId="2" fontId="29" fillId="0" borderId="15" xfId="0" applyNumberFormat="1" applyFont="1" applyBorder="1" applyAlignment="1">
      <alignment horizontal="center" vertical="top"/>
    </xf>
    <xf numFmtId="2" fontId="28" fillId="0" borderId="30" xfId="0" applyNumberFormat="1" applyFont="1" applyBorder="1" applyAlignment="1">
      <alignment horizontal="center" vertical="top"/>
    </xf>
    <xf numFmtId="0" fontId="28" fillId="17" borderId="1" xfId="0" applyFont="1" applyFill="1" applyBorder="1" applyAlignment="1">
      <alignment horizontal="center" vertical="top"/>
    </xf>
    <xf numFmtId="0" fontId="28" fillId="21" borderId="1" xfId="0" applyFont="1" applyFill="1" applyBorder="1" applyAlignment="1">
      <alignment horizontal="center" vertical="top"/>
    </xf>
    <xf numFmtId="0" fontId="28" fillId="19" borderId="1" xfId="0" applyFont="1" applyFill="1" applyBorder="1" applyAlignment="1">
      <alignment horizontal="center" vertical="top"/>
    </xf>
    <xf numFmtId="0" fontId="28" fillId="18" borderId="1" xfId="0" applyFont="1" applyFill="1" applyBorder="1" applyAlignment="1">
      <alignment horizontal="center" vertical="top"/>
    </xf>
    <xf numFmtId="0" fontId="36" fillId="0" borderId="12" xfId="0" applyFont="1" applyBorder="1" applyAlignment="1">
      <alignment horizontal="center" vertical="top"/>
    </xf>
    <xf numFmtId="0" fontId="33" fillId="7" borderId="9" xfId="0" applyFont="1" applyFill="1" applyBorder="1" applyAlignment="1">
      <alignment horizontal="left" vertical="top"/>
    </xf>
    <xf numFmtId="0" fontId="5" fillId="4" borderId="46" xfId="0" applyFont="1" applyFill="1" applyBorder="1" applyAlignment="1">
      <alignment horizontal="left" vertical="top" wrapText="1"/>
    </xf>
    <xf numFmtId="164" fontId="7" fillId="0" borderId="1" xfId="0" applyNumberFormat="1" applyFont="1" applyBorder="1" applyAlignment="1">
      <alignment horizontal="center" vertical="top"/>
    </xf>
    <xf numFmtId="0" fontId="44" fillId="0" borderId="1" xfId="0" applyFont="1" applyFill="1" applyBorder="1" applyAlignment="1">
      <alignment vertical="top"/>
    </xf>
    <xf numFmtId="0" fontId="43" fillId="16" borderId="25" xfId="0" applyFont="1" applyFill="1" applyBorder="1" applyAlignment="1">
      <alignment vertical="top"/>
    </xf>
    <xf numFmtId="1" fontId="43" fillId="16" borderId="25" xfId="0" applyNumberFormat="1" applyFont="1" applyFill="1" applyBorder="1" applyAlignment="1">
      <alignment horizontal="center" vertical="top" wrapText="1"/>
    </xf>
    <xf numFmtId="9" fontId="45" fillId="0" borderId="1" xfId="0" applyNumberFormat="1" applyFont="1" applyFill="1" applyBorder="1" applyAlignment="1">
      <alignment horizontal="center" vertical="top"/>
    </xf>
    <xf numFmtId="0" fontId="47" fillId="30" borderId="1" xfId="0" applyFont="1" applyFill="1" applyBorder="1" applyAlignment="1">
      <alignment vertical="top"/>
    </xf>
    <xf numFmtId="0" fontId="47" fillId="30" borderId="0" xfId="0" applyFont="1" applyFill="1" applyAlignment="1">
      <alignment vertical="top"/>
    </xf>
    <xf numFmtId="0" fontId="44" fillId="0" borderId="0" xfId="0" applyFont="1" applyFill="1" applyAlignment="1">
      <alignment vertical="top"/>
    </xf>
    <xf numFmtId="0" fontId="45" fillId="0" borderId="1" xfId="0" applyFont="1" applyFill="1" applyBorder="1" applyAlignment="1">
      <alignment vertical="center" wrapText="1"/>
    </xf>
    <xf numFmtId="0" fontId="35" fillId="0" borderId="9" xfId="0" applyFont="1" applyFill="1" applyBorder="1" applyAlignment="1">
      <alignment vertical="top"/>
    </xf>
    <xf numFmtId="0" fontId="39" fillId="0" borderId="9" xfId="0" applyFont="1" applyFill="1" applyBorder="1" applyAlignment="1">
      <alignment horizontal="center" vertical="top" wrapText="1"/>
    </xf>
    <xf numFmtId="10" fontId="39" fillId="0" borderId="9" xfId="0" applyNumberFormat="1" applyFont="1" applyFill="1" applyBorder="1" applyAlignment="1">
      <alignment horizontal="center" vertical="top" wrapText="1"/>
    </xf>
    <xf numFmtId="0" fontId="35" fillId="0" borderId="9" xfId="0" applyFont="1" applyFill="1" applyBorder="1" applyAlignment="1">
      <alignment horizontal="center" vertical="top"/>
    </xf>
    <xf numFmtId="0" fontId="35" fillId="0" borderId="9" xfId="0" applyFont="1" applyFill="1" applyBorder="1" applyAlignment="1">
      <alignment vertical="top" wrapText="1"/>
    </xf>
    <xf numFmtId="10" fontId="35" fillId="0" borderId="9" xfId="0" applyNumberFormat="1" applyFont="1" applyFill="1" applyBorder="1" applyAlignment="1">
      <alignment horizontal="center" vertical="top"/>
    </xf>
    <xf numFmtId="0" fontId="33" fillId="0" borderId="51" xfId="0" applyFont="1" applyBorder="1" applyAlignment="1">
      <alignment vertical="top"/>
    </xf>
    <xf numFmtId="0" fontId="33" fillId="0" borderId="59" xfId="0" applyFont="1" applyBorder="1" applyAlignment="1">
      <alignment vertical="top"/>
    </xf>
    <xf numFmtId="0" fontId="35" fillId="0" borderId="59" xfId="0" applyFont="1" applyBorder="1" applyAlignment="1">
      <alignment vertical="top"/>
    </xf>
    <xf numFmtId="9" fontId="33" fillId="28" borderId="59" xfId="0" applyNumberFormat="1" applyFont="1" applyFill="1" applyBorder="1" applyAlignment="1">
      <alignment vertical="top"/>
    </xf>
    <xf numFmtId="9" fontId="33" fillId="10" borderId="60" xfId="0" applyNumberFormat="1" applyFont="1" applyFill="1" applyBorder="1" applyAlignment="1">
      <alignment vertical="top"/>
    </xf>
    <xf numFmtId="0" fontId="35" fillId="15" borderId="41" xfId="0" applyFont="1" applyFill="1" applyBorder="1" applyAlignment="1">
      <alignment vertical="top"/>
    </xf>
    <xf numFmtId="167" fontId="35" fillId="0" borderId="42" xfId="0" applyNumberFormat="1" applyFont="1" applyFill="1" applyBorder="1" applyAlignment="1">
      <alignment vertical="top"/>
    </xf>
    <xf numFmtId="167" fontId="35" fillId="15" borderId="42" xfId="0" applyNumberFormat="1" applyFont="1" applyFill="1" applyBorder="1" applyAlignment="1">
      <alignment vertical="top"/>
    </xf>
    <xf numFmtId="167" fontId="35" fillId="0" borderId="52" xfId="0" applyNumberFormat="1" applyFont="1" applyFill="1" applyBorder="1" applyAlignment="1">
      <alignment vertical="top"/>
    </xf>
    <xf numFmtId="167" fontId="35" fillId="14" borderId="42" xfId="0" applyNumberFormat="1" applyFont="1" applyFill="1" applyBorder="1" applyAlignment="1">
      <alignment vertical="top"/>
    </xf>
    <xf numFmtId="167" fontId="35" fillId="15" borderId="55" xfId="0" applyNumberFormat="1" applyFont="1" applyFill="1" applyBorder="1" applyAlignment="1">
      <alignment vertical="top"/>
    </xf>
    <xf numFmtId="167" fontId="35" fillId="14" borderId="43" xfId="0" applyNumberFormat="1" applyFont="1" applyFill="1" applyBorder="1" applyAlignment="1">
      <alignment vertical="top"/>
    </xf>
    <xf numFmtId="167" fontId="35" fillId="15" borderId="4" xfId="0" applyNumberFormat="1" applyFont="1" applyFill="1" applyBorder="1" applyAlignment="1">
      <alignment vertical="top"/>
    </xf>
    <xf numFmtId="0" fontId="35" fillId="15" borderId="8" xfId="0" applyFont="1" applyFill="1" applyBorder="1" applyAlignment="1">
      <alignment vertical="top"/>
    </xf>
    <xf numFmtId="167" fontId="35" fillId="14" borderId="10" xfId="0" applyNumberFormat="1" applyFont="1" applyFill="1" applyBorder="1" applyAlignment="1">
      <alignment vertical="top"/>
    </xf>
    <xf numFmtId="167" fontId="35" fillId="0" borderId="11" xfId="0" applyNumberFormat="1" applyFont="1" applyBorder="1" applyAlignment="1">
      <alignment vertical="top"/>
    </xf>
    <xf numFmtId="167" fontId="35" fillId="14" borderId="19" xfId="0" applyNumberFormat="1" applyFont="1" applyFill="1" applyBorder="1" applyAlignment="1">
      <alignment vertical="top"/>
    </xf>
    <xf numFmtId="0" fontId="35" fillId="0" borderId="23" xfId="0" applyFont="1" applyBorder="1" applyAlignment="1">
      <alignment vertical="top"/>
    </xf>
    <xf numFmtId="167" fontId="35" fillId="0" borderId="10" xfId="0" applyNumberFormat="1" applyFont="1" applyFill="1" applyBorder="1" applyAlignment="1">
      <alignment vertical="top"/>
    </xf>
    <xf numFmtId="167" fontId="35" fillId="0" borderId="11" xfId="0" applyNumberFormat="1" applyFont="1" applyFill="1" applyBorder="1" applyAlignment="1">
      <alignment vertical="top"/>
    </xf>
    <xf numFmtId="167" fontId="35" fillId="0" borderId="19" xfId="0" applyNumberFormat="1" applyFont="1" applyFill="1" applyBorder="1" applyAlignment="1">
      <alignment vertical="top"/>
    </xf>
    <xf numFmtId="167" fontId="35" fillId="0" borderId="23" xfId="0" applyNumberFormat="1" applyFont="1" applyFill="1" applyBorder="1" applyAlignment="1">
      <alignment vertical="top"/>
    </xf>
    <xf numFmtId="0" fontId="5" fillId="15" borderId="1" xfId="0" applyFont="1" applyFill="1" applyBorder="1" applyAlignment="1">
      <alignment horizontal="left" vertical="top" wrapText="1"/>
    </xf>
    <xf numFmtId="0" fontId="44" fillId="0" borderId="0" xfId="0" applyFont="1" applyFill="1" applyAlignment="1">
      <alignment horizontal="left" vertical="top" wrapText="1"/>
    </xf>
    <xf numFmtId="0" fontId="44" fillId="0" borderId="35" xfId="0" applyFont="1" applyFill="1" applyBorder="1" applyAlignment="1">
      <alignment horizontal="left" vertical="top" wrapText="1"/>
    </xf>
    <xf numFmtId="0" fontId="44" fillId="0" borderId="0" xfId="0" applyFont="1" applyFill="1" applyBorder="1" applyAlignment="1">
      <alignment horizontal="left" vertical="top" wrapText="1"/>
    </xf>
    <xf numFmtId="0" fontId="34" fillId="0" borderId="1" xfId="0" applyFont="1" applyFill="1" applyBorder="1" applyAlignment="1">
      <alignment horizontal="center" vertical="top"/>
    </xf>
    <xf numFmtId="165" fontId="34" fillId="0" borderId="1" xfId="0" applyNumberFormat="1" applyFont="1" applyFill="1" applyBorder="1" applyAlignment="1">
      <alignment horizontal="center" vertical="top"/>
    </xf>
    <xf numFmtId="0" fontId="34" fillId="0" borderId="1" xfId="0" applyFont="1" applyFill="1" applyBorder="1" applyAlignment="1">
      <alignment horizontal="center" vertical="top" wrapText="1"/>
    </xf>
    <xf numFmtId="0" fontId="28" fillId="0" borderId="1" xfId="0" applyFont="1" applyFill="1" applyBorder="1" applyAlignment="1">
      <alignment vertical="top" wrapText="1"/>
    </xf>
    <xf numFmtId="0" fontId="34" fillId="0" borderId="1" xfId="0" applyFont="1" applyFill="1" applyBorder="1" applyAlignment="1">
      <alignment horizontal="left" vertical="top" wrapText="1"/>
    </xf>
    <xf numFmtId="0" fontId="28" fillId="0" borderId="1" xfId="0" applyFont="1" applyFill="1" applyBorder="1" applyAlignment="1">
      <alignment horizontal="center" vertical="top"/>
    </xf>
    <xf numFmtId="0" fontId="34" fillId="0" borderId="12" xfId="0" applyFont="1" applyFill="1" applyBorder="1" applyAlignment="1">
      <alignment horizontal="center" vertical="top"/>
    </xf>
    <xf numFmtId="0" fontId="34" fillId="0" borderId="12" xfId="0" applyFont="1" applyFill="1" applyBorder="1" applyAlignment="1">
      <alignment vertical="top" wrapText="1"/>
    </xf>
    <xf numFmtId="165" fontId="34" fillId="0" borderId="12" xfId="0" applyNumberFormat="1" applyFont="1" applyFill="1" applyBorder="1" applyAlignment="1">
      <alignment horizontal="center" vertical="top"/>
    </xf>
    <xf numFmtId="165" fontId="34" fillId="0" borderId="16" xfId="0" applyNumberFormat="1" applyFont="1" applyBorder="1" applyAlignment="1">
      <alignment horizontal="center" vertical="top"/>
    </xf>
    <xf numFmtId="0" fontId="28" fillId="17" borderId="10" xfId="0" applyFont="1" applyFill="1" applyBorder="1" applyAlignment="1">
      <alignment horizontal="center" vertical="top"/>
    </xf>
    <xf numFmtId="0" fontId="28" fillId="0" borderId="11" xfId="0" applyFont="1" applyBorder="1" applyAlignment="1">
      <alignment horizontal="center" vertical="top"/>
    </xf>
    <xf numFmtId="0" fontId="28" fillId="15" borderId="10" xfId="0" applyFont="1" applyFill="1" applyBorder="1" applyAlignment="1">
      <alignment horizontal="center" vertical="top"/>
    </xf>
    <xf numFmtId="0" fontId="28" fillId="15" borderId="11" xfId="0" applyFont="1" applyFill="1" applyBorder="1" applyAlignment="1">
      <alignment horizontal="center" vertical="top"/>
    </xf>
    <xf numFmtId="0" fontId="28" fillId="21" borderId="10" xfId="0" applyFont="1" applyFill="1" applyBorder="1" applyAlignment="1">
      <alignment horizontal="center" vertical="top"/>
    </xf>
    <xf numFmtId="0" fontId="28" fillId="19" borderId="10" xfId="0" applyFont="1" applyFill="1" applyBorder="1" applyAlignment="1">
      <alignment horizontal="center" vertical="top"/>
    </xf>
    <xf numFmtId="0" fontId="34" fillId="17" borderId="10" xfId="0" applyFont="1" applyFill="1" applyBorder="1" applyAlignment="1">
      <alignment horizontal="center" vertical="top"/>
    </xf>
    <xf numFmtId="0" fontId="28" fillId="17" borderId="17" xfId="0" applyFont="1" applyFill="1" applyBorder="1" applyAlignment="1">
      <alignment horizontal="center" vertical="top"/>
    </xf>
    <xf numFmtId="0" fontId="28" fillId="0" borderId="18" xfId="0" applyFont="1" applyBorder="1" applyAlignment="1">
      <alignment horizontal="center" vertical="top"/>
    </xf>
    <xf numFmtId="0" fontId="28" fillId="17" borderId="29" xfId="0" applyFont="1" applyFill="1" applyBorder="1" applyAlignment="1">
      <alignment horizontal="center" vertical="top"/>
    </xf>
    <xf numFmtId="0" fontId="28" fillId="18" borderId="15" xfId="0" applyFont="1" applyFill="1" applyBorder="1" applyAlignment="1">
      <alignment horizontal="center" vertical="top"/>
    </xf>
    <xf numFmtId="0" fontId="28" fillId="19" borderId="15" xfId="0" applyFont="1" applyFill="1" applyBorder="1" applyAlignment="1">
      <alignment horizontal="center" vertical="top"/>
    </xf>
    <xf numFmtId="0" fontId="28" fillId="0" borderId="30" xfId="0" applyFont="1" applyBorder="1" applyAlignment="1">
      <alignment horizontal="center" vertical="top"/>
    </xf>
    <xf numFmtId="0" fontId="29" fillId="2" borderId="19" xfId="0" applyFont="1" applyFill="1" applyBorder="1" applyAlignment="1">
      <alignment horizontal="center" vertical="top" wrapText="1"/>
    </xf>
    <xf numFmtId="0" fontId="28" fillId="2" borderId="22" xfId="0" applyFont="1" applyFill="1" applyBorder="1" applyAlignment="1">
      <alignment horizontal="center" vertical="top" wrapText="1"/>
    </xf>
    <xf numFmtId="0" fontId="29" fillId="3" borderId="22" xfId="0" applyFont="1" applyFill="1" applyBorder="1" applyAlignment="1">
      <alignment horizontal="center" vertical="top" wrapText="1"/>
    </xf>
    <xf numFmtId="0" fontId="29" fillId="2" borderId="22" xfId="0" applyFont="1" applyFill="1" applyBorder="1" applyAlignment="1">
      <alignment horizontal="center" vertical="top" wrapText="1"/>
    </xf>
    <xf numFmtId="0" fontId="28" fillId="2" borderId="23" xfId="0" applyFont="1" applyFill="1" applyBorder="1" applyAlignment="1">
      <alignment horizontal="center" vertical="top" wrapText="1"/>
    </xf>
    <xf numFmtId="0" fontId="33" fillId="0" borderId="0" xfId="0" applyFont="1" applyFill="1" applyBorder="1" applyAlignment="1">
      <alignment vertical="center" wrapText="1"/>
    </xf>
    <xf numFmtId="0" fontId="30" fillId="0" borderId="0" xfId="0" applyFont="1" applyFill="1" applyAlignment="1">
      <alignment horizontal="center" vertical="top"/>
    </xf>
    <xf numFmtId="0" fontId="35" fillId="0" borderId="0" xfId="0" applyFont="1" applyFill="1" applyBorder="1" applyAlignment="1">
      <alignment vertical="center" wrapText="1"/>
    </xf>
    <xf numFmtId="0" fontId="28" fillId="0" borderId="0" xfId="0" applyFont="1" applyFill="1" applyAlignment="1">
      <alignment horizontal="center" vertical="top"/>
    </xf>
    <xf numFmtId="0" fontId="33" fillId="2" borderId="1" xfId="0" applyFont="1" applyFill="1" applyBorder="1" applyAlignment="1">
      <alignment horizontal="center" vertical="center" wrapText="1"/>
    </xf>
    <xf numFmtId="0" fontId="66" fillId="0" borderId="61" xfId="0" applyFont="1" applyBorder="1" applyAlignment="1">
      <alignment horizontal="center" vertical="top"/>
    </xf>
    <xf numFmtId="0" fontId="67" fillId="0" borderId="24" xfId="0" applyFont="1" applyBorder="1" applyAlignment="1">
      <alignment horizontal="center" vertical="top"/>
    </xf>
    <xf numFmtId="164" fontId="67" fillId="0" borderId="25" xfId="0" applyNumberFormat="1" applyFont="1" applyBorder="1" applyAlignment="1">
      <alignment horizontal="center" vertical="top"/>
    </xf>
    <xf numFmtId="164" fontId="66" fillId="0" borderId="25" xfId="0" applyNumberFormat="1" applyFont="1" applyBorder="1" applyAlignment="1">
      <alignment horizontal="center" vertical="top"/>
    </xf>
    <xf numFmtId="164" fontId="67" fillId="0" borderId="26" xfId="0" applyNumberFormat="1" applyFont="1" applyBorder="1" applyAlignment="1">
      <alignment horizontal="center" vertical="top"/>
    </xf>
    <xf numFmtId="2" fontId="67" fillId="0" borderId="24" xfId="0" applyNumberFormat="1" applyFont="1" applyFill="1" applyBorder="1" applyAlignment="1">
      <alignment horizontal="center" vertical="top"/>
    </xf>
    <xf numFmtId="2" fontId="66" fillId="0" borderId="25" xfId="0" applyNumberFormat="1" applyFont="1" applyFill="1" applyBorder="1" applyAlignment="1">
      <alignment horizontal="center" vertical="top"/>
    </xf>
    <xf numFmtId="2" fontId="67" fillId="0" borderId="31" xfId="0" applyNumberFormat="1" applyFont="1" applyFill="1" applyBorder="1" applyAlignment="1">
      <alignment horizontal="center" vertical="top"/>
    </xf>
    <xf numFmtId="2" fontId="67" fillId="0" borderId="26" xfId="0" applyNumberFormat="1" applyFont="1" applyFill="1" applyBorder="1" applyAlignment="1">
      <alignment horizontal="center" vertical="top"/>
    </xf>
    <xf numFmtId="2" fontId="67" fillId="0" borderId="32" xfId="0" applyNumberFormat="1" applyFont="1" applyFill="1" applyBorder="1" applyAlignment="1">
      <alignment horizontal="center" vertical="top"/>
    </xf>
    <xf numFmtId="0" fontId="13" fillId="15" borderId="1" xfId="0" applyFont="1" applyFill="1" applyBorder="1" applyAlignment="1">
      <alignment horizontal="left" vertical="top" wrapText="1"/>
    </xf>
    <xf numFmtId="0" fontId="14" fillId="0" borderId="2" xfId="0" applyFont="1" applyBorder="1" applyAlignment="1">
      <alignment horizontal="left" vertical="top" wrapText="1"/>
    </xf>
    <xf numFmtId="0" fontId="18" fillId="0" borderId="1" xfId="0" applyFont="1" applyBorder="1" applyAlignment="1">
      <alignment horizontal="left" vertical="top" wrapText="1"/>
    </xf>
    <xf numFmtId="0" fontId="14" fillId="0" borderId="1" xfId="0" applyFont="1" applyFill="1" applyBorder="1" applyAlignment="1">
      <alignment horizontal="left" vertical="top" wrapText="1"/>
    </xf>
    <xf numFmtId="0" fontId="13" fillId="12" borderId="1" xfId="0" applyFont="1" applyFill="1" applyBorder="1" applyAlignment="1">
      <alignment horizontal="center" vertical="top" wrapText="1"/>
    </xf>
    <xf numFmtId="0" fontId="13" fillId="12" borderId="11" xfId="0" applyFont="1" applyFill="1" applyBorder="1" applyAlignment="1">
      <alignment horizontal="center" vertical="top" wrapText="1"/>
    </xf>
    <xf numFmtId="0" fontId="13" fillId="12" borderId="2" xfId="0" applyFont="1" applyFill="1" applyBorder="1" applyAlignment="1">
      <alignment horizontal="center" vertical="top" wrapText="1"/>
    </xf>
    <xf numFmtId="0" fontId="13" fillId="13" borderId="1" xfId="0" applyFont="1" applyFill="1" applyBorder="1" applyAlignment="1">
      <alignment horizontal="center" vertical="top" wrapText="1"/>
    </xf>
    <xf numFmtId="0" fontId="13" fillId="13" borderId="9" xfId="0" applyFont="1" applyFill="1" applyBorder="1" applyAlignment="1">
      <alignment horizontal="center" vertical="top" wrapText="1"/>
    </xf>
    <xf numFmtId="0" fontId="13" fillId="13" borderId="11" xfId="0" applyFont="1" applyFill="1" applyBorder="1" applyAlignment="1">
      <alignment horizontal="center" vertical="top" wrapText="1"/>
    </xf>
    <xf numFmtId="0" fontId="52" fillId="0" borderId="10"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1" xfId="0" applyFont="1" applyFill="1" applyBorder="1" applyAlignment="1">
      <alignment horizontal="center" vertical="top" wrapText="1"/>
    </xf>
    <xf numFmtId="0" fontId="13" fillId="0" borderId="2" xfId="0" applyFont="1" applyFill="1" applyBorder="1" applyAlignment="1">
      <alignment horizontal="center" vertical="top" wrapText="1"/>
    </xf>
    <xf numFmtId="0" fontId="13" fillId="16" borderId="1" xfId="0" applyFont="1" applyFill="1" applyBorder="1" applyAlignment="1">
      <alignment horizontal="center" vertical="top" wrapText="1"/>
    </xf>
    <xf numFmtId="0" fontId="13" fillId="16" borderId="9" xfId="0" applyFont="1" applyFill="1" applyBorder="1" applyAlignment="1">
      <alignment horizontal="center" vertical="top" wrapText="1"/>
    </xf>
    <xf numFmtId="0" fontId="13" fillId="16" borderId="11" xfId="0" applyFont="1" applyFill="1" applyBorder="1" applyAlignment="1">
      <alignment horizontal="center" vertical="top" wrapText="1"/>
    </xf>
    <xf numFmtId="0" fontId="17" fillId="0" borderId="2" xfId="0" applyFont="1" applyBorder="1" applyAlignment="1">
      <alignment horizontal="left" vertical="top" wrapText="1"/>
    </xf>
    <xf numFmtId="0" fontId="50" fillId="14" borderId="10" xfId="0" applyFont="1" applyFill="1" applyBorder="1" applyAlignment="1">
      <alignment horizontal="center" vertical="top" wrapText="1"/>
    </xf>
    <xf numFmtId="0" fontId="13" fillId="10" borderId="1" xfId="0" applyFont="1" applyFill="1" applyBorder="1" applyAlignment="1">
      <alignment horizontal="center" vertical="top" wrapText="1"/>
    </xf>
    <xf numFmtId="0" fontId="13" fillId="13" borderId="1" xfId="0" applyFont="1" applyFill="1" applyBorder="1" applyAlignment="1">
      <alignment horizontal="left" vertical="top" wrapText="1"/>
    </xf>
    <xf numFmtId="0" fontId="13" fillId="13" borderId="2" xfId="0" applyFont="1" applyFill="1" applyBorder="1" applyAlignment="1">
      <alignment horizontal="center" vertical="top" wrapText="1"/>
    </xf>
    <xf numFmtId="0" fontId="14" fillId="0" borderId="0" xfId="0" applyFont="1" applyAlignment="1">
      <alignment vertical="top" wrapText="1"/>
    </xf>
    <xf numFmtId="0" fontId="14" fillId="0" borderId="1" xfId="0" applyFont="1" applyBorder="1" applyAlignment="1">
      <alignment vertical="top" wrapText="1"/>
    </xf>
    <xf numFmtId="0" fontId="17" fillId="0" borderId="1" xfId="0" applyFont="1" applyBorder="1" applyAlignment="1">
      <alignment horizontal="left" vertical="top" wrapText="1"/>
    </xf>
    <xf numFmtId="0" fontId="16" fillId="0" borderId="9" xfId="0" applyFont="1" applyFill="1" applyBorder="1" applyAlignment="1">
      <alignment horizontal="left" vertical="top" wrapText="1"/>
    </xf>
    <xf numFmtId="0" fontId="13" fillId="12" borderId="9" xfId="0" applyFont="1" applyFill="1" applyBorder="1" applyAlignment="1">
      <alignment horizontal="center" vertical="top" wrapText="1"/>
    </xf>
    <xf numFmtId="0" fontId="13" fillId="0" borderId="1" xfId="0" applyFont="1" applyBorder="1" applyAlignment="1">
      <alignment vertical="top" wrapText="1"/>
    </xf>
    <xf numFmtId="164" fontId="13" fillId="0" borderId="2" xfId="0" applyNumberFormat="1" applyFont="1" applyBorder="1" applyAlignment="1">
      <alignment horizontal="center" vertical="top" wrapText="1"/>
    </xf>
    <xf numFmtId="0" fontId="14" fillId="0" borderId="2" xfId="0" applyFont="1" applyBorder="1" applyAlignment="1">
      <alignment vertical="top" wrapText="1"/>
    </xf>
    <xf numFmtId="2" fontId="13" fillId="0" borderId="11" xfId="0" applyNumberFormat="1" applyFont="1" applyBorder="1" applyAlignment="1">
      <alignment horizontal="center" vertical="top" wrapText="1"/>
    </xf>
    <xf numFmtId="2" fontId="13" fillId="0" borderId="2" xfId="0" applyNumberFormat="1" applyFont="1" applyBorder="1" applyAlignment="1">
      <alignment horizontal="center" vertical="top" wrapText="1"/>
    </xf>
    <xf numFmtId="0" fontId="16" fillId="0" borderId="9" xfId="0" applyFont="1" applyBorder="1" applyAlignment="1">
      <alignment horizontal="left" vertical="top" wrapText="1"/>
    </xf>
    <xf numFmtId="164" fontId="13" fillId="0" borderId="11" xfId="0" applyNumberFormat="1" applyFont="1" applyBorder="1" applyAlignment="1">
      <alignment horizontal="center" vertical="top" wrapText="1"/>
    </xf>
    <xf numFmtId="0" fontId="51" fillId="15" borderId="10" xfId="0" applyFont="1" applyFill="1" applyBorder="1" applyAlignment="1">
      <alignment horizontal="center" vertical="top" wrapText="1"/>
    </xf>
    <xf numFmtId="0" fontId="13" fillId="15" borderId="1" xfId="0" applyFont="1" applyFill="1" applyBorder="1" applyAlignment="1">
      <alignment horizontal="center" vertical="top" wrapText="1"/>
    </xf>
    <xf numFmtId="164" fontId="13" fillId="15" borderId="11" xfId="0" applyNumberFormat="1" applyFont="1" applyFill="1" applyBorder="1" applyAlignment="1">
      <alignment horizontal="center" vertical="top" wrapText="1"/>
    </xf>
    <xf numFmtId="164" fontId="13" fillId="15" borderId="2" xfId="0" applyNumberFormat="1" applyFont="1" applyFill="1" applyBorder="1" applyAlignment="1">
      <alignment horizontal="center" vertical="top" wrapText="1"/>
    </xf>
    <xf numFmtId="0" fontId="13" fillId="15" borderId="9" xfId="0" applyFont="1" applyFill="1" applyBorder="1" applyAlignment="1">
      <alignment horizontal="center" vertical="top" wrapText="1"/>
    </xf>
    <xf numFmtId="0" fontId="13" fillId="15" borderId="11" xfId="0" applyFont="1" applyFill="1" applyBorder="1" applyAlignment="1">
      <alignment horizontal="center" vertical="top" wrapText="1"/>
    </xf>
    <xf numFmtId="0" fontId="13" fillId="0" borderId="2" xfId="0" applyFont="1" applyFill="1" applyBorder="1" applyAlignment="1">
      <alignment horizontal="left" vertical="top" wrapText="1"/>
    </xf>
    <xf numFmtId="0" fontId="50" fillId="0" borderId="10" xfId="0" applyFont="1" applyBorder="1" applyAlignment="1">
      <alignment horizontal="center" vertical="top" wrapText="1"/>
    </xf>
    <xf numFmtId="0" fontId="18" fillId="0" borderId="2" xfId="0" applyFont="1" applyBorder="1" applyAlignment="1">
      <alignment horizontal="left" vertical="top" wrapText="1"/>
    </xf>
    <xf numFmtId="0" fontId="13" fillId="12" borderId="10" xfId="0" applyFont="1" applyFill="1" applyBorder="1" applyAlignment="1">
      <alignment horizontal="center" vertical="top" wrapText="1"/>
    </xf>
    <xf numFmtId="164" fontId="13" fillId="12" borderId="11" xfId="0" applyNumberFormat="1" applyFont="1" applyFill="1" applyBorder="1" applyAlignment="1">
      <alignment horizontal="center" vertical="top" wrapText="1"/>
    </xf>
    <xf numFmtId="164" fontId="13" fillId="12" borderId="2" xfId="0" applyNumberFormat="1" applyFont="1" applyFill="1" applyBorder="1" applyAlignment="1">
      <alignment horizontal="center" vertical="top" wrapText="1"/>
    </xf>
    <xf numFmtId="0" fontId="13" fillId="0" borderId="1" xfId="0" applyFont="1" applyBorder="1" applyAlignment="1">
      <alignment horizontal="left" vertical="top" wrapText="1"/>
    </xf>
    <xf numFmtId="0" fontId="18" fillId="0" borderId="1" xfId="0" applyFont="1" applyFill="1" applyBorder="1" applyAlignment="1">
      <alignment horizontal="left" vertical="top" wrapText="1"/>
    </xf>
    <xf numFmtId="0" fontId="13" fillId="0" borderId="2" xfId="0" applyFont="1" applyBorder="1" applyAlignment="1">
      <alignment horizontal="left" vertical="top" wrapText="1"/>
    </xf>
    <xf numFmtId="0" fontId="13" fillId="16" borderId="2" xfId="0" applyFont="1" applyFill="1" applyBorder="1" applyAlignment="1">
      <alignment horizontal="center" vertical="top" wrapText="1"/>
    </xf>
    <xf numFmtId="0" fontId="14" fillId="0" borderId="0" xfId="0" applyFont="1" applyBorder="1" applyAlignment="1">
      <alignment horizontal="left" vertical="top" wrapText="1"/>
    </xf>
    <xf numFmtId="0" fontId="13" fillId="14" borderId="1" xfId="0" applyFont="1" applyFill="1" applyBorder="1" applyAlignment="1">
      <alignment horizontal="center" vertical="top" wrapText="1"/>
    </xf>
    <xf numFmtId="0" fontId="13" fillId="12" borderId="37" xfId="0" applyFont="1" applyFill="1" applyBorder="1" applyAlignment="1">
      <alignment horizontal="center" vertical="top" wrapText="1"/>
    </xf>
    <xf numFmtId="0" fontId="13" fillId="15" borderId="12" xfId="0" applyFont="1" applyFill="1" applyBorder="1" applyAlignment="1">
      <alignment horizontal="left" vertical="top" wrapText="1"/>
    </xf>
    <xf numFmtId="0" fontId="13" fillId="0" borderId="12" xfId="0" applyFont="1" applyBorder="1" applyAlignment="1">
      <alignment horizontal="left" vertical="top" wrapText="1"/>
    </xf>
    <xf numFmtId="0" fontId="14" fillId="0" borderId="12" xfId="0" applyFont="1" applyBorder="1" applyAlignment="1">
      <alignment horizontal="left" vertical="top" wrapText="1"/>
    </xf>
    <xf numFmtId="0" fontId="16" fillId="0" borderId="16" xfId="0" applyFont="1" applyBorder="1" applyAlignment="1">
      <alignment horizontal="left" vertical="top" wrapText="1"/>
    </xf>
    <xf numFmtId="0" fontId="13" fillId="10" borderId="37" xfId="0" applyFont="1" applyFill="1" applyBorder="1" applyAlignment="1">
      <alignment horizontal="center" vertical="top" wrapText="1"/>
    </xf>
    <xf numFmtId="0" fontId="18" fillId="15" borderId="1" xfId="0" applyFont="1" applyFill="1" applyBorder="1" applyAlignment="1">
      <alignment horizontal="left" vertical="top" wrapText="1"/>
    </xf>
    <xf numFmtId="0" fontId="51" fillId="15" borderId="19" xfId="0" applyFont="1" applyFill="1" applyBorder="1" applyAlignment="1">
      <alignment horizontal="center" vertical="top" wrapText="1"/>
    </xf>
    <xf numFmtId="0" fontId="13" fillId="15" borderId="22" xfId="0" applyFont="1" applyFill="1" applyBorder="1" applyAlignment="1">
      <alignment horizontal="center" vertical="top" wrapText="1"/>
    </xf>
    <xf numFmtId="0" fontId="13" fillId="15" borderId="23" xfId="0" applyFont="1" applyFill="1" applyBorder="1" applyAlignment="1">
      <alignment horizontal="center" vertical="top" wrapText="1"/>
    </xf>
    <xf numFmtId="0" fontId="13" fillId="15" borderId="21" xfId="0" applyFont="1" applyFill="1" applyBorder="1" applyAlignment="1">
      <alignment horizontal="center" vertical="top" wrapText="1"/>
    </xf>
    <xf numFmtId="0" fontId="13" fillId="15" borderId="20" xfId="0" applyFont="1" applyFill="1" applyBorder="1" applyAlignment="1">
      <alignment horizontal="center" vertical="top" wrapText="1"/>
    </xf>
    <xf numFmtId="0" fontId="7" fillId="0" borderId="1" xfId="0" applyFont="1" applyFill="1" applyBorder="1" applyAlignment="1">
      <alignment vertical="top" wrapText="1"/>
    </xf>
    <xf numFmtId="0" fontId="7" fillId="0" borderId="9" xfId="0" applyFont="1" applyFill="1" applyBorder="1" applyAlignment="1">
      <alignment vertical="top" wrapText="1"/>
    </xf>
    <xf numFmtId="0" fontId="5" fillId="2" borderId="47" xfId="0" applyFont="1" applyFill="1" applyBorder="1" applyAlignment="1">
      <alignment horizontal="center" vertical="top" wrapText="1"/>
    </xf>
    <xf numFmtId="0" fontId="7" fillId="0" borderId="0" xfId="0" applyFont="1" applyBorder="1" applyAlignment="1">
      <alignment vertical="top" wrapText="1"/>
    </xf>
    <xf numFmtId="0" fontId="68" fillId="20" borderId="1" xfId="0" applyFont="1" applyFill="1" applyBorder="1" applyAlignment="1">
      <alignment horizontal="center" vertical="top"/>
    </xf>
    <xf numFmtId="0" fontId="42" fillId="20" borderId="1" xfId="0" applyFont="1" applyFill="1" applyBorder="1" applyAlignment="1">
      <alignment horizontal="center" vertical="top"/>
    </xf>
    <xf numFmtId="0" fontId="42" fillId="20" borderId="9" xfId="0" applyFont="1" applyFill="1" applyBorder="1" applyAlignment="1">
      <alignment horizontal="center" vertical="top"/>
    </xf>
    <xf numFmtId="0" fontId="68" fillId="20" borderId="10" xfId="0" applyFont="1" applyFill="1" applyBorder="1" applyAlignment="1">
      <alignment horizontal="center" vertical="top"/>
    </xf>
    <xf numFmtId="0" fontId="42" fillId="20" borderId="11" xfId="0" applyFont="1" applyFill="1" applyBorder="1" applyAlignment="1">
      <alignment horizontal="center" vertical="top"/>
    </xf>
    <xf numFmtId="0" fontId="68" fillId="20" borderId="12" xfId="0" applyFont="1" applyFill="1" applyBorder="1" applyAlignment="1">
      <alignment horizontal="center" vertical="top"/>
    </xf>
    <xf numFmtId="0" fontId="42" fillId="20" borderId="12" xfId="0" applyFont="1" applyFill="1" applyBorder="1" applyAlignment="1">
      <alignment horizontal="center" vertical="top"/>
    </xf>
    <xf numFmtId="0" fontId="42" fillId="20" borderId="16" xfId="0" applyFont="1" applyFill="1" applyBorder="1" applyAlignment="1">
      <alignment horizontal="center" vertical="top"/>
    </xf>
    <xf numFmtId="0" fontId="68" fillId="20" borderId="17" xfId="0" applyFont="1" applyFill="1" applyBorder="1" applyAlignment="1">
      <alignment horizontal="center" vertical="top"/>
    </xf>
    <xf numFmtId="0" fontId="42" fillId="20" borderId="18" xfId="0" applyFont="1" applyFill="1" applyBorder="1" applyAlignment="1">
      <alignment horizontal="center" vertical="top"/>
    </xf>
    <xf numFmtId="0" fontId="68" fillId="20" borderId="19" xfId="0" applyFont="1" applyFill="1" applyBorder="1" applyAlignment="1">
      <alignment horizontal="center" vertical="top"/>
    </xf>
    <xf numFmtId="0" fontId="42" fillId="20" borderId="22" xfId="0" applyFont="1" applyFill="1" applyBorder="1" applyAlignment="1">
      <alignment horizontal="center" vertical="top"/>
    </xf>
    <xf numFmtId="0" fontId="42" fillId="20" borderId="23" xfId="0" applyFont="1" applyFill="1" applyBorder="1" applyAlignment="1">
      <alignment horizontal="center" vertical="top"/>
    </xf>
    <xf numFmtId="0" fontId="5" fillId="38" borderId="17" xfId="0" applyFont="1" applyFill="1" applyBorder="1" applyAlignment="1">
      <alignment horizontal="center" vertical="top" wrapText="1"/>
    </xf>
    <xf numFmtId="0" fontId="5" fillId="38" borderId="12" xfId="0" applyFont="1" applyFill="1" applyBorder="1" applyAlignment="1">
      <alignment horizontal="center" vertical="top" wrapText="1"/>
    </xf>
    <xf numFmtId="0" fontId="5" fillId="38" borderId="18" xfId="0" applyFont="1" applyFill="1" applyBorder="1" applyAlignment="1">
      <alignment horizontal="center" vertical="top"/>
    </xf>
    <xf numFmtId="0" fontId="8" fillId="0" borderId="41" xfId="0" applyFont="1" applyFill="1" applyBorder="1" applyAlignment="1">
      <alignment horizontal="center" vertical="top"/>
    </xf>
    <xf numFmtId="0" fontId="8" fillId="0" borderId="55" xfId="0" applyFont="1" applyFill="1" applyBorder="1" applyAlignment="1">
      <alignment horizontal="center" vertical="top"/>
    </xf>
    <xf numFmtId="0" fontId="61" fillId="0" borderId="42" xfId="0" applyFont="1" applyBorder="1" applyAlignment="1">
      <alignment horizontal="center" vertical="top"/>
    </xf>
    <xf numFmtId="0" fontId="61" fillId="0" borderId="43" xfId="0" applyFont="1" applyBorder="1" applyAlignment="1">
      <alignment horizontal="center" vertical="top"/>
    </xf>
    <xf numFmtId="0" fontId="5" fillId="0" borderId="1" xfId="0" applyFont="1" applyFill="1" applyBorder="1" applyAlignment="1">
      <alignment horizontal="left" vertical="top" wrapText="1"/>
    </xf>
    <xf numFmtId="0" fontId="8" fillId="0" borderId="19" xfId="0" applyFont="1" applyFill="1" applyBorder="1" applyAlignment="1">
      <alignment horizontal="center" vertical="top" wrapText="1"/>
    </xf>
    <xf numFmtId="0" fontId="8" fillId="0" borderId="22" xfId="0" applyFont="1" applyFill="1" applyBorder="1" applyAlignment="1">
      <alignment horizontal="center" vertical="top" wrapText="1"/>
    </xf>
    <xf numFmtId="0" fontId="8" fillId="0" borderId="23" xfId="0" applyFont="1" applyFill="1" applyBorder="1" applyAlignment="1">
      <alignment horizontal="center" vertical="top" wrapText="1"/>
    </xf>
    <xf numFmtId="164" fontId="7" fillId="0" borderId="19" xfId="0" applyNumberFormat="1" applyFont="1" applyFill="1" applyBorder="1" applyAlignment="1">
      <alignment horizontal="center" vertical="top"/>
    </xf>
    <xf numFmtId="164" fontId="7" fillId="0" borderId="23" xfId="0" applyNumberFormat="1" applyFont="1" applyFill="1" applyBorder="1" applyAlignment="1">
      <alignment horizontal="center" vertical="top"/>
    </xf>
    <xf numFmtId="167" fontId="7" fillId="0" borderId="19" xfId="0" applyNumberFormat="1" applyFont="1" applyBorder="1" applyAlignment="1">
      <alignment horizontal="center" vertical="top"/>
    </xf>
    <xf numFmtId="164" fontId="7" fillId="0" borderId="4" xfId="0" applyNumberFormat="1" applyFont="1" applyBorder="1" applyAlignment="1">
      <alignment horizontal="center" vertical="top"/>
    </xf>
    <xf numFmtId="164" fontId="7" fillId="0" borderId="10" xfId="0" applyNumberFormat="1" applyFont="1" applyBorder="1" applyAlignment="1">
      <alignment horizontal="center" vertical="top"/>
    </xf>
    <xf numFmtId="164" fontId="7" fillId="0" borderId="19" xfId="0" applyNumberFormat="1" applyFont="1" applyBorder="1" applyAlignment="1">
      <alignment horizontal="center" vertical="top"/>
    </xf>
    <xf numFmtId="164" fontId="7" fillId="0" borderId="23" xfId="0" applyNumberFormat="1" applyFont="1" applyBorder="1" applyAlignment="1">
      <alignment horizontal="center" vertical="top"/>
    </xf>
    <xf numFmtId="0" fontId="28" fillId="12" borderId="19" xfId="0" applyFont="1" applyFill="1" applyBorder="1" applyAlignment="1">
      <alignment horizontal="center" vertical="top" wrapText="1"/>
    </xf>
    <xf numFmtId="0" fontId="29" fillId="12" borderId="22" xfId="0" applyFont="1" applyFill="1" applyBorder="1" applyAlignment="1">
      <alignment horizontal="center" vertical="top" wrapText="1"/>
    </xf>
    <xf numFmtId="0" fontId="28" fillId="12" borderId="23" xfId="0" applyFont="1" applyFill="1" applyBorder="1" applyAlignment="1">
      <alignment horizontal="center" vertical="top" wrapText="1"/>
    </xf>
    <xf numFmtId="0" fontId="43" fillId="12" borderId="1" xfId="0" applyFont="1" applyFill="1" applyBorder="1" applyAlignment="1">
      <alignment vertical="top"/>
    </xf>
    <xf numFmtId="1" fontId="44" fillId="12" borderId="1" xfId="0" applyNumberFormat="1" applyFont="1" applyFill="1" applyBorder="1" applyAlignment="1">
      <alignment horizontal="center" vertical="top"/>
    </xf>
    <xf numFmtId="0" fontId="5" fillId="37" borderId="1" xfId="0" applyFont="1" applyFill="1" applyBorder="1" applyAlignment="1">
      <alignment vertical="top" wrapText="1"/>
    </xf>
    <xf numFmtId="0" fontId="5" fillId="12" borderId="1" xfId="0" applyFont="1" applyFill="1" applyBorder="1" applyAlignment="1">
      <alignment horizontal="left" vertical="top" wrapText="1"/>
    </xf>
    <xf numFmtId="2" fontId="7" fillId="0" borderId="4" xfId="0" applyNumberFormat="1" applyFont="1" applyBorder="1" applyAlignment="1">
      <alignment horizontal="center" vertical="top"/>
    </xf>
    <xf numFmtId="2" fontId="7" fillId="0" borderId="7" xfId="0" applyNumberFormat="1" applyFont="1" applyBorder="1" applyAlignment="1">
      <alignment horizontal="center" vertical="top"/>
    </xf>
    <xf numFmtId="2" fontId="7" fillId="0" borderId="8" xfId="0" applyNumberFormat="1" applyFont="1" applyBorder="1" applyAlignment="1">
      <alignment horizontal="center" vertical="top"/>
    </xf>
    <xf numFmtId="0" fontId="40" fillId="0" borderId="0" xfId="0" applyFont="1" applyFill="1" applyBorder="1" applyAlignment="1">
      <alignment horizontal="left" vertical="top"/>
    </xf>
    <xf numFmtId="0" fontId="64" fillId="0" borderId="0" xfId="0" applyFont="1" applyAlignment="1">
      <alignment vertical="top"/>
    </xf>
    <xf numFmtId="0" fontId="4" fillId="0" borderId="0" xfId="0" applyFont="1" applyAlignment="1">
      <alignment vertical="top"/>
    </xf>
    <xf numFmtId="0" fontId="69" fillId="0" borderId="0" xfId="0" applyFont="1" applyAlignment="1">
      <alignment vertical="top"/>
    </xf>
    <xf numFmtId="0" fontId="71" fillId="0" borderId="0" xfId="0" applyFont="1" applyAlignment="1">
      <alignment vertical="top"/>
    </xf>
    <xf numFmtId="0" fontId="33" fillId="10" borderId="1" xfId="0" applyFont="1" applyFill="1" applyBorder="1" applyAlignment="1">
      <alignment horizontal="right" vertical="top" wrapText="1"/>
    </xf>
    <xf numFmtId="0" fontId="33" fillId="28" borderId="12" xfId="0" applyFont="1" applyFill="1" applyBorder="1" applyAlignment="1">
      <alignment horizontal="right" vertical="top" wrapText="1"/>
    </xf>
    <xf numFmtId="0" fontId="33" fillId="28" borderId="15" xfId="0" applyFont="1" applyFill="1" applyBorder="1" applyAlignment="1">
      <alignment horizontal="right" vertical="top" wrapText="1"/>
    </xf>
    <xf numFmtId="0" fontId="33" fillId="28" borderId="0" xfId="0" applyFont="1" applyFill="1" applyBorder="1" applyAlignment="1">
      <alignment horizontal="right" vertical="top" wrapText="1"/>
    </xf>
    <xf numFmtId="0" fontId="35" fillId="10" borderId="2" xfId="0" applyFont="1" applyFill="1" applyBorder="1" applyAlignment="1">
      <alignment horizontal="left" vertical="top" wrapText="1"/>
    </xf>
    <xf numFmtId="0" fontId="33" fillId="10" borderId="12" xfId="0" applyFont="1" applyFill="1" applyBorder="1" applyAlignment="1">
      <alignment horizontal="right" vertical="top" wrapText="1"/>
    </xf>
    <xf numFmtId="0" fontId="33" fillId="10" borderId="15" xfId="0" applyFont="1" applyFill="1" applyBorder="1" applyAlignment="1">
      <alignment horizontal="right" vertical="top" wrapText="1"/>
    </xf>
    <xf numFmtId="0" fontId="33" fillId="10" borderId="0" xfId="0" applyFont="1" applyFill="1" applyBorder="1" applyAlignment="1">
      <alignment horizontal="right" vertical="top" wrapText="1"/>
    </xf>
    <xf numFmtId="0" fontId="6" fillId="10" borderId="41" xfId="0" applyFont="1" applyFill="1" applyBorder="1" applyAlignment="1">
      <alignment horizontal="center" vertical="top" wrapText="1"/>
    </xf>
    <xf numFmtId="0" fontId="0" fillId="0" borderId="0" xfId="0" applyFill="1" applyBorder="1" applyAlignment="1">
      <alignment vertical="top" wrapText="1"/>
    </xf>
    <xf numFmtId="0" fontId="0" fillId="0" borderId="0" xfId="0" applyBorder="1" applyAlignment="1">
      <alignment vertical="top"/>
    </xf>
    <xf numFmtId="0" fontId="72" fillId="0" borderId="0" xfId="0" applyFont="1" applyAlignment="1">
      <alignment vertical="top"/>
    </xf>
    <xf numFmtId="0" fontId="5" fillId="10" borderId="4" xfId="0" applyFont="1" applyFill="1" applyBorder="1" applyAlignment="1">
      <alignment horizontal="center" vertical="top" wrapText="1"/>
    </xf>
    <xf numFmtId="0" fontId="73" fillId="0" borderId="0" xfId="0" applyFont="1" applyAlignment="1">
      <alignment vertical="top"/>
    </xf>
    <xf numFmtId="0" fontId="13" fillId="2" borderId="9" xfId="0" applyFont="1" applyFill="1" applyBorder="1" applyAlignment="1">
      <alignment horizontal="left" vertical="top" wrapText="1"/>
    </xf>
    <xf numFmtId="0" fontId="43" fillId="0" borderId="1" xfId="0" applyFont="1" applyFill="1" applyBorder="1" applyAlignment="1">
      <alignment vertical="top"/>
    </xf>
    <xf numFmtId="1" fontId="44" fillId="0" borderId="1" xfId="0" applyNumberFormat="1" applyFont="1" applyFill="1" applyBorder="1" applyAlignment="1">
      <alignment horizontal="center" vertical="top"/>
    </xf>
    <xf numFmtId="0" fontId="74" fillId="0" borderId="0" xfId="0" applyFont="1" applyAlignment="1">
      <alignment horizontal="center" vertical="top" wrapText="1"/>
    </xf>
    <xf numFmtId="0" fontId="4" fillId="0" borderId="0" xfId="0" applyFont="1" applyAlignment="1">
      <alignment horizontal="center" vertical="top" wrapText="1"/>
    </xf>
    <xf numFmtId="0" fontId="7" fillId="0" borderId="40" xfId="0" applyFont="1" applyBorder="1" applyAlignment="1">
      <alignment horizontal="center" vertical="top"/>
    </xf>
    <xf numFmtId="0" fontId="7" fillId="0" borderId="36" xfId="0" applyFont="1" applyBorder="1" applyAlignment="1">
      <alignment horizontal="center" vertical="top"/>
    </xf>
    <xf numFmtId="0" fontId="7" fillId="0" borderId="36" xfId="0" applyFont="1" applyFill="1" applyBorder="1" applyAlignment="1">
      <alignment horizontal="center" vertical="top"/>
    </xf>
    <xf numFmtId="0" fontId="7" fillId="0" borderId="46" xfId="0" applyFont="1" applyBorder="1" applyAlignment="1">
      <alignment horizontal="center" vertical="top"/>
    </xf>
    <xf numFmtId="0" fontId="7" fillId="0" borderId="56" xfId="0" applyFont="1" applyBorder="1" applyAlignment="1">
      <alignment horizontal="center" vertical="top"/>
    </xf>
    <xf numFmtId="164" fontId="61" fillId="0" borderId="10" xfId="0" applyNumberFormat="1" applyFont="1" applyFill="1" applyBorder="1" applyAlignment="1">
      <alignment horizontal="center" vertical="top"/>
    </xf>
    <xf numFmtId="164" fontId="61" fillId="0" borderId="19" xfId="0" applyNumberFormat="1" applyFont="1" applyFill="1" applyBorder="1" applyAlignment="1">
      <alignment horizontal="center" vertical="top"/>
    </xf>
    <xf numFmtId="0" fontId="5" fillId="15" borderId="3" xfId="0" applyFont="1" applyFill="1" applyBorder="1" applyAlignment="1">
      <alignment horizontal="center" vertical="top" wrapText="1"/>
    </xf>
    <xf numFmtId="2" fontId="7" fillId="0" borderId="6" xfId="0" applyNumberFormat="1" applyFont="1" applyFill="1" applyBorder="1" applyAlignment="1">
      <alignment horizontal="center" vertical="top"/>
    </xf>
    <xf numFmtId="2" fontId="7" fillId="0" borderId="21" xfId="0" applyNumberFormat="1" applyFont="1" applyFill="1" applyBorder="1" applyAlignment="1">
      <alignment horizontal="center" vertical="top"/>
    </xf>
    <xf numFmtId="2" fontId="7" fillId="0" borderId="53" xfId="0" applyNumberFormat="1" applyFont="1" applyFill="1" applyBorder="1" applyAlignment="1">
      <alignment horizontal="center" vertical="top"/>
    </xf>
    <xf numFmtId="2" fontId="7" fillId="0" borderId="2" xfId="0" applyNumberFormat="1" applyFont="1" applyFill="1" applyBorder="1" applyAlignment="1">
      <alignment horizontal="center" vertical="top"/>
    </xf>
    <xf numFmtId="2" fontId="61" fillId="0" borderId="21" xfId="0" applyNumberFormat="1" applyFont="1" applyFill="1" applyBorder="1" applyAlignment="1">
      <alignment horizontal="center" vertical="top"/>
    </xf>
    <xf numFmtId="0" fontId="5" fillId="15" borderId="41" xfId="0" applyFont="1" applyFill="1" applyBorder="1" applyAlignment="1">
      <alignment horizontal="center" vertical="top" wrapText="1"/>
    </xf>
    <xf numFmtId="0" fontId="5" fillId="15" borderId="43" xfId="0" applyFont="1" applyFill="1" applyBorder="1" applyAlignment="1">
      <alignment horizontal="center" vertical="top"/>
    </xf>
    <xf numFmtId="167" fontId="7" fillId="0" borderId="51" xfId="0" applyNumberFormat="1" applyFont="1" applyBorder="1" applyAlignment="1">
      <alignment horizontal="center" vertical="top"/>
    </xf>
    <xf numFmtId="164" fontId="7" fillId="0" borderId="42" xfId="0" applyNumberFormat="1" applyFont="1" applyFill="1" applyBorder="1" applyAlignment="1">
      <alignment horizontal="center" vertical="top"/>
    </xf>
    <xf numFmtId="167" fontId="61" fillId="0" borderId="42" xfId="0" applyNumberFormat="1" applyFont="1" applyFill="1" applyBorder="1" applyAlignment="1">
      <alignment horizontal="center" vertical="top"/>
    </xf>
    <xf numFmtId="167" fontId="61" fillId="0" borderId="42" xfId="0" applyNumberFormat="1" applyFont="1" applyBorder="1" applyAlignment="1">
      <alignment horizontal="center" vertical="top"/>
    </xf>
    <xf numFmtId="167" fontId="61" fillId="0" borderId="43" xfId="0" applyNumberFormat="1" applyFont="1" applyBorder="1" applyAlignment="1">
      <alignment horizontal="center" vertical="top"/>
    </xf>
    <xf numFmtId="0" fontId="0" fillId="0" borderId="0" xfId="0" applyFont="1" applyFill="1" applyAlignment="1">
      <alignment horizontal="left" vertical="top" wrapText="1"/>
    </xf>
    <xf numFmtId="0" fontId="0" fillId="0" borderId="0" xfId="0" applyFont="1" applyAlignment="1">
      <alignment vertical="top"/>
    </xf>
    <xf numFmtId="0" fontId="0" fillId="0" borderId="0" xfId="0" applyFont="1" applyAlignment="1">
      <alignment horizontal="left" vertical="top" wrapText="1"/>
    </xf>
    <xf numFmtId="2" fontId="7" fillId="0" borderId="10" xfId="0" applyNumberFormat="1" applyFont="1" applyBorder="1" applyAlignment="1">
      <alignment horizontal="center" vertical="top"/>
    </xf>
    <xf numFmtId="2" fontId="7" fillId="0" borderId="11" xfId="0" applyNumberFormat="1" applyFont="1" applyBorder="1" applyAlignment="1">
      <alignment horizontal="center" vertical="top"/>
    </xf>
    <xf numFmtId="0" fontId="54" fillId="15" borderId="10" xfId="0" applyFont="1" applyFill="1" applyBorder="1" applyAlignment="1">
      <alignment horizontal="center" vertical="top" wrapText="1"/>
    </xf>
    <xf numFmtId="2" fontId="13" fillId="15" borderId="11" xfId="0" applyNumberFormat="1" applyFont="1" applyFill="1" applyBorder="1" applyAlignment="1">
      <alignment horizontal="center" vertical="top" wrapText="1"/>
    </xf>
    <xf numFmtId="2" fontId="13" fillId="15" borderId="2" xfId="0" applyNumberFormat="1" applyFont="1" applyFill="1" applyBorder="1" applyAlignment="1">
      <alignment horizontal="center" vertical="top" wrapText="1"/>
    </xf>
    <xf numFmtId="164" fontId="2" fillId="0" borderId="0" xfId="0" applyNumberFormat="1" applyFont="1" applyAlignment="1">
      <alignment vertical="top"/>
    </xf>
    <xf numFmtId="0" fontId="28" fillId="0" borderId="0" xfId="0" applyFont="1" applyBorder="1" applyAlignment="1">
      <alignment horizontal="center" vertical="top" wrapText="1"/>
    </xf>
    <xf numFmtId="164" fontId="8" fillId="0" borderId="6" xfId="0" applyNumberFormat="1" applyFont="1" applyFill="1" applyBorder="1" applyAlignment="1">
      <alignment horizontal="center" vertical="top"/>
    </xf>
    <xf numFmtId="164" fontId="8" fillId="0" borderId="7" xfId="0" applyNumberFormat="1" applyFont="1" applyFill="1" applyBorder="1" applyAlignment="1">
      <alignment horizontal="center" vertical="top"/>
    </xf>
    <xf numFmtId="164" fontId="8" fillId="0" borderId="8" xfId="0" applyNumberFormat="1" applyFont="1" applyFill="1" applyBorder="1" applyAlignment="1">
      <alignment horizontal="center" vertical="top"/>
    </xf>
    <xf numFmtId="164" fontId="8" fillId="0" borderId="4" xfId="0" applyNumberFormat="1" applyFont="1" applyFill="1" applyBorder="1" applyAlignment="1">
      <alignment horizontal="center" vertical="top"/>
    </xf>
    <xf numFmtId="1" fontId="7" fillId="0" borderId="41" xfId="0" applyNumberFormat="1" applyFont="1" applyFill="1" applyBorder="1" applyAlignment="1">
      <alignment horizontal="center" vertical="top"/>
    </xf>
    <xf numFmtId="1" fontId="7" fillId="0" borderId="43" xfId="0" applyNumberFormat="1" applyFont="1" applyBorder="1" applyAlignment="1">
      <alignment horizontal="center" vertical="top"/>
    </xf>
    <xf numFmtId="1" fontId="7" fillId="0" borderId="55" xfId="0" applyNumberFormat="1" applyFont="1" applyFill="1" applyBorder="1" applyAlignment="1">
      <alignment horizontal="center" vertical="top"/>
    </xf>
    <xf numFmtId="164" fontId="7" fillId="0" borderId="0" xfId="0" applyNumberFormat="1" applyFont="1" applyBorder="1" applyAlignment="1">
      <alignment horizontal="center" vertical="top"/>
    </xf>
    <xf numFmtId="164" fontId="7" fillId="0" borderId="62" xfId="0" applyNumberFormat="1" applyFont="1" applyBorder="1" applyAlignment="1">
      <alignment horizontal="center" vertical="top"/>
    </xf>
    <xf numFmtId="164" fontId="2" fillId="0" borderId="0" xfId="0" applyNumberFormat="1" applyFont="1" applyBorder="1" applyAlignment="1">
      <alignment horizontal="center" vertical="top"/>
    </xf>
    <xf numFmtId="0" fontId="5" fillId="0" borderId="0" xfId="0" applyFont="1" applyFill="1" applyBorder="1" applyAlignment="1">
      <alignment horizontal="center" vertical="top" wrapText="1"/>
    </xf>
    <xf numFmtId="164" fontId="7" fillId="45" borderId="7" xfId="0" applyNumberFormat="1" applyFont="1" applyFill="1" applyBorder="1" applyAlignment="1">
      <alignment horizontal="center" vertical="top"/>
    </xf>
    <xf numFmtId="164" fontId="7" fillId="45" borderId="1" xfId="0" applyNumberFormat="1" applyFont="1" applyFill="1" applyBorder="1" applyAlignment="1">
      <alignment horizontal="center" vertical="top"/>
    </xf>
    <xf numFmtId="164" fontId="7" fillId="44" borderId="1" xfId="0" applyNumberFormat="1" applyFont="1" applyFill="1" applyBorder="1" applyAlignment="1">
      <alignment horizontal="center" vertical="top"/>
    </xf>
    <xf numFmtId="164" fontId="7" fillId="44" borderId="22" xfId="0" applyNumberFormat="1" applyFont="1" applyFill="1" applyBorder="1" applyAlignment="1">
      <alignment horizontal="center" vertical="top"/>
    </xf>
    <xf numFmtId="0" fontId="7" fillId="45" borderId="5" xfId="0" applyFont="1" applyFill="1" applyBorder="1" applyAlignment="1">
      <alignment horizontal="left" vertical="top" wrapText="1"/>
    </xf>
    <xf numFmtId="0" fontId="7" fillId="45" borderId="9" xfId="0" applyFont="1" applyFill="1" applyBorder="1" applyAlignment="1">
      <alignment vertical="top" wrapText="1"/>
    </xf>
    <xf numFmtId="0" fontId="6" fillId="45" borderId="9" xfId="0" applyFont="1" applyFill="1" applyBorder="1" applyAlignment="1">
      <alignment horizontal="left" vertical="top" wrapText="1"/>
    </xf>
    <xf numFmtId="0" fontId="6" fillId="45" borderId="16" xfId="0" applyFont="1" applyFill="1" applyBorder="1" applyAlignment="1">
      <alignment horizontal="left" vertical="top" wrapText="1"/>
    </xf>
    <xf numFmtId="0" fontId="8" fillId="44" borderId="9" xfId="0" applyFont="1" applyFill="1" applyBorder="1" applyAlignment="1">
      <alignment horizontal="left" vertical="top" wrapText="1"/>
    </xf>
    <xf numFmtId="0" fontId="7" fillId="44" borderId="9" xfId="0" applyFont="1" applyFill="1" applyBorder="1" applyAlignment="1">
      <alignment vertical="top" wrapText="1"/>
    </xf>
    <xf numFmtId="0" fontId="6" fillId="44" borderId="9" xfId="0" applyFont="1" applyFill="1" applyBorder="1" applyAlignment="1">
      <alignment horizontal="left" vertical="top" wrapText="1"/>
    </xf>
    <xf numFmtId="0" fontId="6" fillId="44" borderId="9" xfId="0" applyFont="1" applyFill="1" applyBorder="1" applyAlignment="1">
      <alignment horizontal="right" vertical="top" wrapText="1"/>
    </xf>
    <xf numFmtId="0" fontId="8" fillId="46" borderId="9" xfId="0" applyFont="1" applyFill="1" applyBorder="1" applyAlignment="1">
      <alignment horizontal="left" vertical="top" wrapText="1"/>
    </xf>
    <xf numFmtId="164" fontId="7" fillId="46" borderId="1" xfId="0" applyNumberFormat="1" applyFont="1" applyFill="1" applyBorder="1" applyAlignment="1">
      <alignment horizontal="center" vertical="top"/>
    </xf>
    <xf numFmtId="0" fontId="7" fillId="46" borderId="9" xfId="0" applyFont="1" applyFill="1" applyBorder="1" applyAlignment="1">
      <alignment vertical="top" wrapText="1"/>
    </xf>
    <xf numFmtId="2" fontId="7" fillId="46" borderId="1" xfId="0" applyNumberFormat="1" applyFont="1" applyFill="1" applyBorder="1" applyAlignment="1">
      <alignment horizontal="center" vertical="top"/>
    </xf>
    <xf numFmtId="0" fontId="7" fillId="44" borderId="48" xfId="0" applyFont="1" applyFill="1" applyBorder="1" applyAlignment="1">
      <alignment vertical="top" wrapText="1"/>
    </xf>
    <xf numFmtId="0" fontId="5" fillId="44" borderId="38" xfId="0" applyFont="1" applyFill="1" applyBorder="1" applyAlignment="1">
      <alignment horizontal="left" vertical="top" wrapText="1"/>
    </xf>
    <xf numFmtId="0" fontId="5" fillId="44" borderId="45" xfId="0" applyFont="1" applyFill="1" applyBorder="1" applyAlignment="1">
      <alignment horizontal="left" vertical="top" wrapText="1"/>
    </xf>
    <xf numFmtId="0" fontId="6" fillId="47" borderId="48" xfId="0" applyFont="1" applyFill="1" applyBorder="1" applyAlignment="1">
      <alignment horizontal="left" vertical="top" wrapText="1"/>
    </xf>
    <xf numFmtId="0" fontId="55" fillId="0" borderId="49" xfId="0" applyFont="1" applyFill="1" applyBorder="1" applyAlignment="1">
      <alignment horizontal="center" vertical="top" wrapText="1"/>
    </xf>
    <xf numFmtId="0" fontId="55" fillId="0" borderId="44" xfId="0" applyFont="1" applyFill="1" applyBorder="1" applyAlignment="1">
      <alignment horizontal="center" vertical="top" wrapText="1"/>
    </xf>
    <xf numFmtId="0" fontId="55" fillId="0" borderId="50" xfId="0" applyFont="1" applyFill="1" applyBorder="1" applyAlignment="1">
      <alignment horizontal="center" vertical="top" wrapText="1"/>
    </xf>
    <xf numFmtId="164" fontId="59" fillId="0" borderId="49" xfId="0" applyNumberFormat="1" applyFont="1" applyFill="1" applyBorder="1" applyAlignment="1">
      <alignment horizontal="center" vertical="top"/>
    </xf>
    <xf numFmtId="164" fontId="59" fillId="0" borderId="48" xfId="0" applyNumberFormat="1" applyFont="1" applyFill="1" applyBorder="1" applyAlignment="1">
      <alignment horizontal="center" vertical="top"/>
    </xf>
    <xf numFmtId="0" fontId="59" fillId="0" borderId="57" xfId="0" applyFont="1" applyFill="1" applyBorder="1" applyAlignment="1">
      <alignment horizontal="right" vertical="top" wrapText="1"/>
    </xf>
    <xf numFmtId="0" fontId="58" fillId="0" borderId="43" xfId="0" applyFont="1" applyFill="1" applyBorder="1" applyAlignment="1">
      <alignment horizontal="center" vertical="top"/>
    </xf>
    <xf numFmtId="164" fontId="59" fillId="0" borderId="21" xfId="0" applyNumberFormat="1" applyFont="1" applyFill="1" applyBorder="1" applyAlignment="1">
      <alignment horizontal="center" vertical="top"/>
    </xf>
    <xf numFmtId="164" fontId="59" fillId="0" borderId="23" xfId="0" applyNumberFormat="1" applyFont="1" applyFill="1" applyBorder="1" applyAlignment="1">
      <alignment horizontal="center" vertical="top"/>
    </xf>
    <xf numFmtId="0" fontId="58" fillId="0" borderId="42" xfId="0" applyFont="1" applyFill="1" applyBorder="1" applyAlignment="1">
      <alignment horizontal="center" vertical="top"/>
    </xf>
    <xf numFmtId="164" fontId="59" fillId="0" borderId="10" xfId="0" applyNumberFormat="1" applyFont="1" applyFill="1" applyBorder="1" applyAlignment="1">
      <alignment horizontal="center" vertical="top"/>
    </xf>
    <xf numFmtId="164" fontId="59" fillId="0" borderId="11" xfId="0" applyNumberFormat="1" applyFont="1" applyFill="1" applyBorder="1" applyAlignment="1">
      <alignment horizontal="center" vertical="top"/>
    </xf>
    <xf numFmtId="0" fontId="59" fillId="0" borderId="36" xfId="0" applyFont="1" applyFill="1" applyBorder="1" applyAlignment="1">
      <alignment horizontal="right" vertical="top" wrapText="1"/>
    </xf>
    <xf numFmtId="164" fontId="59" fillId="44" borderId="44" xfId="0" applyNumberFormat="1" applyFont="1" applyFill="1" applyBorder="1" applyAlignment="1">
      <alignment horizontal="center" vertical="top"/>
    </xf>
    <xf numFmtId="164" fontId="59" fillId="44" borderId="22" xfId="0" applyNumberFormat="1" applyFont="1" applyFill="1" applyBorder="1" applyAlignment="1">
      <alignment horizontal="center" vertical="top"/>
    </xf>
    <xf numFmtId="164" fontId="59" fillId="44" borderId="1" xfId="0" applyNumberFormat="1" applyFont="1" applyFill="1" applyBorder="1" applyAlignment="1">
      <alignment horizontal="center" vertical="top"/>
    </xf>
    <xf numFmtId="2" fontId="5" fillId="46" borderId="44" xfId="0" applyNumberFormat="1" applyFont="1" applyFill="1" applyBorder="1" applyAlignment="1">
      <alignment horizontal="center" vertical="top"/>
    </xf>
    <xf numFmtId="164" fontId="7" fillId="0" borderId="0" xfId="0" applyNumberFormat="1" applyFont="1" applyAlignment="1">
      <alignment vertical="top"/>
    </xf>
    <xf numFmtId="0" fontId="7" fillId="0" borderId="1" xfId="0" applyFont="1" applyFill="1" applyBorder="1" applyAlignment="1">
      <alignment vertical="top"/>
    </xf>
    <xf numFmtId="0" fontId="55" fillId="0" borderId="35" xfId="0" applyFont="1" applyBorder="1" applyAlignment="1">
      <alignment horizontal="left" vertical="top" wrapText="1"/>
    </xf>
    <xf numFmtId="0" fontId="7" fillId="0" borderId="1" xfId="0" applyFont="1" applyBorder="1" applyAlignment="1">
      <alignment horizontal="center" vertical="top"/>
    </xf>
    <xf numFmtId="1" fontId="7" fillId="4" borderId="1" xfId="0" applyNumberFormat="1" applyFont="1" applyFill="1" applyBorder="1" applyAlignment="1">
      <alignment horizontal="center" vertical="top"/>
    </xf>
    <xf numFmtId="1" fontId="7" fillId="0" borderId="0" xfId="0" applyNumberFormat="1" applyFont="1" applyAlignment="1">
      <alignment horizontal="center" vertical="top"/>
    </xf>
    <xf numFmtId="9" fontId="7" fillId="0" borderId="1" xfId="0" applyNumberFormat="1" applyFont="1" applyBorder="1" applyAlignment="1">
      <alignment horizontal="center" vertical="top"/>
    </xf>
    <xf numFmtId="9" fontId="5" fillId="41" borderId="1" xfId="0" applyNumberFormat="1" applyFont="1" applyFill="1" applyBorder="1" applyAlignment="1">
      <alignment horizontal="center" vertical="top"/>
    </xf>
    <xf numFmtId="0" fontId="7" fillId="0" borderId="12" xfId="0" applyFont="1" applyBorder="1" applyAlignment="1">
      <alignment vertical="top"/>
    </xf>
    <xf numFmtId="1" fontId="7" fillId="0" borderId="12" xfId="0" applyNumberFormat="1" applyFont="1" applyBorder="1" applyAlignment="1">
      <alignment horizontal="center" vertical="top"/>
    </xf>
    <xf numFmtId="0" fontId="7" fillId="10" borderId="15" xfId="0" applyFont="1" applyFill="1" applyBorder="1" applyAlignment="1">
      <alignment vertical="top"/>
    </xf>
    <xf numFmtId="9" fontId="7" fillId="10" borderId="15" xfId="0" applyNumberFormat="1" applyFont="1" applyFill="1" applyBorder="1" applyAlignment="1">
      <alignment horizontal="center" vertical="top"/>
    </xf>
    <xf numFmtId="0" fontId="7" fillId="10" borderId="10" xfId="0" applyFont="1" applyFill="1" applyBorder="1" applyAlignment="1">
      <alignment vertical="top"/>
    </xf>
    <xf numFmtId="0" fontId="7" fillId="10" borderId="11" xfId="0" applyFont="1" applyFill="1" applyBorder="1" applyAlignment="1">
      <alignment horizontal="center" vertical="top"/>
    </xf>
    <xf numFmtId="0" fontId="7" fillId="0" borderId="10" xfId="0" applyFont="1" applyBorder="1" applyAlignment="1">
      <alignment vertical="top"/>
    </xf>
    <xf numFmtId="9" fontId="7" fillId="0" borderId="11" xfId="0" applyNumberFormat="1" applyFont="1" applyBorder="1" applyAlignment="1">
      <alignment horizontal="center" vertical="top"/>
    </xf>
    <xf numFmtId="0" fontId="5" fillId="0" borderId="10" xfId="0" applyFont="1" applyBorder="1" applyAlignment="1">
      <alignment vertical="top"/>
    </xf>
    <xf numFmtId="9" fontId="5" fillId="41" borderId="11" xfId="0" applyNumberFormat="1" applyFont="1" applyFill="1" applyBorder="1" applyAlignment="1">
      <alignment horizontal="center" vertical="top"/>
    </xf>
    <xf numFmtId="0" fontId="7" fillId="0" borderId="19" xfId="0" applyFont="1" applyBorder="1" applyAlignment="1">
      <alignment vertical="top"/>
    </xf>
    <xf numFmtId="9" fontId="7" fillId="0" borderId="22" xfId="0" applyNumberFormat="1" applyFont="1" applyBorder="1" applyAlignment="1">
      <alignment horizontal="center" vertical="top"/>
    </xf>
    <xf numFmtId="9" fontId="7" fillId="0" borderId="23" xfId="0" applyNumberFormat="1" applyFont="1" applyBorder="1" applyAlignment="1">
      <alignment horizontal="center" vertical="top"/>
    </xf>
    <xf numFmtId="0" fontId="8" fillId="0" borderId="35" xfId="0" applyFont="1" applyBorder="1" applyAlignment="1">
      <alignment horizontal="left" vertical="top"/>
    </xf>
    <xf numFmtId="0" fontId="2" fillId="0" borderId="0" xfId="0" applyFont="1" applyFill="1" applyBorder="1" applyAlignment="1">
      <alignment horizontal="right" vertical="top"/>
    </xf>
    <xf numFmtId="164" fontId="7" fillId="0" borderId="17" xfId="0" applyNumberFormat="1" applyFont="1" applyBorder="1" applyAlignment="1">
      <alignment horizontal="center" vertical="top"/>
    </xf>
    <xf numFmtId="164" fontId="7" fillId="45" borderId="12" xfId="0" applyNumberFormat="1" applyFont="1" applyFill="1" applyBorder="1" applyAlignment="1">
      <alignment horizontal="center" vertical="top"/>
    </xf>
    <xf numFmtId="164" fontId="7" fillId="0" borderId="18" xfId="0" applyNumberFormat="1" applyFont="1" applyBorder="1" applyAlignment="1">
      <alignment horizontal="center" vertical="top"/>
    </xf>
    <xf numFmtId="164" fontId="7" fillId="0" borderId="29" xfId="0" applyNumberFormat="1" applyFont="1" applyBorder="1" applyAlignment="1">
      <alignment horizontal="center" vertical="top"/>
    </xf>
    <xf numFmtId="164" fontId="7" fillId="44" borderId="15" xfId="0" applyNumberFormat="1" applyFont="1" applyFill="1" applyBorder="1" applyAlignment="1">
      <alignment horizontal="center" vertical="top"/>
    </xf>
    <xf numFmtId="164" fontId="7" fillId="0" borderId="30" xfId="0" applyNumberFormat="1" applyFont="1" applyBorder="1" applyAlignment="1">
      <alignment horizontal="center" vertical="top"/>
    </xf>
    <xf numFmtId="2" fontId="7" fillId="46" borderId="12" xfId="0" applyNumberFormat="1" applyFont="1" applyFill="1" applyBorder="1" applyAlignment="1">
      <alignment horizontal="center" vertical="top"/>
    </xf>
    <xf numFmtId="164" fontId="7" fillId="46" borderId="15" xfId="0" applyNumberFormat="1" applyFont="1" applyFill="1" applyBorder="1" applyAlignment="1">
      <alignment horizontal="center" vertical="top"/>
    </xf>
    <xf numFmtId="164" fontId="7" fillId="46" borderId="12" xfId="0" applyNumberFormat="1" applyFont="1" applyFill="1" applyBorder="1" applyAlignment="1">
      <alignment horizontal="center" vertical="top"/>
    </xf>
    <xf numFmtId="164" fontId="7" fillId="45" borderId="15" xfId="0" applyNumberFormat="1" applyFont="1" applyFill="1" applyBorder="1" applyAlignment="1">
      <alignment horizontal="center" vertical="top"/>
    </xf>
    <xf numFmtId="164" fontId="7" fillId="0" borderId="46" xfId="0" applyNumberFormat="1" applyFont="1" applyBorder="1" applyAlignment="1">
      <alignment horizontal="center" vertical="top"/>
    </xf>
    <xf numFmtId="164" fontId="7" fillId="0" borderId="64" xfId="0" applyNumberFormat="1" applyFont="1" applyBorder="1" applyAlignment="1">
      <alignment horizontal="center" vertical="top"/>
    </xf>
    <xf numFmtId="164" fontId="7" fillId="0" borderId="45" xfId="0" applyNumberFormat="1" applyFont="1" applyBorder="1" applyAlignment="1">
      <alignment horizontal="center" vertical="top"/>
    </xf>
    <xf numFmtId="164" fontId="7" fillId="0" borderId="65" xfId="0" applyNumberFormat="1" applyFont="1" applyBorder="1" applyAlignment="1">
      <alignment horizontal="center" vertical="top"/>
    </xf>
    <xf numFmtId="2" fontId="7" fillId="0" borderId="46" xfId="0" applyNumberFormat="1" applyFont="1" applyBorder="1" applyAlignment="1">
      <alignment horizontal="center" vertical="top"/>
    </xf>
    <xf numFmtId="2" fontId="7" fillId="0" borderId="64" xfId="0" applyNumberFormat="1" applyFont="1" applyBorder="1" applyAlignment="1">
      <alignment horizontal="center" vertical="top"/>
    </xf>
    <xf numFmtId="167" fontId="7" fillId="0" borderId="4" xfId="0" applyNumberFormat="1" applyFont="1" applyFill="1" applyBorder="1" applyAlignment="1">
      <alignment horizontal="center" vertical="top"/>
    </xf>
    <xf numFmtId="9" fontId="5" fillId="2" borderId="1" xfId="0" applyNumberFormat="1" applyFont="1" applyFill="1" applyBorder="1" applyAlignment="1">
      <alignment horizontal="center" vertical="top"/>
    </xf>
    <xf numFmtId="0" fontId="8" fillId="0" borderId="1" xfId="0" applyFont="1" applyBorder="1" applyAlignment="1">
      <alignment horizontal="center" vertical="center"/>
    </xf>
    <xf numFmtId="0" fontId="3" fillId="0" borderId="0" xfId="0" applyFont="1" applyAlignment="1">
      <alignment horizontal="left" vertical="top" wrapText="1"/>
    </xf>
    <xf numFmtId="0" fontId="0" fillId="0" borderId="0" xfId="0" applyAlignment="1">
      <alignment horizontal="left" vertical="top" wrapText="1"/>
    </xf>
    <xf numFmtId="0" fontId="69" fillId="43" borderId="1" xfId="0" applyFont="1" applyFill="1" applyBorder="1" applyAlignment="1">
      <alignment horizontal="left" vertical="top" wrapText="1"/>
    </xf>
    <xf numFmtId="0" fontId="69" fillId="33" borderId="1" xfId="0" applyFont="1" applyFill="1" applyBorder="1" applyAlignment="1">
      <alignment horizontal="left" vertical="top" wrapText="1"/>
    </xf>
    <xf numFmtId="0" fontId="0" fillId="0" borderId="0" xfId="0" applyFill="1" applyBorder="1" applyAlignment="1">
      <alignment horizontal="left" vertical="top" wrapText="1"/>
    </xf>
    <xf numFmtId="0" fontId="45" fillId="2" borderId="1" xfId="0" applyFont="1" applyFill="1" applyBorder="1" applyAlignment="1">
      <alignment horizontal="center" vertical="top" wrapText="1"/>
    </xf>
    <xf numFmtId="0" fontId="46" fillId="2" borderId="1" xfId="0" applyFont="1" applyFill="1" applyBorder="1" applyAlignment="1">
      <alignment horizontal="center" vertical="top" wrapText="1"/>
    </xf>
    <xf numFmtId="0" fontId="43" fillId="10" borderId="0" xfId="0" applyFont="1" applyFill="1" applyAlignment="1">
      <alignment horizontal="left" vertical="top"/>
    </xf>
    <xf numFmtId="0" fontId="44" fillId="15" borderId="0" xfId="0" applyFont="1" applyFill="1" applyBorder="1" applyAlignment="1">
      <alignment horizontal="left" vertical="top" wrapText="1"/>
    </xf>
    <xf numFmtId="0" fontId="46" fillId="3" borderId="1" xfId="0" applyFont="1" applyFill="1" applyBorder="1" applyAlignment="1">
      <alignment horizontal="center" vertical="top" wrapText="1"/>
    </xf>
    <xf numFmtId="0" fontId="43" fillId="4" borderId="0" xfId="0" applyFont="1" applyFill="1" applyAlignment="1">
      <alignment horizontal="left" vertical="top" wrapText="1"/>
    </xf>
    <xf numFmtId="0" fontId="44" fillId="15" borderId="0" xfId="0" applyFont="1" applyFill="1" applyAlignment="1">
      <alignment horizontal="left" vertical="top" wrapText="1"/>
    </xf>
    <xf numFmtId="0" fontId="29" fillId="2" borderId="1" xfId="0" applyFont="1" applyFill="1" applyBorder="1" applyAlignment="1">
      <alignment horizontal="center" vertical="top" wrapText="1"/>
    </xf>
    <xf numFmtId="0" fontId="29" fillId="2" borderId="11" xfId="0" applyFont="1" applyFill="1" applyBorder="1" applyAlignment="1">
      <alignment horizontal="center" vertical="top" wrapText="1"/>
    </xf>
    <xf numFmtId="0" fontId="29" fillId="12" borderId="4" xfId="0" applyFont="1" applyFill="1" applyBorder="1" applyAlignment="1">
      <alignment horizontal="center" vertical="top" wrapText="1"/>
    </xf>
    <xf numFmtId="0" fontId="29" fillId="12" borderId="7" xfId="0" applyFont="1" applyFill="1" applyBorder="1" applyAlignment="1">
      <alignment horizontal="center" vertical="top" wrapText="1"/>
    </xf>
    <xf numFmtId="0" fontId="29" fillId="12" borderId="8" xfId="0" applyFont="1" applyFill="1" applyBorder="1" applyAlignment="1">
      <alignment horizontal="center" vertical="top" wrapText="1"/>
    </xf>
    <xf numFmtId="0" fontId="30" fillId="0" borderId="0" xfId="0" applyFont="1" applyAlignment="1">
      <alignment horizontal="center" vertical="top" wrapText="1"/>
    </xf>
    <xf numFmtId="0" fontId="30" fillId="0" borderId="0" xfId="0" applyFont="1" applyBorder="1" applyAlignment="1">
      <alignment horizontal="center" vertical="top" wrapText="1"/>
    </xf>
    <xf numFmtId="0" fontId="29" fillId="2" borderId="4"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8" xfId="0" applyFont="1" applyFill="1" applyBorder="1" applyAlignment="1">
      <alignment horizontal="center" vertical="top" wrapText="1"/>
    </xf>
    <xf numFmtId="0" fontId="31" fillId="12" borderId="24" xfId="0" applyFont="1" applyFill="1" applyBorder="1" applyAlignment="1">
      <alignment horizontal="center" vertical="top"/>
    </xf>
    <xf numFmtId="0" fontId="31" fillId="12" borderId="25" xfId="0" applyFont="1" applyFill="1" applyBorder="1" applyAlignment="1">
      <alignment horizontal="center" vertical="top"/>
    </xf>
    <xf numFmtId="0" fontId="31" fillId="12" borderId="26" xfId="0" applyFont="1" applyFill="1" applyBorder="1" applyAlignment="1">
      <alignment horizontal="center" vertical="top"/>
    </xf>
    <xf numFmtId="0" fontId="32" fillId="2" borderId="12" xfId="0" applyFont="1" applyFill="1" applyBorder="1" applyAlignment="1">
      <alignment horizontal="center" vertical="top" wrapText="1"/>
    </xf>
    <xf numFmtId="0" fontId="32" fillId="2" borderId="15" xfId="0" applyFont="1" applyFill="1" applyBorder="1" applyAlignment="1">
      <alignment horizontal="center" vertical="top" wrapText="1"/>
    </xf>
    <xf numFmtId="0" fontId="32" fillId="2" borderId="16" xfId="0" applyFont="1" applyFill="1" applyBorder="1" applyAlignment="1">
      <alignment horizontal="center" vertical="top" wrapText="1"/>
    </xf>
    <xf numFmtId="0" fontId="32" fillId="2" borderId="54" xfId="0" applyFont="1" applyFill="1" applyBorder="1" applyAlignment="1">
      <alignment horizontal="center" vertical="top" wrapText="1"/>
    </xf>
    <xf numFmtId="0" fontId="29" fillId="2" borderId="10" xfId="0" applyFont="1" applyFill="1" applyBorder="1" applyAlignment="1">
      <alignment horizontal="center" vertical="top" wrapText="1"/>
    </xf>
    <xf numFmtId="0" fontId="28" fillId="19" borderId="1" xfId="0" applyFont="1" applyFill="1" applyBorder="1" applyAlignment="1">
      <alignment horizontal="center" vertical="top"/>
    </xf>
    <xf numFmtId="0" fontId="28" fillId="0" borderId="12" xfId="0" applyFont="1" applyBorder="1" applyAlignment="1">
      <alignment horizontal="center" vertical="top"/>
    </xf>
    <xf numFmtId="0" fontId="28" fillId="0" borderId="14" xfId="0" applyFont="1" applyBorder="1" applyAlignment="1">
      <alignment horizontal="center" vertical="top"/>
    </xf>
    <xf numFmtId="0" fontId="28" fillId="0" borderId="15" xfId="0" applyFont="1" applyBorder="1" applyAlignment="1">
      <alignment horizontal="center" vertical="top"/>
    </xf>
    <xf numFmtId="0" fontId="28" fillId="7" borderId="1" xfId="0" applyFont="1" applyFill="1" applyBorder="1" applyAlignment="1">
      <alignment horizontal="center" vertical="top" wrapText="1"/>
    </xf>
    <xf numFmtId="0" fontId="34" fillId="0" borderId="12" xfId="0" applyFont="1" applyFill="1" applyBorder="1" applyAlignment="1">
      <alignment horizontal="center" vertical="top"/>
    </xf>
    <xf numFmtId="0" fontId="34" fillId="0" borderId="14" xfId="0" applyFont="1" applyFill="1" applyBorder="1" applyAlignment="1">
      <alignment horizontal="center" vertical="top"/>
    </xf>
    <xf numFmtId="0" fontId="34" fillId="0" borderId="15" xfId="0" applyFont="1" applyFill="1" applyBorder="1" applyAlignment="1">
      <alignment horizontal="center" vertical="top"/>
    </xf>
    <xf numFmtId="0" fontId="34" fillId="0" borderId="12" xfId="0" applyFont="1" applyFill="1" applyBorder="1" applyAlignment="1">
      <alignment horizontal="left" vertical="top" wrapText="1"/>
    </xf>
    <xf numFmtId="0" fontId="34" fillId="0" borderId="14" xfId="0" applyFont="1" applyFill="1" applyBorder="1" applyAlignment="1">
      <alignment horizontal="left" vertical="top" wrapText="1"/>
    </xf>
    <xf numFmtId="0" fontId="34" fillId="0" borderId="15" xfId="0" applyFont="1" applyFill="1" applyBorder="1" applyAlignment="1">
      <alignment horizontal="left" vertical="top" wrapText="1"/>
    </xf>
    <xf numFmtId="165" fontId="34" fillId="0" borderId="12" xfId="0" applyNumberFormat="1" applyFont="1" applyFill="1" applyBorder="1" applyAlignment="1">
      <alignment horizontal="center" vertical="top"/>
    </xf>
    <xf numFmtId="165" fontId="34" fillId="0" borderId="14" xfId="0" applyNumberFormat="1" applyFont="1" applyFill="1" applyBorder="1" applyAlignment="1">
      <alignment horizontal="center" vertical="top"/>
    </xf>
    <xf numFmtId="165" fontId="34" fillId="0" borderId="15" xfId="0" applyNumberFormat="1" applyFont="1" applyFill="1" applyBorder="1" applyAlignment="1">
      <alignment horizontal="center" vertical="top"/>
    </xf>
    <xf numFmtId="0" fontId="28" fillId="17" borderId="10" xfId="0" applyFont="1" applyFill="1" applyBorder="1" applyAlignment="1">
      <alignment horizontal="center" vertical="top"/>
    </xf>
    <xf numFmtId="2" fontId="29" fillId="0" borderId="12" xfId="0" applyNumberFormat="1" applyFont="1" applyBorder="1" applyAlignment="1">
      <alignment horizontal="center" vertical="top"/>
    </xf>
    <xf numFmtId="2" fontId="29" fillId="0" borderId="14" xfId="0" applyNumberFormat="1" applyFont="1" applyBorder="1" applyAlignment="1">
      <alignment horizontal="center" vertical="top"/>
    </xf>
    <xf numFmtId="2" fontId="29" fillId="0" borderId="15" xfId="0" applyNumberFormat="1" applyFont="1" applyBorder="1" applyAlignment="1">
      <alignment horizontal="center" vertical="top"/>
    </xf>
    <xf numFmtId="2" fontId="28" fillId="0" borderId="18" xfId="0" applyNumberFormat="1" applyFont="1" applyBorder="1" applyAlignment="1">
      <alignment horizontal="center" vertical="top"/>
    </xf>
    <xf numFmtId="2" fontId="28" fillId="0" borderId="28" xfId="0" applyNumberFormat="1" applyFont="1" applyBorder="1" applyAlignment="1">
      <alignment horizontal="center" vertical="top"/>
    </xf>
    <xf numFmtId="2" fontId="28" fillId="0" borderId="30" xfId="0" applyNumberFormat="1" applyFont="1" applyBorder="1" applyAlignment="1">
      <alignment horizontal="center" vertical="top"/>
    </xf>
    <xf numFmtId="0" fontId="28" fillId="0" borderId="12" xfId="0" applyFont="1" applyFill="1" applyBorder="1" applyAlignment="1">
      <alignment horizontal="left" vertical="top" wrapText="1"/>
    </xf>
    <xf numFmtId="0" fontId="28" fillId="0" borderId="14" xfId="0" applyFont="1" applyFill="1" applyBorder="1" applyAlignment="1">
      <alignment horizontal="left" vertical="top" wrapText="1"/>
    </xf>
    <xf numFmtId="0" fontId="28" fillId="0" borderId="15" xfId="0" applyFont="1" applyFill="1" applyBorder="1" applyAlignment="1">
      <alignment horizontal="left" vertical="top" wrapText="1"/>
    </xf>
    <xf numFmtId="2" fontId="28" fillId="0" borderId="17" xfId="0" applyNumberFormat="1" applyFont="1" applyBorder="1" applyAlignment="1">
      <alignment horizontal="center" vertical="top"/>
    </xf>
    <xf numFmtId="2" fontId="28" fillId="0" borderId="27" xfId="0" applyNumberFormat="1" applyFont="1" applyBorder="1" applyAlignment="1">
      <alignment horizontal="center" vertical="top"/>
    </xf>
    <xf numFmtId="2" fontId="28" fillId="0" borderId="29" xfId="0" applyNumberFormat="1" applyFont="1" applyBorder="1" applyAlignment="1">
      <alignment horizontal="center" vertical="top"/>
    </xf>
    <xf numFmtId="0" fontId="28" fillId="0" borderId="18" xfId="0" applyFont="1" applyBorder="1" applyAlignment="1">
      <alignment horizontal="center" vertical="top"/>
    </xf>
    <xf numFmtId="0" fontId="28" fillId="0" borderId="28" xfId="0" applyFont="1" applyBorder="1" applyAlignment="1">
      <alignment horizontal="center" vertical="top"/>
    </xf>
    <xf numFmtId="0" fontId="28" fillId="0" borderId="30" xfId="0" applyFont="1" applyBorder="1" applyAlignment="1">
      <alignment horizontal="center" vertical="top"/>
    </xf>
    <xf numFmtId="164" fontId="30" fillId="0" borderId="0" xfId="0" applyNumberFormat="1" applyFont="1" applyFill="1" applyAlignment="1">
      <alignment horizontal="center" vertical="top" wrapText="1"/>
    </xf>
    <xf numFmtId="9" fontId="34" fillId="0" borderId="12" xfId="0" applyNumberFormat="1" applyFont="1" applyFill="1" applyBorder="1" applyAlignment="1">
      <alignment horizontal="center" vertical="top"/>
    </xf>
    <xf numFmtId="9" fontId="34" fillId="0" borderId="15" xfId="0" applyNumberFormat="1" applyFont="1" applyFill="1" applyBorder="1" applyAlignment="1">
      <alignment horizontal="center" vertical="top"/>
    </xf>
    <xf numFmtId="0" fontId="28" fillId="21" borderId="1" xfId="0" applyFont="1" applyFill="1" applyBorder="1" applyAlignment="1">
      <alignment horizontal="center" vertical="top"/>
    </xf>
    <xf numFmtId="0" fontId="28" fillId="18" borderId="10" xfId="0" applyFont="1" applyFill="1" applyBorder="1" applyAlignment="1">
      <alignment horizontal="center" vertical="top"/>
    </xf>
    <xf numFmtId="0" fontId="28" fillId="18" borderId="1" xfId="0" applyFont="1" applyFill="1" applyBorder="1" applyAlignment="1">
      <alignment horizontal="center" vertical="top"/>
    </xf>
    <xf numFmtId="0" fontId="28" fillId="21" borderId="10" xfId="0" applyFont="1" applyFill="1" applyBorder="1" applyAlignment="1">
      <alignment horizontal="center" vertical="top"/>
    </xf>
    <xf numFmtId="0" fontId="36" fillId="0" borderId="12" xfId="0" applyFont="1" applyBorder="1" applyAlignment="1">
      <alignment horizontal="center" vertical="top"/>
    </xf>
    <xf numFmtId="0" fontId="36" fillId="0" borderId="15" xfId="0" applyFont="1" applyBorder="1" applyAlignment="1">
      <alignment horizontal="center" vertical="top"/>
    </xf>
    <xf numFmtId="0" fontId="36" fillId="0" borderId="18" xfId="0" applyFont="1" applyBorder="1" applyAlignment="1">
      <alignment horizontal="center" vertical="top"/>
    </xf>
    <xf numFmtId="0" fontId="36" fillId="0" borderId="30" xfId="0" applyFont="1" applyBorder="1" applyAlignment="1">
      <alignment horizontal="center" vertical="top"/>
    </xf>
    <xf numFmtId="0" fontId="28" fillId="20" borderId="1" xfId="0" applyFont="1" applyFill="1" applyBorder="1" applyAlignment="1">
      <alignment horizontal="center" vertical="top"/>
    </xf>
    <xf numFmtId="0" fontId="28" fillId="17" borderId="1" xfId="0" applyFont="1" applyFill="1" applyBorder="1" applyAlignment="1">
      <alignment horizontal="center" vertical="top"/>
    </xf>
    <xf numFmtId="0" fontId="28" fillId="23" borderId="1" xfId="0" applyFont="1" applyFill="1" applyBorder="1" applyAlignment="1">
      <alignment horizontal="center" vertical="top" wrapText="1"/>
    </xf>
    <xf numFmtId="0" fontId="34" fillId="0" borderId="1" xfId="0" applyFont="1" applyFill="1" applyBorder="1" applyAlignment="1">
      <alignment horizontal="center" vertical="top"/>
    </xf>
    <xf numFmtId="0" fontId="34" fillId="0" borderId="1" xfId="0" applyFont="1" applyFill="1" applyBorder="1" applyAlignment="1">
      <alignment horizontal="left" vertical="top"/>
    </xf>
    <xf numFmtId="165" fontId="34" fillId="0" borderId="1" xfId="0" applyNumberFormat="1" applyFont="1" applyFill="1" applyBorder="1" applyAlignment="1">
      <alignment horizontal="center" vertical="top"/>
    </xf>
    <xf numFmtId="0" fontId="28" fillId="3" borderId="1" xfId="0" applyFont="1" applyFill="1" applyBorder="1" applyAlignment="1">
      <alignment horizontal="center" vertical="top" wrapText="1"/>
    </xf>
    <xf numFmtId="0" fontId="34" fillId="0" borderId="12" xfId="0" applyFont="1" applyFill="1" applyBorder="1" applyAlignment="1">
      <alignment horizontal="left" vertical="top"/>
    </xf>
    <xf numFmtId="0" fontId="34" fillId="0" borderId="15" xfId="0" applyFont="1" applyFill="1" applyBorder="1" applyAlignment="1">
      <alignment horizontal="left" vertical="top"/>
    </xf>
    <xf numFmtId="0" fontId="34" fillId="17" borderId="10" xfId="0" applyFont="1" applyFill="1" applyBorder="1" applyAlignment="1">
      <alignment horizontal="center" vertical="top"/>
    </xf>
    <xf numFmtId="0" fontId="28" fillId="24" borderId="1" xfId="0" applyFont="1" applyFill="1" applyBorder="1" applyAlignment="1">
      <alignment horizontal="center" vertical="top" wrapText="1"/>
    </xf>
    <xf numFmtId="164" fontId="30" fillId="0" borderId="0" xfId="0" applyNumberFormat="1" applyFont="1" applyAlignment="1">
      <alignment horizontal="center" vertical="top"/>
    </xf>
    <xf numFmtId="0" fontId="28" fillId="0" borderId="12" xfId="0" applyFont="1" applyFill="1" applyBorder="1" applyAlignment="1">
      <alignment horizontal="center" vertical="top"/>
    </xf>
    <xf numFmtId="0" fontId="28" fillId="0" borderId="14" xfId="0" applyFont="1" applyFill="1" applyBorder="1" applyAlignment="1">
      <alignment horizontal="center" vertical="top"/>
    </xf>
    <xf numFmtId="0" fontId="28" fillId="0" borderId="15" xfId="0" applyFont="1" applyFill="1" applyBorder="1" applyAlignment="1">
      <alignment horizontal="center" vertical="top"/>
    </xf>
    <xf numFmtId="0" fontId="33" fillId="2"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21" borderId="1" xfId="0" applyFont="1" applyFill="1" applyBorder="1" applyAlignment="1">
      <alignment horizontal="center" vertical="center" wrapText="1"/>
    </xf>
    <xf numFmtId="0" fontId="33" fillId="19" borderId="1" xfId="0" applyFont="1" applyFill="1" applyBorder="1" applyAlignment="1">
      <alignment horizontal="center" vertical="center" wrapText="1"/>
    </xf>
    <xf numFmtId="0" fontId="33" fillId="18" borderId="1" xfId="0" applyFont="1" applyFill="1" applyBorder="1" applyAlignment="1">
      <alignment horizontal="center" vertical="center" wrapText="1"/>
    </xf>
    <xf numFmtId="0" fontId="33" fillId="17" borderId="1" xfId="0" applyFont="1" applyFill="1" applyBorder="1" applyAlignment="1">
      <alignment horizontal="center" vertical="center" wrapText="1"/>
    </xf>
    <xf numFmtId="0" fontId="35" fillId="0" borderId="1" xfId="0" applyFont="1" applyBorder="1" applyAlignment="1">
      <alignment horizontal="left" vertical="center" wrapText="1"/>
    </xf>
    <xf numFmtId="0" fontId="35" fillId="21" borderId="1" xfId="0" applyFont="1" applyFill="1" applyBorder="1" applyAlignment="1">
      <alignment horizontal="left" vertical="center" wrapText="1"/>
    </xf>
    <xf numFmtId="0" fontId="35" fillId="19" borderId="1" xfId="0" applyFont="1" applyFill="1" applyBorder="1" applyAlignment="1">
      <alignment horizontal="left" vertical="center" wrapText="1"/>
    </xf>
    <xf numFmtId="0" fontId="35" fillId="18" borderId="1" xfId="0" applyFont="1" applyFill="1" applyBorder="1" applyAlignment="1">
      <alignment horizontal="left" vertical="center" wrapText="1"/>
    </xf>
    <xf numFmtId="0" fontId="35" fillId="17" borderId="1" xfId="0" applyFont="1" applyFill="1" applyBorder="1" applyAlignment="1">
      <alignment horizontal="left" vertical="center" wrapText="1"/>
    </xf>
    <xf numFmtId="0" fontId="33" fillId="2" borderId="9" xfId="0" applyFont="1" applyFill="1" applyBorder="1" applyAlignment="1">
      <alignment horizontal="center" vertical="center" wrapText="1"/>
    </xf>
    <xf numFmtId="0" fontId="33" fillId="2" borderId="33"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14" fillId="0" borderId="3" xfId="0" applyFont="1" applyBorder="1" applyAlignment="1">
      <alignment horizontal="left" vertical="top" wrapText="1"/>
    </xf>
    <xf numFmtId="0" fontId="14" fillId="0" borderId="13" xfId="0" applyFont="1" applyBorder="1" applyAlignment="1">
      <alignment horizontal="left" vertical="top" wrapText="1"/>
    </xf>
    <xf numFmtId="0" fontId="14" fillId="0" borderId="12" xfId="0" applyFont="1" applyBorder="1" applyAlignment="1">
      <alignment horizontal="left"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2" fontId="35" fillId="4" borderId="1" xfId="0" applyNumberFormat="1" applyFont="1" applyFill="1" applyBorder="1" applyAlignment="1">
      <alignment horizontal="center" vertical="top"/>
    </xf>
    <xf numFmtId="0" fontId="35" fillId="4" borderId="9" xfId="0" applyFont="1" applyFill="1" applyBorder="1" applyAlignment="1">
      <alignment horizontal="center" vertical="top"/>
    </xf>
    <xf numFmtId="0" fontId="35" fillId="4" borderId="33" xfId="0" applyFont="1" applyFill="1" applyBorder="1" applyAlignment="1">
      <alignment horizontal="center" vertical="top"/>
    </xf>
    <xf numFmtId="0" fontId="35" fillId="4" borderId="2" xfId="0" applyFont="1" applyFill="1" applyBorder="1" applyAlignment="1">
      <alignment horizontal="center" vertical="top"/>
    </xf>
    <xf numFmtId="10" fontId="35" fillId="0" borderId="9" xfId="0" applyNumberFormat="1" applyFont="1" applyBorder="1" applyAlignment="1">
      <alignment horizontal="center" vertical="top" wrapText="1"/>
    </xf>
    <xf numFmtId="10" fontId="35" fillId="0" borderId="33" xfId="0" applyNumberFormat="1" applyFont="1" applyBorder="1" applyAlignment="1">
      <alignment horizontal="center" vertical="top" wrapText="1"/>
    </xf>
    <xf numFmtId="10" fontId="35" fillId="0" borderId="2" xfId="0" applyNumberFormat="1" applyFont="1" applyBorder="1" applyAlignment="1">
      <alignment horizontal="center" vertical="top" wrapText="1"/>
    </xf>
    <xf numFmtId="164" fontId="35" fillId="4" borderId="9" xfId="0" applyNumberFormat="1" applyFont="1" applyFill="1" applyBorder="1" applyAlignment="1">
      <alignment horizontal="center" vertical="top"/>
    </xf>
    <xf numFmtId="164" fontId="35" fillId="4" borderId="33" xfId="0" applyNumberFormat="1" applyFont="1" applyFill="1" applyBorder="1" applyAlignment="1">
      <alignment horizontal="center" vertical="top"/>
    </xf>
    <xf numFmtId="164" fontId="35" fillId="4" borderId="2" xfId="0" applyNumberFormat="1" applyFont="1" applyFill="1" applyBorder="1" applyAlignment="1">
      <alignment horizontal="center" vertical="top"/>
    </xf>
    <xf numFmtId="2" fontId="35" fillId="4" borderId="9" xfId="0" applyNumberFormat="1" applyFont="1" applyFill="1" applyBorder="1" applyAlignment="1">
      <alignment horizontal="center" vertical="top"/>
    </xf>
    <xf numFmtId="2" fontId="35" fillId="4" borderId="33" xfId="0" applyNumberFormat="1" applyFont="1" applyFill="1" applyBorder="1" applyAlignment="1">
      <alignment horizontal="center" vertical="top"/>
    </xf>
    <xf numFmtId="2" fontId="35" fillId="4" borderId="2" xfId="0" applyNumberFormat="1" applyFont="1" applyFill="1" applyBorder="1" applyAlignment="1">
      <alignment horizontal="center" vertical="top"/>
    </xf>
    <xf numFmtId="0" fontId="35" fillId="4" borderId="1" xfId="0" applyFont="1" applyFill="1" applyBorder="1" applyAlignment="1">
      <alignment horizontal="center" vertical="top"/>
    </xf>
    <xf numFmtId="0" fontId="33" fillId="25" borderId="9" xfId="0" applyFont="1" applyFill="1" applyBorder="1" applyAlignment="1">
      <alignment horizontal="left" vertical="top"/>
    </xf>
    <xf numFmtId="0" fontId="33" fillId="25" borderId="2" xfId="0" applyFont="1" applyFill="1" applyBorder="1" applyAlignment="1">
      <alignment horizontal="left" vertical="top"/>
    </xf>
    <xf numFmtId="0" fontId="35" fillId="28" borderId="1" xfId="0" applyFont="1" applyFill="1" applyBorder="1" applyAlignment="1">
      <alignment horizontal="center" vertical="top"/>
    </xf>
    <xf numFmtId="0" fontId="35" fillId="28" borderId="9" xfId="0" applyFont="1" applyFill="1" applyBorder="1" applyAlignment="1">
      <alignment horizontal="center" vertical="top"/>
    </xf>
    <xf numFmtId="0" fontId="35" fillId="28" borderId="33" xfId="0" applyFont="1" applyFill="1" applyBorder="1" applyAlignment="1">
      <alignment horizontal="center" vertical="top"/>
    </xf>
    <xf numFmtId="0" fontId="35" fillId="28" borderId="2" xfId="0" applyFont="1" applyFill="1" applyBorder="1" applyAlignment="1">
      <alignment horizontal="center" vertical="top"/>
    </xf>
    <xf numFmtId="0" fontId="33" fillId="7" borderId="9" xfId="0" applyFont="1" applyFill="1" applyBorder="1" applyAlignment="1">
      <alignment horizontal="left" vertical="top"/>
    </xf>
    <xf numFmtId="0" fontId="33" fillId="7" borderId="33" xfId="0" applyFont="1" applyFill="1" applyBorder="1" applyAlignment="1">
      <alignment horizontal="left" vertical="top"/>
    </xf>
    <xf numFmtId="0" fontId="33" fillId="7" borderId="2" xfId="0" applyFont="1" applyFill="1" applyBorder="1" applyAlignment="1">
      <alignment horizontal="left" vertical="top"/>
    </xf>
    <xf numFmtId="0" fontId="33" fillId="23" borderId="9" xfId="0" applyFont="1" applyFill="1" applyBorder="1" applyAlignment="1">
      <alignment horizontal="left" vertical="top"/>
    </xf>
    <xf numFmtId="0" fontId="33" fillId="23" borderId="2" xfId="0" applyFont="1" applyFill="1" applyBorder="1" applyAlignment="1">
      <alignment horizontal="left" vertical="top"/>
    </xf>
    <xf numFmtId="0" fontId="33" fillId="27" borderId="9" xfId="0" applyFont="1" applyFill="1" applyBorder="1" applyAlignment="1">
      <alignment horizontal="left" vertical="top"/>
    </xf>
    <xf numFmtId="0" fontId="33" fillId="27" borderId="33" xfId="0" applyFont="1" applyFill="1" applyBorder="1" applyAlignment="1">
      <alignment horizontal="left" vertical="top"/>
    </xf>
    <xf numFmtId="0" fontId="33" fillId="27" borderId="2" xfId="0" applyFont="1" applyFill="1" applyBorder="1" applyAlignment="1">
      <alignment horizontal="left" vertical="top"/>
    </xf>
    <xf numFmtId="0" fontId="33" fillId="24" borderId="9" xfId="0" applyFont="1" applyFill="1" applyBorder="1" applyAlignment="1">
      <alignment horizontal="left" vertical="top"/>
    </xf>
    <xf numFmtId="0" fontId="33" fillId="24" borderId="33" xfId="0" applyFont="1" applyFill="1" applyBorder="1" applyAlignment="1">
      <alignment horizontal="left" vertical="top"/>
    </xf>
    <xf numFmtId="0" fontId="33" fillId="24" borderId="2" xfId="0" applyFont="1" applyFill="1" applyBorder="1" applyAlignment="1">
      <alignment horizontal="left" vertical="top"/>
    </xf>
    <xf numFmtId="0" fontId="35" fillId="28" borderId="9" xfId="0" applyFont="1" applyFill="1" applyBorder="1" applyAlignment="1">
      <alignment horizontal="center" vertical="top" wrapText="1"/>
    </xf>
    <xf numFmtId="0" fontId="35" fillId="28" borderId="2" xfId="0" applyFont="1" applyFill="1" applyBorder="1" applyAlignment="1">
      <alignment horizontal="center" vertical="top" wrapText="1"/>
    </xf>
    <xf numFmtId="0" fontId="35" fillId="28" borderId="33" xfId="0" applyFont="1" applyFill="1" applyBorder="1" applyAlignment="1">
      <alignment horizontal="center" vertical="top" wrapText="1"/>
    </xf>
    <xf numFmtId="10" fontId="35" fillId="28" borderId="9" xfId="0" applyNumberFormat="1" applyFont="1" applyFill="1" applyBorder="1" applyAlignment="1">
      <alignment horizontal="center" vertical="top" wrapText="1"/>
    </xf>
    <xf numFmtId="10" fontId="35" fillId="28" borderId="2" xfId="0" applyNumberFormat="1" applyFont="1" applyFill="1" applyBorder="1" applyAlignment="1">
      <alignment horizontal="center" vertical="top" wrapText="1"/>
    </xf>
    <xf numFmtId="10" fontId="35" fillId="28" borderId="33" xfId="0" applyNumberFormat="1" applyFont="1" applyFill="1" applyBorder="1" applyAlignment="1">
      <alignment horizontal="center" vertical="top" wrapText="1"/>
    </xf>
    <xf numFmtId="0" fontId="33" fillId="12" borderId="51" xfId="0" applyFont="1" applyFill="1" applyBorder="1" applyAlignment="1">
      <alignment horizontal="center" vertical="top" wrapText="1"/>
    </xf>
    <xf numFmtId="0" fontId="33" fillId="12" borderId="59" xfId="0" applyFont="1" applyFill="1" applyBorder="1" applyAlignment="1">
      <alignment horizontal="center" vertical="top" wrapText="1"/>
    </xf>
    <xf numFmtId="0" fontId="33" fillId="12" borderId="60" xfId="0" applyFont="1" applyFill="1" applyBorder="1" applyAlignment="1">
      <alignment horizontal="center" vertical="top" wrapText="1"/>
    </xf>
    <xf numFmtId="0" fontId="38" fillId="0" borderId="9" xfId="0" applyFont="1" applyBorder="1" applyAlignment="1">
      <alignment horizontal="center" vertical="top"/>
    </xf>
    <xf numFmtId="0" fontId="38" fillId="0" borderId="33" xfId="0" applyFont="1" applyBorder="1" applyAlignment="1">
      <alignment horizontal="center" vertical="top"/>
    </xf>
    <xf numFmtId="0" fontId="35" fillId="28" borderId="1" xfId="0" applyFont="1" applyFill="1" applyBorder="1" applyAlignment="1">
      <alignment horizontal="center" vertical="top" wrapText="1"/>
    </xf>
    <xf numFmtId="164" fontId="7" fillId="0" borderId="1" xfId="0" applyNumberFormat="1" applyFont="1" applyBorder="1" applyAlignment="1">
      <alignment horizontal="center" vertical="top"/>
    </xf>
    <xf numFmtId="0" fontId="5" fillId="15" borderId="4" xfId="0" applyFont="1" applyFill="1" applyBorder="1" applyAlignment="1">
      <alignment horizontal="center" vertical="top" wrapText="1"/>
    </xf>
    <xf numFmtId="0" fontId="5" fillId="15" borderId="7" xfId="0" applyFont="1" applyFill="1" applyBorder="1" applyAlignment="1">
      <alignment horizontal="center" vertical="top" wrapText="1"/>
    </xf>
    <xf numFmtId="0" fontId="5" fillId="15" borderId="8" xfId="0" applyFont="1" applyFill="1" applyBorder="1" applyAlignment="1">
      <alignment horizontal="center" vertical="top" wrapText="1"/>
    </xf>
    <xf numFmtId="0" fontId="5" fillId="15" borderId="6" xfId="0" applyFont="1" applyFill="1" applyBorder="1" applyAlignment="1">
      <alignment horizontal="center" vertical="top" wrapText="1"/>
    </xf>
    <xf numFmtId="0" fontId="5" fillId="15" borderId="5" xfId="0" applyFont="1" applyFill="1" applyBorder="1" applyAlignment="1">
      <alignment horizontal="center" vertical="top" wrapText="1"/>
    </xf>
    <xf numFmtId="0" fontId="5" fillId="40" borderId="6" xfId="0" applyFont="1" applyFill="1" applyBorder="1" applyAlignment="1">
      <alignment horizontal="center" vertical="top" wrapText="1"/>
    </xf>
    <xf numFmtId="0" fontId="5" fillId="40" borderId="7" xfId="0" applyFont="1" applyFill="1" applyBorder="1" applyAlignment="1">
      <alignment horizontal="center" vertical="top" wrapText="1"/>
    </xf>
    <xf numFmtId="0" fontId="5" fillId="40" borderId="8" xfId="0" applyFont="1" applyFill="1" applyBorder="1" applyAlignment="1">
      <alignment horizontal="center" vertical="top" wrapText="1"/>
    </xf>
    <xf numFmtId="0" fontId="5" fillId="38" borderId="6" xfId="0" applyFont="1" applyFill="1" applyBorder="1" applyAlignment="1">
      <alignment horizontal="center" vertical="top" wrapText="1"/>
    </xf>
    <xf numFmtId="0" fontId="5" fillId="38" borderId="7" xfId="0" applyFont="1" applyFill="1" applyBorder="1" applyAlignment="1">
      <alignment horizontal="center" vertical="top" wrapText="1"/>
    </xf>
    <xf numFmtId="0" fontId="5" fillId="38" borderId="8" xfId="0" applyFont="1" applyFill="1" applyBorder="1" applyAlignment="1">
      <alignment horizontal="center" vertical="top" wrapText="1"/>
    </xf>
    <xf numFmtId="0" fontId="5" fillId="46" borderId="9" xfId="0" applyFont="1" applyFill="1" applyBorder="1" applyAlignment="1">
      <alignment horizontal="left" vertical="top" wrapText="1"/>
    </xf>
    <xf numFmtId="0" fontId="5" fillId="4" borderId="46" xfId="0" applyFont="1" applyFill="1" applyBorder="1" applyAlignment="1">
      <alignment horizontal="left" vertical="top" wrapText="1"/>
    </xf>
    <xf numFmtId="0" fontId="5" fillId="4" borderId="45" xfId="0" applyFont="1" applyFill="1" applyBorder="1" applyAlignment="1">
      <alignment horizontal="left" vertical="top" wrapText="1"/>
    </xf>
    <xf numFmtId="0" fontId="5" fillId="10" borderId="4" xfId="0" applyFont="1" applyFill="1" applyBorder="1" applyAlignment="1">
      <alignment horizontal="center" vertical="top" wrapText="1"/>
    </xf>
    <xf numFmtId="0" fontId="5" fillId="10" borderId="7" xfId="0" applyFont="1" applyFill="1" applyBorder="1" applyAlignment="1">
      <alignment horizontal="center" vertical="top" wrapText="1"/>
    </xf>
    <xf numFmtId="0" fontId="5" fillId="10" borderId="5" xfId="0" applyFont="1" applyFill="1" applyBorder="1" applyAlignment="1">
      <alignment horizontal="center" vertical="top" wrapText="1"/>
    </xf>
    <xf numFmtId="0" fontId="8" fillId="45" borderId="9" xfId="0" applyFont="1" applyFill="1" applyBorder="1" applyAlignment="1">
      <alignment horizontal="left" vertical="top" wrapText="1"/>
    </xf>
    <xf numFmtId="0" fontId="5" fillId="10" borderId="8" xfId="0" applyFont="1" applyFill="1" applyBorder="1" applyAlignment="1">
      <alignment horizontal="center" vertical="top" wrapText="1"/>
    </xf>
    <xf numFmtId="0" fontId="5" fillId="10" borderId="6" xfId="0" applyFont="1" applyFill="1" applyBorder="1" applyAlignment="1">
      <alignment horizontal="center" vertical="top" wrapText="1"/>
    </xf>
    <xf numFmtId="0" fontId="55" fillId="0" borderId="0" xfId="0" applyFont="1" applyBorder="1" applyAlignment="1">
      <alignment horizontal="left" vertical="top" wrapText="1"/>
    </xf>
    <xf numFmtId="0" fontId="5" fillId="0" borderId="0" xfId="0" applyFont="1" applyAlignment="1">
      <alignment horizontal="left" vertical="top" wrapText="1"/>
    </xf>
    <xf numFmtId="0" fontId="5" fillId="37" borderId="40" xfId="0" applyFont="1" applyFill="1" applyBorder="1" applyAlignment="1">
      <alignment horizontal="left" vertical="top"/>
    </xf>
    <xf numFmtId="0" fontId="5" fillId="37" borderId="38" xfId="0" applyFont="1" applyFill="1" applyBorder="1" applyAlignment="1">
      <alignment horizontal="left" vertical="top"/>
    </xf>
    <xf numFmtId="0" fontId="5" fillId="37" borderId="63" xfId="0" applyFont="1" applyFill="1" applyBorder="1" applyAlignment="1">
      <alignment horizontal="left" vertical="top"/>
    </xf>
    <xf numFmtId="0" fontId="5" fillId="37" borderId="1" xfId="0" applyFont="1" applyFill="1" applyBorder="1" applyAlignment="1">
      <alignment horizontal="left" vertical="top"/>
    </xf>
    <xf numFmtId="0" fontId="5" fillId="37" borderId="1" xfId="0" applyFont="1" applyFill="1" applyBorder="1" applyAlignment="1">
      <alignment horizontal="left" vertical="top" wrapText="1"/>
    </xf>
    <xf numFmtId="0" fontId="7" fillId="0" borderId="1" xfId="0" applyFont="1" applyBorder="1" applyAlignment="1">
      <alignment horizontal="center" vertical="top"/>
    </xf>
    <xf numFmtId="0" fontId="5" fillId="37" borderId="9" xfId="0" applyFont="1" applyFill="1" applyBorder="1" applyAlignment="1">
      <alignment horizontal="left" vertical="top"/>
    </xf>
    <xf numFmtId="0" fontId="5" fillId="37" borderId="33" xfId="0" applyFont="1" applyFill="1" applyBorder="1" applyAlignment="1">
      <alignment horizontal="left" vertical="top"/>
    </xf>
    <xf numFmtId="0" fontId="5" fillId="37" borderId="2" xfId="0" applyFont="1" applyFill="1" applyBorder="1" applyAlignment="1">
      <alignment horizontal="left" vertical="top"/>
    </xf>
    <xf numFmtId="0" fontId="5" fillId="37" borderId="9" xfId="0" applyFont="1" applyFill="1" applyBorder="1" applyAlignment="1">
      <alignment horizontal="left" vertical="top" wrapText="1"/>
    </xf>
    <xf numFmtId="0" fontId="5" fillId="37" borderId="33" xfId="0" applyFont="1" applyFill="1" applyBorder="1" applyAlignment="1">
      <alignment horizontal="left" vertical="top" wrapText="1"/>
    </xf>
    <xf numFmtId="0" fontId="5" fillId="37" borderId="2" xfId="0" applyFont="1" applyFill="1" applyBorder="1" applyAlignment="1">
      <alignment horizontal="left" vertical="top" wrapText="1"/>
    </xf>
    <xf numFmtId="0" fontId="5" fillId="2" borderId="44" xfId="0" applyFont="1" applyFill="1" applyBorder="1" applyAlignment="1">
      <alignment horizontal="center" vertical="top" wrapText="1"/>
    </xf>
    <xf numFmtId="0" fontId="5" fillId="2" borderId="48" xfId="0" applyFont="1" applyFill="1" applyBorder="1" applyAlignment="1">
      <alignment horizontal="center" vertical="top" wrapText="1"/>
    </xf>
    <xf numFmtId="0" fontId="7" fillId="0" borderId="0" xfId="0" applyFont="1" applyAlignment="1">
      <alignment horizontal="left" vertical="top" wrapText="1"/>
    </xf>
    <xf numFmtId="0" fontId="5" fillId="2" borderId="16" xfId="0" applyFont="1" applyFill="1" applyBorder="1" applyAlignment="1">
      <alignment horizontal="center" vertical="top" wrapText="1"/>
    </xf>
    <xf numFmtId="0" fontId="5" fillId="2" borderId="34" xfId="0" applyFont="1" applyFill="1" applyBorder="1" applyAlignment="1">
      <alignment horizontal="center" vertical="top" wrapText="1"/>
    </xf>
    <xf numFmtId="0" fontId="5" fillId="2" borderId="50" xfId="0" applyFont="1" applyFill="1" applyBorder="1" applyAlignment="1">
      <alignment horizontal="center" vertical="top" wrapText="1"/>
    </xf>
    <xf numFmtId="0" fontId="7" fillId="0" borderId="0" xfId="0" applyFont="1" applyFill="1" applyAlignment="1">
      <alignment horizontal="left" vertical="top" wrapText="1"/>
    </xf>
    <xf numFmtId="0" fontId="5" fillId="0" borderId="0" xfId="0" applyFont="1" applyFill="1" applyAlignment="1">
      <alignment horizontal="left" vertical="top" wrapText="1"/>
    </xf>
    <xf numFmtId="0" fontId="7" fillId="0" borderId="35" xfId="0" applyFont="1" applyBorder="1" applyAlignment="1">
      <alignment horizontal="left" vertical="top" wrapText="1"/>
    </xf>
    <xf numFmtId="0" fontId="7" fillId="0" borderId="0" xfId="0" applyFont="1" applyAlignment="1">
      <alignment horizontal="left" vertical="top"/>
    </xf>
  </cellXfs>
  <cellStyles count="3">
    <cellStyle name="Normal" xfId="0" builtinId="0"/>
    <cellStyle name="Percent" xfId="1" builtinId="5"/>
    <cellStyle name="Style 1" xfId="2"/>
  </cellStyles>
  <dxfs count="0"/>
  <tableStyles count="0" defaultTableStyle="TableStyleMedium2" defaultPivotStyle="PivotStyleLight16"/>
  <colors>
    <mruColors>
      <color rgb="FFFFEF9C"/>
      <color rgb="FF2DFF2D"/>
      <color rgb="FFABFFAB"/>
      <color rgb="FFFFAFAF"/>
      <color rgb="FFEEDCCA"/>
      <color rgb="FFEBD7C3"/>
      <color rgb="FFBDF2FF"/>
      <color rgb="FFBD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R&#299;ka saturs'!A1"/></Relationships>
</file>

<file path=xl/drawings/_rels/drawing11.xml.rels><?xml version="1.0" encoding="UTF-8" standalone="yes"?>
<Relationships xmlns="http://schemas.openxmlformats.org/package/2006/relationships"><Relationship Id="rId1" Type="http://schemas.openxmlformats.org/officeDocument/2006/relationships/hyperlink" Target="#'R&#299;ka saturs'!A1"/></Relationships>
</file>

<file path=xl/drawings/_rels/drawing2.xml.rels><?xml version="1.0" encoding="UTF-8" standalone="yes"?>
<Relationships xmlns="http://schemas.openxmlformats.org/package/2006/relationships"><Relationship Id="rId8" Type="http://schemas.openxmlformats.org/officeDocument/2006/relationships/hyperlink" Target="#SocIetekmes!A1"/><Relationship Id="rId3" Type="http://schemas.openxmlformats.org/officeDocument/2006/relationships/hyperlink" Target="#'Slodzes dati'!A1"/><Relationship Id="rId7" Type="http://schemas.openxmlformats.org/officeDocument/2006/relationships/hyperlink" Target="#Labkl&#257;jIeguv!A1"/><Relationship Id="rId12" Type="http://schemas.openxmlformats.org/officeDocument/2006/relationships/image" Target="../media/image5.png"/><Relationship Id="rId2" Type="http://schemas.openxmlformats.org/officeDocument/2006/relationships/hyperlink" Target="#BSPas&#257;kApkop!A1"/><Relationship Id="rId1" Type="http://schemas.openxmlformats.org/officeDocument/2006/relationships/hyperlink" Target="#SlodzesAvotuNov!A1"/><Relationship Id="rId6" Type="http://schemas.openxmlformats.org/officeDocument/2006/relationships/hyperlink" Target="#'BSPas&#257;kEfekt&amp;Pietiek'!A1"/><Relationship Id="rId11" Type="http://schemas.openxmlformats.org/officeDocument/2006/relationships/image" Target="../media/image4.png"/><Relationship Id="rId5" Type="http://schemas.openxmlformats.org/officeDocument/2006/relationships/hyperlink" Target="#Pas&#257;kEfektiv!A1"/><Relationship Id="rId10" Type="http://schemas.openxmlformats.org/officeDocument/2006/relationships/image" Target="../media/image3.png"/><Relationship Id="rId4" Type="http://schemas.openxmlformats.org/officeDocument/2006/relationships/hyperlink" Target="#Pas&#257;kRakst!A1"/><Relationship Id="rId9" Type="http://schemas.openxmlformats.org/officeDocument/2006/relationships/hyperlink" Target="#'Pas&#257;k&lt;-&gt;AtkrVeidi'!A1"/></Relationships>
</file>

<file path=xl/drawings/_rels/drawing3.xml.rels><?xml version="1.0" encoding="UTF-8" standalone="yes"?>
<Relationships xmlns="http://schemas.openxmlformats.org/package/2006/relationships"><Relationship Id="rId1" Type="http://schemas.openxmlformats.org/officeDocument/2006/relationships/hyperlink" Target="#'R&#299;ka saturs'!A1"/></Relationships>
</file>

<file path=xl/drawings/_rels/drawing4.xml.rels><?xml version="1.0" encoding="UTF-8" standalone="yes"?>
<Relationships xmlns="http://schemas.openxmlformats.org/package/2006/relationships"><Relationship Id="rId1" Type="http://schemas.openxmlformats.org/officeDocument/2006/relationships/hyperlink" Target="#'R&#299;ka saturs'!A1"/></Relationships>
</file>

<file path=xl/drawings/_rels/drawing5.xml.rels><?xml version="1.0" encoding="UTF-8" standalone="yes"?>
<Relationships xmlns="http://schemas.openxmlformats.org/package/2006/relationships"><Relationship Id="rId1" Type="http://schemas.openxmlformats.org/officeDocument/2006/relationships/hyperlink" Target="#'R&#299;ka saturs'!A1"/></Relationships>
</file>

<file path=xl/drawings/_rels/drawing6.xml.rels><?xml version="1.0" encoding="UTF-8" standalone="yes"?>
<Relationships xmlns="http://schemas.openxmlformats.org/package/2006/relationships"><Relationship Id="rId1" Type="http://schemas.openxmlformats.org/officeDocument/2006/relationships/hyperlink" Target="#'R&#299;ka saturs'!A1"/></Relationships>
</file>

<file path=xl/drawings/_rels/drawing7.xml.rels><?xml version="1.0" encoding="UTF-8" standalone="yes"?>
<Relationships xmlns="http://schemas.openxmlformats.org/package/2006/relationships"><Relationship Id="rId1" Type="http://schemas.openxmlformats.org/officeDocument/2006/relationships/hyperlink" Target="#'R&#299;ka saturs'!A1"/></Relationships>
</file>

<file path=xl/drawings/_rels/drawing8.xml.rels><?xml version="1.0" encoding="UTF-8" standalone="yes"?>
<Relationships xmlns="http://schemas.openxmlformats.org/package/2006/relationships"><Relationship Id="rId1" Type="http://schemas.openxmlformats.org/officeDocument/2006/relationships/hyperlink" Target="#'R&#299;ka saturs'!A1"/></Relationships>
</file>

<file path=xl/drawings/_rels/drawing9.xml.rels><?xml version="1.0" encoding="UTF-8" standalone="yes"?>
<Relationships xmlns="http://schemas.openxmlformats.org/package/2006/relationships"><Relationship Id="rId1" Type="http://schemas.openxmlformats.org/officeDocument/2006/relationships/hyperlink" Target="#'R&#299;ka saturs'!A1"/></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20</xdr:row>
      <xdr:rowOff>58368</xdr:rowOff>
    </xdr:from>
    <xdr:to>
      <xdr:col>0</xdr:col>
      <xdr:colOff>952500</xdr:colOff>
      <xdr:row>23</xdr:row>
      <xdr:rowOff>72035</xdr:rowOff>
    </xdr:to>
    <xdr:pic>
      <xdr:nvPicPr>
        <xdr:cNvPr id="2" name="Picture 1"/>
        <xdr:cNvPicPr>
          <a:picLocks noChangeAspect="1"/>
        </xdr:cNvPicPr>
      </xdr:nvPicPr>
      <xdr:blipFill>
        <a:blip xmlns:r="http://schemas.openxmlformats.org/officeDocument/2006/relationships" r:embed="rId1"/>
        <a:stretch>
          <a:fillRect/>
        </a:stretch>
      </xdr:blipFill>
      <xdr:spPr>
        <a:xfrm>
          <a:off x="63501" y="4527181"/>
          <a:ext cx="888999" cy="561354"/>
        </a:xfrm>
        <a:prstGeom prst="rect">
          <a:avLst/>
        </a:prstGeom>
      </xdr:spPr>
    </xdr:pic>
    <xdr:clientData/>
  </xdr:twoCellAnchor>
  <xdr:twoCellAnchor editAs="oneCell">
    <xdr:from>
      <xdr:col>0</xdr:col>
      <xdr:colOff>4000517</xdr:colOff>
      <xdr:row>2</xdr:row>
      <xdr:rowOff>39685</xdr:rowOff>
    </xdr:from>
    <xdr:to>
      <xdr:col>0</xdr:col>
      <xdr:colOff>8358199</xdr:colOff>
      <xdr:row>7</xdr:row>
      <xdr:rowOff>24988</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0517" y="674685"/>
          <a:ext cx="4357682" cy="8981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192264</xdr:colOff>
      <xdr:row>0</xdr:row>
      <xdr:rowOff>56445</xdr:rowOff>
    </xdr:from>
    <xdr:to>
      <xdr:col>7</xdr:col>
      <xdr:colOff>1140103</xdr:colOff>
      <xdr:row>1</xdr:row>
      <xdr:rowOff>95881</xdr:rowOff>
    </xdr:to>
    <xdr:sp macro="" textlink="">
      <xdr:nvSpPr>
        <xdr:cNvPr id="2" name="Rectangle 1">
          <a:hlinkClick xmlns:r="http://schemas.openxmlformats.org/officeDocument/2006/relationships" r:id="rId1" tooltip="D10 Rīks"/>
        </xdr:cNvPr>
        <xdr:cNvSpPr/>
      </xdr:nvSpPr>
      <xdr:spPr>
        <a:xfrm>
          <a:off x="8748889" y="56445"/>
          <a:ext cx="1487589" cy="253749"/>
        </a:xfrm>
        <a:prstGeom prst="rect">
          <a:avLst/>
        </a:prstGeom>
        <a:solidFill>
          <a:schemeClr val="accent4">
            <a:lumMod val="40000"/>
            <a:lumOff val="60000"/>
          </a:schemeClr>
        </a:solidFill>
        <a:ln>
          <a:solidFill>
            <a:schemeClr val="accent4">
              <a:lumMod val="40000"/>
              <a:lumOff val="60000"/>
            </a:schemeClr>
          </a:solidFill>
        </a:ln>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v-LV" sz="1100" b="1">
              <a:solidFill>
                <a:sysClr val="windowText" lastClr="000000"/>
              </a:solidFill>
            </a:rPr>
            <a:t>Atpakaļ uz rīka saturu</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302759</xdr:colOff>
      <xdr:row>0</xdr:row>
      <xdr:rowOff>73705</xdr:rowOff>
    </xdr:from>
    <xdr:to>
      <xdr:col>3</xdr:col>
      <xdr:colOff>433161</xdr:colOff>
      <xdr:row>1</xdr:row>
      <xdr:rowOff>112259</xdr:rowOff>
    </xdr:to>
    <xdr:sp macro="" textlink="">
      <xdr:nvSpPr>
        <xdr:cNvPr id="2" name="Rectangle 1">
          <a:hlinkClick xmlns:r="http://schemas.openxmlformats.org/officeDocument/2006/relationships" r:id="rId1" tooltip="D10 Rīks"/>
        </xdr:cNvPr>
        <xdr:cNvSpPr/>
      </xdr:nvSpPr>
      <xdr:spPr>
        <a:xfrm>
          <a:off x="6351134" y="73705"/>
          <a:ext cx="1487715" cy="236992"/>
        </a:xfrm>
        <a:prstGeom prst="rect">
          <a:avLst/>
        </a:prstGeom>
        <a:solidFill>
          <a:schemeClr val="accent4">
            <a:lumMod val="40000"/>
            <a:lumOff val="60000"/>
          </a:schemeClr>
        </a:solidFill>
        <a:ln>
          <a:solidFill>
            <a:schemeClr val="accent4">
              <a:lumMod val="40000"/>
              <a:lumOff val="60000"/>
            </a:schemeClr>
          </a:solidFill>
        </a:ln>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v-LV" sz="1100" b="1">
              <a:solidFill>
                <a:sysClr val="windowText" lastClr="000000"/>
              </a:solidFill>
            </a:rPr>
            <a:t>Atpakaļ uz rīka saturu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40821</xdr:colOff>
      <xdr:row>11</xdr:row>
      <xdr:rowOff>11112</xdr:rowOff>
    </xdr:from>
    <xdr:to>
      <xdr:col>4</xdr:col>
      <xdr:colOff>174171</xdr:colOff>
      <xdr:row>13</xdr:row>
      <xdr:rowOff>150812</xdr:rowOff>
    </xdr:to>
    <xdr:sp macro="" textlink="">
      <xdr:nvSpPr>
        <xdr:cNvPr id="4" name="TextBox 3">
          <a:hlinkClick xmlns:r="http://schemas.openxmlformats.org/officeDocument/2006/relationships" r:id="rId1" tooltip="JPA Rīks"/>
        </xdr:cNvPr>
        <xdr:cNvSpPr txBox="1"/>
      </xdr:nvSpPr>
      <xdr:spPr>
        <a:xfrm>
          <a:off x="213178" y="1825398"/>
          <a:ext cx="1956707" cy="502557"/>
        </a:xfrm>
        <a:prstGeom prst="rect">
          <a:avLst/>
        </a:prstGeom>
        <a:solidFill>
          <a:schemeClr val="accent1">
            <a:lumMod val="60000"/>
            <a:lumOff val="40000"/>
          </a:schemeClr>
        </a:solidFill>
        <a:ln w="9525" cmpd="sng">
          <a:solidFill>
            <a:schemeClr val="accent1">
              <a:lumMod val="60000"/>
              <a:lumOff val="40000"/>
            </a:schemeClr>
          </a:solidFill>
        </a:ln>
        <a:scene3d>
          <a:camera prst="orthographicFront"/>
          <a:lightRig rig="threePt" dir="t"/>
        </a:scene3d>
        <a:sp3d>
          <a:bevelT w="114300" prst="artDeco"/>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v-LV" sz="1100"/>
            <a:t>Slodzes avotu ieguldījuma novērtējums</a:t>
          </a:r>
        </a:p>
      </xdr:txBody>
    </xdr:sp>
    <xdr:clientData/>
  </xdr:twoCellAnchor>
  <xdr:twoCellAnchor>
    <xdr:from>
      <xdr:col>1</xdr:col>
      <xdr:colOff>44450</xdr:colOff>
      <xdr:row>14</xdr:row>
      <xdr:rowOff>15874</xdr:rowOff>
    </xdr:from>
    <xdr:to>
      <xdr:col>4</xdr:col>
      <xdr:colOff>158750</xdr:colOff>
      <xdr:row>16</xdr:row>
      <xdr:rowOff>155574</xdr:rowOff>
    </xdr:to>
    <xdr:sp macro="" textlink="">
      <xdr:nvSpPr>
        <xdr:cNvPr id="5" name="TextBox 4">
          <a:hlinkClick xmlns:r="http://schemas.openxmlformats.org/officeDocument/2006/relationships" r:id="rId2" tooltip="JPA Rīks"/>
        </xdr:cNvPr>
        <xdr:cNvSpPr txBox="1"/>
      </xdr:nvSpPr>
      <xdr:spPr>
        <a:xfrm>
          <a:off x="219075" y="1658937"/>
          <a:ext cx="1947863" cy="504825"/>
        </a:xfrm>
        <a:prstGeom prst="rect">
          <a:avLst/>
        </a:prstGeom>
        <a:solidFill>
          <a:schemeClr val="accent1">
            <a:lumMod val="60000"/>
            <a:lumOff val="40000"/>
          </a:schemeClr>
        </a:solidFill>
        <a:ln w="9525" cmpd="sng">
          <a:solidFill>
            <a:schemeClr val="accent1">
              <a:lumMod val="60000"/>
              <a:lumOff val="40000"/>
            </a:schemeClr>
          </a:solidFill>
        </a:ln>
        <a:scene3d>
          <a:camera prst="orthographicFront"/>
          <a:lightRig rig="threePt" dir="t"/>
        </a:scene3d>
        <a:sp3d>
          <a:bevelT w="114300" prst="artDeco"/>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v-LV" sz="1100"/>
            <a:t>"Bāzes scenārija" pasākumu apkopojums</a:t>
          </a:r>
        </a:p>
      </xdr:txBody>
    </xdr:sp>
    <xdr:clientData/>
  </xdr:twoCellAnchor>
  <xdr:twoCellAnchor>
    <xdr:from>
      <xdr:col>1</xdr:col>
      <xdr:colOff>38100</xdr:colOff>
      <xdr:row>8</xdr:row>
      <xdr:rowOff>6350</xdr:rowOff>
    </xdr:from>
    <xdr:to>
      <xdr:col>4</xdr:col>
      <xdr:colOff>171450</xdr:colOff>
      <xdr:row>10</xdr:row>
      <xdr:rowOff>146050</xdr:rowOff>
    </xdr:to>
    <xdr:sp macro="" textlink="">
      <xdr:nvSpPr>
        <xdr:cNvPr id="6" name="TextBox 5">
          <a:hlinkClick xmlns:r="http://schemas.openxmlformats.org/officeDocument/2006/relationships" r:id="rId3" tooltip="JPA Rīks"/>
        </xdr:cNvPr>
        <xdr:cNvSpPr txBox="1"/>
      </xdr:nvSpPr>
      <xdr:spPr>
        <a:xfrm>
          <a:off x="647700" y="558800"/>
          <a:ext cx="1962150" cy="508000"/>
        </a:xfrm>
        <a:prstGeom prst="rect">
          <a:avLst/>
        </a:prstGeom>
        <a:solidFill>
          <a:schemeClr val="accent1">
            <a:lumMod val="60000"/>
            <a:lumOff val="40000"/>
          </a:schemeClr>
        </a:solidFill>
        <a:ln w="9525" cmpd="sng">
          <a:solidFill>
            <a:schemeClr val="lt1">
              <a:shade val="50000"/>
            </a:schemeClr>
          </a:solidFill>
        </a:ln>
        <a:scene3d>
          <a:camera prst="orthographicFront"/>
          <a:lightRig rig="threePt" dir="t"/>
        </a:scene3d>
        <a:sp3d>
          <a:bevelT w="114300" prst="artDeco"/>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v-LV" sz="1100"/>
            <a:t>Slodzes dati (atkritumu makro-piesārņojumam</a:t>
          </a:r>
          <a:r>
            <a:rPr lang="lv-LV" sz="1100" baseline="0"/>
            <a:t> pludmalē)</a:t>
          </a:r>
          <a:endParaRPr lang="lv-LV" sz="1100"/>
        </a:p>
      </xdr:txBody>
    </xdr:sp>
    <xdr:clientData/>
  </xdr:twoCellAnchor>
  <xdr:twoCellAnchor>
    <xdr:from>
      <xdr:col>1</xdr:col>
      <xdr:colOff>47626</xdr:colOff>
      <xdr:row>17</xdr:row>
      <xdr:rowOff>23813</xdr:rowOff>
    </xdr:from>
    <xdr:to>
      <xdr:col>4</xdr:col>
      <xdr:colOff>161926</xdr:colOff>
      <xdr:row>19</xdr:row>
      <xdr:rowOff>163513</xdr:rowOff>
    </xdr:to>
    <xdr:sp macro="" textlink="">
      <xdr:nvSpPr>
        <xdr:cNvPr id="7" name="TextBox 6">
          <a:hlinkClick xmlns:r="http://schemas.openxmlformats.org/officeDocument/2006/relationships" r:id="rId4" tooltip="JPA Rīks"/>
        </xdr:cNvPr>
        <xdr:cNvSpPr txBox="1"/>
      </xdr:nvSpPr>
      <xdr:spPr>
        <a:xfrm>
          <a:off x="222251" y="2214563"/>
          <a:ext cx="1947863" cy="504825"/>
        </a:xfrm>
        <a:prstGeom prst="rect">
          <a:avLst/>
        </a:prstGeom>
        <a:solidFill>
          <a:schemeClr val="accent1">
            <a:lumMod val="20000"/>
            <a:lumOff val="80000"/>
          </a:schemeClr>
        </a:solidFill>
        <a:ln w="9525" cmpd="sng">
          <a:solidFill>
            <a:schemeClr val="accent1">
              <a:lumMod val="60000"/>
              <a:lumOff val="40000"/>
            </a:schemeClr>
          </a:solidFill>
        </a:ln>
        <a:scene3d>
          <a:camera prst="orthographicFront"/>
          <a:lightRig rig="threePt" dir="t"/>
        </a:scene3d>
        <a:sp3d>
          <a:bevelT w="114300" prst="artDeco"/>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v-LV" sz="1100"/>
            <a:t>"Bāzes scenārija" pasākumu raksturojums</a:t>
          </a:r>
        </a:p>
      </xdr:txBody>
    </xdr:sp>
    <xdr:clientData/>
  </xdr:twoCellAnchor>
  <xdr:twoCellAnchor>
    <xdr:from>
      <xdr:col>1</xdr:col>
      <xdr:colOff>55563</xdr:colOff>
      <xdr:row>24</xdr:row>
      <xdr:rowOff>18143</xdr:rowOff>
    </xdr:from>
    <xdr:to>
      <xdr:col>4</xdr:col>
      <xdr:colOff>169863</xdr:colOff>
      <xdr:row>27</xdr:row>
      <xdr:rowOff>163286</xdr:rowOff>
    </xdr:to>
    <xdr:sp macro="" textlink="">
      <xdr:nvSpPr>
        <xdr:cNvPr id="8" name="TextBox 7">
          <a:hlinkClick xmlns:r="http://schemas.openxmlformats.org/officeDocument/2006/relationships" r:id="rId5" tooltip="JPA Rīks"/>
        </xdr:cNvPr>
        <xdr:cNvSpPr txBox="1"/>
      </xdr:nvSpPr>
      <xdr:spPr>
        <a:xfrm>
          <a:off x="227920" y="5660572"/>
          <a:ext cx="1937657" cy="689428"/>
        </a:xfrm>
        <a:prstGeom prst="rect">
          <a:avLst/>
        </a:prstGeom>
        <a:solidFill>
          <a:schemeClr val="accent6">
            <a:lumMod val="60000"/>
            <a:lumOff val="40000"/>
          </a:schemeClr>
        </a:solidFill>
        <a:ln w="9525" cmpd="sng">
          <a:solidFill>
            <a:schemeClr val="accent6">
              <a:lumMod val="60000"/>
              <a:lumOff val="40000"/>
            </a:schemeClr>
          </a:solidFill>
        </a:ln>
        <a:scene3d>
          <a:camera prst="orthographicFront"/>
          <a:lightRig rig="threePt" dir="t"/>
        </a:scene3d>
        <a:sp3d>
          <a:bevelT w="114300" prst="artDeco"/>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v-LV" sz="1100"/>
            <a:t>Pasākumu efektivitātes novērtējums</a:t>
          </a:r>
        </a:p>
      </xdr:txBody>
    </xdr:sp>
    <xdr:clientData/>
  </xdr:twoCellAnchor>
  <xdr:twoCellAnchor>
    <xdr:from>
      <xdr:col>1</xdr:col>
      <xdr:colOff>55563</xdr:colOff>
      <xdr:row>28</xdr:row>
      <xdr:rowOff>51026</xdr:rowOff>
    </xdr:from>
    <xdr:to>
      <xdr:col>4</xdr:col>
      <xdr:colOff>169863</xdr:colOff>
      <xdr:row>32</xdr:row>
      <xdr:rowOff>20410</xdr:rowOff>
    </xdr:to>
    <xdr:sp macro="" textlink="">
      <xdr:nvSpPr>
        <xdr:cNvPr id="9" name="TextBox 8">
          <a:hlinkClick xmlns:r="http://schemas.openxmlformats.org/officeDocument/2006/relationships" r:id="rId6" tooltip="JPA Rīks"/>
        </xdr:cNvPr>
        <xdr:cNvSpPr txBox="1"/>
      </xdr:nvSpPr>
      <xdr:spPr>
        <a:xfrm>
          <a:off x="227920" y="6419169"/>
          <a:ext cx="1937657" cy="695098"/>
        </a:xfrm>
        <a:prstGeom prst="rect">
          <a:avLst/>
        </a:prstGeom>
        <a:solidFill>
          <a:schemeClr val="accent6">
            <a:lumMod val="60000"/>
            <a:lumOff val="40000"/>
          </a:schemeClr>
        </a:solidFill>
        <a:ln w="9525" cmpd="sng">
          <a:solidFill>
            <a:schemeClr val="accent6">
              <a:lumMod val="60000"/>
              <a:lumOff val="40000"/>
            </a:schemeClr>
          </a:solidFill>
        </a:ln>
        <a:scene3d>
          <a:camera prst="orthographicFront"/>
          <a:lightRig rig="threePt" dir="t"/>
        </a:scene3d>
        <a:sp3d>
          <a:bevelT w="114300" prst="artDeco"/>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v-LV" sz="1100"/>
            <a:t>"Bāzes scenārija" pasākumu efektivitātes un pietiekamības novērtējums</a:t>
          </a:r>
        </a:p>
      </xdr:txBody>
    </xdr:sp>
    <xdr:clientData/>
  </xdr:twoCellAnchor>
  <xdr:twoCellAnchor>
    <xdr:from>
      <xdr:col>1</xdr:col>
      <xdr:colOff>39688</xdr:colOff>
      <xdr:row>36</xdr:row>
      <xdr:rowOff>58962</xdr:rowOff>
    </xdr:from>
    <xdr:to>
      <xdr:col>4</xdr:col>
      <xdr:colOff>153988</xdr:colOff>
      <xdr:row>40</xdr:row>
      <xdr:rowOff>127000</xdr:rowOff>
    </xdr:to>
    <xdr:sp macro="" textlink="">
      <xdr:nvSpPr>
        <xdr:cNvPr id="10" name="TextBox 9"/>
        <xdr:cNvSpPr txBox="1"/>
      </xdr:nvSpPr>
      <xdr:spPr>
        <a:xfrm>
          <a:off x="212045" y="5683248"/>
          <a:ext cx="1937657" cy="793752"/>
        </a:xfrm>
        <a:prstGeom prst="rect">
          <a:avLst/>
        </a:prstGeom>
        <a:solidFill>
          <a:schemeClr val="bg1"/>
        </a:solidFill>
        <a:ln w="9525" cmpd="sng">
          <a:solidFill>
            <a:schemeClr val="accent2"/>
          </a:solidFill>
        </a:ln>
        <a:scene3d>
          <a:camera prst="orthographicFront"/>
          <a:lightRig rig="threePt" dir="t"/>
        </a:scene3d>
        <a:sp3d>
          <a:bevelT w="114300" prst="artDeco"/>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v-LV" sz="1100"/>
            <a:t>Papildu pasākumu</a:t>
          </a:r>
          <a:r>
            <a:rPr lang="lv-LV" sz="1100" baseline="0"/>
            <a:t> efektivitātes, izmaksu un izmaksu-efektivitātes novērtējumi</a:t>
          </a:r>
          <a:endParaRPr lang="lv-LV" sz="1100"/>
        </a:p>
      </xdr:txBody>
    </xdr:sp>
    <xdr:clientData/>
  </xdr:twoCellAnchor>
  <xdr:twoCellAnchor>
    <xdr:from>
      <xdr:col>1</xdr:col>
      <xdr:colOff>40822</xdr:colOff>
      <xdr:row>41</xdr:row>
      <xdr:rowOff>49892</xdr:rowOff>
    </xdr:from>
    <xdr:to>
      <xdr:col>4</xdr:col>
      <xdr:colOff>155122</xdr:colOff>
      <xdr:row>44</xdr:row>
      <xdr:rowOff>154215</xdr:rowOff>
    </xdr:to>
    <xdr:sp macro="" textlink="">
      <xdr:nvSpPr>
        <xdr:cNvPr id="11" name="TextBox 10">
          <a:hlinkClick xmlns:r="http://schemas.openxmlformats.org/officeDocument/2006/relationships" r:id="rId7" tooltip="JPA Rīks"/>
        </xdr:cNvPr>
        <xdr:cNvSpPr txBox="1"/>
      </xdr:nvSpPr>
      <xdr:spPr>
        <a:xfrm>
          <a:off x="213179" y="6581321"/>
          <a:ext cx="1937657" cy="648608"/>
        </a:xfrm>
        <a:prstGeom prst="rect">
          <a:avLst/>
        </a:prstGeom>
        <a:solidFill>
          <a:schemeClr val="accent2">
            <a:lumMod val="60000"/>
            <a:lumOff val="40000"/>
          </a:schemeClr>
        </a:solidFill>
        <a:ln w="9525" cmpd="sng">
          <a:solidFill>
            <a:schemeClr val="accent1">
              <a:lumMod val="60000"/>
              <a:lumOff val="40000"/>
            </a:schemeClr>
          </a:solidFill>
        </a:ln>
        <a:scene3d>
          <a:camera prst="orthographicFront"/>
          <a:lightRig rig="threePt" dir="t"/>
        </a:scene3d>
        <a:sp3d>
          <a:bevelT w="114300" prst="artDeco"/>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v-LV" sz="1100"/>
            <a:t>Novērtējums labklājības ieguvumiem no papildu pasākumiem </a:t>
          </a:r>
          <a:r>
            <a:rPr lang="lv-LV" sz="1100" baseline="0"/>
            <a:t>(scenārijiem)</a:t>
          </a:r>
          <a:endParaRPr lang="lv-LV" sz="1100"/>
        </a:p>
      </xdr:txBody>
    </xdr:sp>
    <xdr:clientData/>
  </xdr:twoCellAnchor>
  <xdr:twoCellAnchor>
    <xdr:from>
      <xdr:col>1</xdr:col>
      <xdr:colOff>39688</xdr:colOff>
      <xdr:row>33</xdr:row>
      <xdr:rowOff>23813</xdr:rowOff>
    </xdr:from>
    <xdr:to>
      <xdr:col>4</xdr:col>
      <xdr:colOff>153988</xdr:colOff>
      <xdr:row>35</xdr:row>
      <xdr:rowOff>163513</xdr:rowOff>
    </xdr:to>
    <xdr:sp macro="" textlink="">
      <xdr:nvSpPr>
        <xdr:cNvPr id="12" name="TextBox 11"/>
        <xdr:cNvSpPr txBox="1"/>
      </xdr:nvSpPr>
      <xdr:spPr>
        <a:xfrm>
          <a:off x="214313" y="5135563"/>
          <a:ext cx="1947863" cy="504825"/>
        </a:xfrm>
        <a:prstGeom prst="rect">
          <a:avLst/>
        </a:prstGeom>
        <a:solidFill>
          <a:schemeClr val="bg1"/>
        </a:solidFill>
        <a:ln w="9525" cmpd="sng">
          <a:solidFill>
            <a:schemeClr val="accent2"/>
          </a:solidFill>
        </a:ln>
        <a:scene3d>
          <a:camera prst="orthographicFront"/>
          <a:lightRig rig="threePt" dir="t"/>
        </a:scene3d>
        <a:sp3d>
          <a:bevelT w="114300" prst="artDeco"/>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v-LV" sz="1100"/>
            <a:t>Papildu pasākumu</a:t>
          </a:r>
          <a:r>
            <a:rPr lang="lv-LV" sz="1100" baseline="0"/>
            <a:t> raksturojums</a:t>
          </a:r>
          <a:endParaRPr lang="lv-LV" sz="1100"/>
        </a:p>
      </xdr:txBody>
    </xdr:sp>
    <xdr:clientData/>
  </xdr:twoCellAnchor>
  <xdr:twoCellAnchor>
    <xdr:from>
      <xdr:col>1</xdr:col>
      <xdr:colOff>45357</xdr:colOff>
      <xdr:row>45</xdr:row>
      <xdr:rowOff>27214</xdr:rowOff>
    </xdr:from>
    <xdr:to>
      <xdr:col>4</xdr:col>
      <xdr:colOff>159657</xdr:colOff>
      <xdr:row>48</xdr:row>
      <xdr:rowOff>136070</xdr:rowOff>
    </xdr:to>
    <xdr:sp macro="" textlink="">
      <xdr:nvSpPr>
        <xdr:cNvPr id="13" name="TextBox 12">
          <a:hlinkClick xmlns:r="http://schemas.openxmlformats.org/officeDocument/2006/relationships" r:id="rId8" tooltip="JPA Rīks"/>
        </xdr:cNvPr>
        <xdr:cNvSpPr txBox="1"/>
      </xdr:nvSpPr>
      <xdr:spPr>
        <a:xfrm>
          <a:off x="217714" y="7284357"/>
          <a:ext cx="1937657" cy="653142"/>
        </a:xfrm>
        <a:prstGeom prst="rect">
          <a:avLst/>
        </a:prstGeom>
        <a:solidFill>
          <a:schemeClr val="accent2">
            <a:lumMod val="60000"/>
            <a:lumOff val="40000"/>
          </a:schemeClr>
        </a:solidFill>
        <a:ln w="9525" cmpd="sng">
          <a:solidFill>
            <a:schemeClr val="accent1">
              <a:lumMod val="60000"/>
              <a:lumOff val="40000"/>
            </a:schemeClr>
          </a:solidFill>
        </a:ln>
        <a:scene3d>
          <a:camera prst="orthographicFront"/>
          <a:lightRig rig="threePt" dir="t"/>
        </a:scene3d>
        <a:sp3d>
          <a:bevelT w="114300" prst="artDeco"/>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v-LV" sz="1100"/>
            <a:t>Novērtējumi papildu pasākumu</a:t>
          </a:r>
          <a:r>
            <a:rPr lang="lv-LV" sz="1100" baseline="0"/>
            <a:t> ieviešanas sociālo ietekmju rādītājiem</a:t>
          </a:r>
          <a:endParaRPr lang="lv-LV" sz="1100"/>
        </a:p>
      </xdr:txBody>
    </xdr:sp>
    <xdr:clientData/>
  </xdr:twoCellAnchor>
  <xdr:twoCellAnchor>
    <xdr:from>
      <xdr:col>1</xdr:col>
      <xdr:colOff>45357</xdr:colOff>
      <xdr:row>20</xdr:row>
      <xdr:rowOff>45358</xdr:rowOff>
    </xdr:from>
    <xdr:to>
      <xdr:col>4</xdr:col>
      <xdr:colOff>159657</xdr:colOff>
      <xdr:row>23</xdr:row>
      <xdr:rowOff>3629</xdr:rowOff>
    </xdr:to>
    <xdr:sp macro="" textlink="">
      <xdr:nvSpPr>
        <xdr:cNvPr id="14" name="TextBox 13">
          <a:hlinkClick xmlns:r="http://schemas.openxmlformats.org/officeDocument/2006/relationships" r:id="rId9" tooltip="JPA Rīks"/>
        </xdr:cNvPr>
        <xdr:cNvSpPr txBox="1"/>
      </xdr:nvSpPr>
      <xdr:spPr>
        <a:xfrm>
          <a:off x="217714" y="3492501"/>
          <a:ext cx="1937657" cy="502557"/>
        </a:xfrm>
        <a:prstGeom prst="rect">
          <a:avLst/>
        </a:prstGeom>
        <a:solidFill>
          <a:schemeClr val="accent1">
            <a:lumMod val="20000"/>
            <a:lumOff val="80000"/>
          </a:schemeClr>
        </a:solidFill>
        <a:ln w="9525" cmpd="sng">
          <a:solidFill>
            <a:schemeClr val="accent1">
              <a:lumMod val="60000"/>
              <a:lumOff val="40000"/>
            </a:schemeClr>
          </a:solidFill>
        </a:ln>
        <a:scene3d>
          <a:camera prst="orthographicFront"/>
          <a:lightRig rig="threePt" dir="t"/>
        </a:scene3d>
        <a:sp3d>
          <a:bevelT w="114300" prst="artDeco"/>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v-LV" sz="1100"/>
            <a:t>Ar pasākumiem ietekmētie atkritumu veidi</a:t>
          </a:r>
        </a:p>
      </xdr:txBody>
    </xdr:sp>
    <xdr:clientData/>
  </xdr:twoCellAnchor>
  <xdr:twoCellAnchor>
    <xdr:from>
      <xdr:col>9</xdr:col>
      <xdr:colOff>571501</xdr:colOff>
      <xdr:row>26</xdr:row>
      <xdr:rowOff>4535</xdr:rowOff>
    </xdr:from>
    <xdr:to>
      <xdr:col>13</xdr:col>
      <xdr:colOff>52615</xdr:colOff>
      <xdr:row>27</xdr:row>
      <xdr:rowOff>17236</xdr:rowOff>
    </xdr:to>
    <xdr:pic>
      <xdr:nvPicPr>
        <xdr:cNvPr id="18" name="Picture 17"/>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88644" y="6009821"/>
          <a:ext cx="1912257" cy="194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136072</xdr:colOff>
      <xdr:row>1</xdr:row>
      <xdr:rowOff>1</xdr:rowOff>
    </xdr:from>
    <xdr:to>
      <xdr:col>28</xdr:col>
      <xdr:colOff>1</xdr:colOff>
      <xdr:row>10</xdr:row>
      <xdr:rowOff>93133</xdr:rowOff>
    </xdr:to>
    <xdr:pic>
      <xdr:nvPicPr>
        <xdr:cNvPr id="16" name="Picture 15"/>
        <xdr:cNvPicPr>
          <a:picLocks noChangeAspect="1"/>
        </xdr:cNvPicPr>
      </xdr:nvPicPr>
      <xdr:blipFill>
        <a:blip xmlns:r="http://schemas.openxmlformats.org/officeDocument/2006/relationships" r:embed="rId11"/>
        <a:stretch>
          <a:fillRect/>
        </a:stretch>
      </xdr:blipFill>
      <xdr:spPr>
        <a:xfrm>
          <a:off x="9107715" y="244930"/>
          <a:ext cx="7157357" cy="2950632"/>
        </a:xfrm>
        <a:prstGeom prst="rect">
          <a:avLst/>
        </a:prstGeom>
      </xdr:spPr>
    </xdr:pic>
    <xdr:clientData/>
  </xdr:twoCellAnchor>
  <xdr:twoCellAnchor editAs="oneCell">
    <xdr:from>
      <xdr:col>16</xdr:col>
      <xdr:colOff>136071</xdr:colOff>
      <xdr:row>10</xdr:row>
      <xdr:rowOff>154214</xdr:rowOff>
    </xdr:from>
    <xdr:to>
      <xdr:col>28</xdr:col>
      <xdr:colOff>27215</xdr:colOff>
      <xdr:row>27</xdr:row>
      <xdr:rowOff>2933</xdr:rowOff>
    </xdr:to>
    <xdr:pic>
      <xdr:nvPicPr>
        <xdr:cNvPr id="19" name="Picture 18"/>
        <xdr:cNvPicPr>
          <a:picLocks noChangeAspect="1"/>
        </xdr:cNvPicPr>
      </xdr:nvPicPr>
      <xdr:blipFill>
        <a:blip xmlns:r="http://schemas.openxmlformats.org/officeDocument/2006/relationships" r:embed="rId12"/>
        <a:stretch>
          <a:fillRect/>
        </a:stretch>
      </xdr:blipFill>
      <xdr:spPr>
        <a:xfrm>
          <a:off x="9107714" y="3256643"/>
          <a:ext cx="7184572" cy="29330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47625</xdr:colOff>
      <xdr:row>0</xdr:row>
      <xdr:rowOff>63500</xdr:rowOff>
    </xdr:from>
    <xdr:to>
      <xdr:col>11</xdr:col>
      <xdr:colOff>1531938</xdr:colOff>
      <xdr:row>1</xdr:row>
      <xdr:rowOff>102054</xdr:rowOff>
    </xdr:to>
    <xdr:sp macro="" textlink="">
      <xdr:nvSpPr>
        <xdr:cNvPr id="2" name="Rectangle 1">
          <a:hlinkClick xmlns:r="http://schemas.openxmlformats.org/officeDocument/2006/relationships" r:id="rId1" tooltip="D10 Rīks"/>
        </xdr:cNvPr>
        <xdr:cNvSpPr/>
      </xdr:nvSpPr>
      <xdr:spPr>
        <a:xfrm>
          <a:off x="11969750" y="396875"/>
          <a:ext cx="1484313" cy="252867"/>
        </a:xfrm>
        <a:prstGeom prst="rect">
          <a:avLst/>
        </a:prstGeom>
        <a:solidFill>
          <a:schemeClr val="accent4">
            <a:lumMod val="40000"/>
            <a:lumOff val="60000"/>
          </a:schemeClr>
        </a:solidFill>
        <a:ln>
          <a:solidFill>
            <a:schemeClr val="accent4">
              <a:lumMod val="40000"/>
              <a:lumOff val="60000"/>
            </a:schemeClr>
          </a:solidFill>
        </a:ln>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v-LV" sz="1100" b="1">
              <a:solidFill>
                <a:sysClr val="windowText" lastClr="000000"/>
              </a:solidFill>
            </a:rPr>
            <a:t>Atpakaļ uz rīka saturu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166687</xdr:colOff>
      <xdr:row>0</xdr:row>
      <xdr:rowOff>63499</xdr:rowOff>
    </xdr:from>
    <xdr:to>
      <xdr:col>26</xdr:col>
      <xdr:colOff>166686</xdr:colOff>
      <xdr:row>1</xdr:row>
      <xdr:rowOff>103186</xdr:rowOff>
    </xdr:to>
    <xdr:sp macro="" textlink="">
      <xdr:nvSpPr>
        <xdr:cNvPr id="2" name="Rectangle 1">
          <a:hlinkClick xmlns:r="http://schemas.openxmlformats.org/officeDocument/2006/relationships" r:id="rId1" tooltip="D10 Rīks"/>
        </xdr:cNvPr>
        <xdr:cNvSpPr/>
      </xdr:nvSpPr>
      <xdr:spPr>
        <a:xfrm>
          <a:off x="12025312" y="63499"/>
          <a:ext cx="1484312" cy="254000"/>
        </a:xfrm>
        <a:prstGeom prst="rect">
          <a:avLst/>
        </a:prstGeom>
        <a:solidFill>
          <a:schemeClr val="accent4">
            <a:lumMod val="40000"/>
            <a:lumOff val="60000"/>
          </a:schemeClr>
        </a:solidFill>
        <a:ln>
          <a:solidFill>
            <a:schemeClr val="accent4">
              <a:lumMod val="40000"/>
              <a:lumOff val="60000"/>
            </a:schemeClr>
          </a:solidFill>
        </a:ln>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v-LV" sz="1100" b="1">
              <a:solidFill>
                <a:sysClr val="windowText" lastClr="000000"/>
              </a:solidFill>
            </a:rPr>
            <a:t>Atpakaļ uz rīka saturu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698499</xdr:colOff>
      <xdr:row>0</xdr:row>
      <xdr:rowOff>64633</xdr:rowOff>
    </xdr:from>
    <xdr:to>
      <xdr:col>3</xdr:col>
      <xdr:colOff>2179410</xdr:colOff>
      <xdr:row>1</xdr:row>
      <xdr:rowOff>104320</xdr:rowOff>
    </xdr:to>
    <xdr:sp macro="" textlink="">
      <xdr:nvSpPr>
        <xdr:cNvPr id="2" name="Rectangle 1">
          <a:hlinkClick xmlns:r="http://schemas.openxmlformats.org/officeDocument/2006/relationships" r:id="rId1" tooltip="D10 Rīks"/>
        </xdr:cNvPr>
        <xdr:cNvSpPr/>
      </xdr:nvSpPr>
      <xdr:spPr>
        <a:xfrm>
          <a:off x="8372928" y="64633"/>
          <a:ext cx="1480911" cy="275544"/>
        </a:xfrm>
        <a:prstGeom prst="rect">
          <a:avLst/>
        </a:prstGeom>
        <a:solidFill>
          <a:schemeClr val="accent4">
            <a:lumMod val="40000"/>
            <a:lumOff val="60000"/>
          </a:schemeClr>
        </a:solidFill>
        <a:ln>
          <a:solidFill>
            <a:schemeClr val="accent4">
              <a:lumMod val="40000"/>
              <a:lumOff val="60000"/>
            </a:schemeClr>
          </a:solidFill>
        </a:ln>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v-LV" sz="1100" b="1">
              <a:solidFill>
                <a:sysClr val="windowText" lastClr="000000"/>
              </a:solidFill>
            </a:rPr>
            <a:t>Atpakaļ uz rīka saturu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94117</xdr:colOff>
      <xdr:row>0</xdr:row>
      <xdr:rowOff>57829</xdr:rowOff>
    </xdr:from>
    <xdr:to>
      <xdr:col>7</xdr:col>
      <xdr:colOff>362859</xdr:colOff>
      <xdr:row>1</xdr:row>
      <xdr:rowOff>96383</xdr:rowOff>
    </xdr:to>
    <xdr:sp macro="" textlink="">
      <xdr:nvSpPr>
        <xdr:cNvPr id="2" name="Rectangle 1">
          <a:hlinkClick xmlns:r="http://schemas.openxmlformats.org/officeDocument/2006/relationships" r:id="rId1" tooltip="D10 Rīks"/>
        </xdr:cNvPr>
        <xdr:cNvSpPr/>
      </xdr:nvSpPr>
      <xdr:spPr>
        <a:xfrm>
          <a:off x="9198430" y="57829"/>
          <a:ext cx="1491117" cy="252867"/>
        </a:xfrm>
        <a:prstGeom prst="rect">
          <a:avLst/>
        </a:prstGeom>
        <a:solidFill>
          <a:schemeClr val="accent4">
            <a:lumMod val="40000"/>
            <a:lumOff val="60000"/>
          </a:schemeClr>
        </a:solidFill>
        <a:ln>
          <a:solidFill>
            <a:schemeClr val="accent4">
              <a:lumMod val="40000"/>
              <a:lumOff val="60000"/>
            </a:schemeClr>
          </a:solidFill>
        </a:ln>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v-LV" sz="1100" b="1">
              <a:solidFill>
                <a:sysClr val="windowText" lastClr="000000"/>
              </a:solidFill>
            </a:rPr>
            <a:t>Atpakaļ uz rīka saturu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7939</xdr:colOff>
      <xdr:row>0</xdr:row>
      <xdr:rowOff>55562</xdr:rowOff>
    </xdr:from>
    <xdr:to>
      <xdr:col>15</xdr:col>
      <xdr:colOff>292556</xdr:colOff>
      <xdr:row>1</xdr:row>
      <xdr:rowOff>86179</xdr:rowOff>
    </xdr:to>
    <xdr:sp macro="" textlink="">
      <xdr:nvSpPr>
        <xdr:cNvPr id="2" name="Rectangle 1">
          <a:hlinkClick xmlns:r="http://schemas.openxmlformats.org/officeDocument/2006/relationships" r:id="rId1" tooltip="D10 Rīks"/>
        </xdr:cNvPr>
        <xdr:cNvSpPr/>
      </xdr:nvSpPr>
      <xdr:spPr>
        <a:xfrm>
          <a:off x="8112127" y="55562"/>
          <a:ext cx="1491117" cy="252867"/>
        </a:xfrm>
        <a:prstGeom prst="rect">
          <a:avLst/>
        </a:prstGeom>
        <a:solidFill>
          <a:schemeClr val="accent4">
            <a:lumMod val="40000"/>
            <a:lumOff val="60000"/>
          </a:schemeClr>
        </a:solidFill>
        <a:ln>
          <a:solidFill>
            <a:schemeClr val="accent4">
              <a:lumMod val="40000"/>
              <a:lumOff val="60000"/>
            </a:schemeClr>
          </a:solidFill>
        </a:ln>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v-LV" sz="1100" b="1">
              <a:solidFill>
                <a:sysClr val="windowText" lastClr="000000"/>
              </a:solidFill>
            </a:rPr>
            <a:t>Atpakaļ uz rīka saturu</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122464</xdr:colOff>
      <xdr:row>0</xdr:row>
      <xdr:rowOff>63500</xdr:rowOff>
    </xdr:from>
    <xdr:to>
      <xdr:col>5</xdr:col>
      <xdr:colOff>40823</xdr:colOff>
      <xdr:row>1</xdr:row>
      <xdr:rowOff>102054</xdr:rowOff>
    </xdr:to>
    <xdr:sp macro="" textlink="">
      <xdr:nvSpPr>
        <xdr:cNvPr id="2" name="Rectangle 1">
          <a:hlinkClick xmlns:r="http://schemas.openxmlformats.org/officeDocument/2006/relationships" r:id="rId1" tooltip="D10 Rīks"/>
        </xdr:cNvPr>
        <xdr:cNvSpPr/>
      </xdr:nvSpPr>
      <xdr:spPr>
        <a:xfrm>
          <a:off x="5670777" y="63500"/>
          <a:ext cx="1497921" cy="236992"/>
        </a:xfrm>
        <a:prstGeom prst="rect">
          <a:avLst/>
        </a:prstGeom>
        <a:solidFill>
          <a:schemeClr val="accent4">
            <a:lumMod val="40000"/>
            <a:lumOff val="60000"/>
          </a:schemeClr>
        </a:solidFill>
        <a:ln>
          <a:solidFill>
            <a:schemeClr val="accent4">
              <a:lumMod val="40000"/>
              <a:lumOff val="60000"/>
            </a:schemeClr>
          </a:solidFill>
        </a:ln>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v-LV" sz="1100" b="1">
              <a:solidFill>
                <a:sysClr val="windowText" lastClr="000000"/>
              </a:solidFill>
            </a:rPr>
            <a:t>Atpakaļ uz rīka saturu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55563</xdr:colOff>
      <xdr:row>0</xdr:row>
      <xdr:rowOff>63500</xdr:rowOff>
    </xdr:from>
    <xdr:to>
      <xdr:col>4</xdr:col>
      <xdr:colOff>1546680</xdr:colOff>
      <xdr:row>1</xdr:row>
      <xdr:rowOff>102054</xdr:rowOff>
    </xdr:to>
    <xdr:sp macro="" textlink="">
      <xdr:nvSpPr>
        <xdr:cNvPr id="2" name="Rectangle 1">
          <a:hlinkClick xmlns:r="http://schemas.openxmlformats.org/officeDocument/2006/relationships" r:id="rId1" tooltip="D10 Rīks"/>
        </xdr:cNvPr>
        <xdr:cNvSpPr/>
      </xdr:nvSpPr>
      <xdr:spPr>
        <a:xfrm>
          <a:off x="5294313" y="63500"/>
          <a:ext cx="1491117" cy="236992"/>
        </a:xfrm>
        <a:prstGeom prst="rect">
          <a:avLst/>
        </a:prstGeom>
        <a:solidFill>
          <a:schemeClr val="accent4">
            <a:lumMod val="40000"/>
            <a:lumOff val="60000"/>
          </a:schemeClr>
        </a:solidFill>
        <a:ln>
          <a:solidFill>
            <a:schemeClr val="accent4">
              <a:lumMod val="40000"/>
              <a:lumOff val="60000"/>
            </a:schemeClr>
          </a:solidFill>
        </a:ln>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v-LV" sz="1100" b="1">
              <a:solidFill>
                <a:sysClr val="windowText" lastClr="000000"/>
              </a:solidFill>
            </a:rPr>
            <a:t>Atpakaļ uz rīka saturu</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Glossy">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25"/>
  <sheetViews>
    <sheetView tabSelected="1" zoomScale="80" zoomScaleNormal="80" workbookViewId="0">
      <selection activeCell="A13" sqref="A13"/>
    </sheetView>
  </sheetViews>
  <sheetFormatPr defaultRowHeight="14.5" x14ac:dyDescent="0.35"/>
  <cols>
    <col min="1" max="1" width="192.90625" style="5" customWidth="1"/>
    <col min="2" max="16384" width="8.7265625" style="1"/>
  </cols>
  <sheetData>
    <row r="1" spans="1:1" ht="21" x14ac:dyDescent="0.35">
      <c r="A1" s="644" t="s">
        <v>729</v>
      </c>
    </row>
    <row r="2" spans="1:1" x14ac:dyDescent="0.35">
      <c r="A2" s="645" t="s">
        <v>1</v>
      </c>
    </row>
    <row r="3" spans="1:1" x14ac:dyDescent="0.35">
      <c r="A3" s="2"/>
    </row>
    <row r="4" spans="1:1" x14ac:dyDescent="0.35">
      <c r="A4" s="2"/>
    </row>
    <row r="5" spans="1:1" x14ac:dyDescent="0.35">
      <c r="A5" s="2"/>
    </row>
    <row r="6" spans="1:1" x14ac:dyDescent="0.35">
      <c r="A6" s="2"/>
    </row>
    <row r="7" spans="1:1" x14ac:dyDescent="0.35">
      <c r="A7" s="2"/>
    </row>
    <row r="8" spans="1:1" x14ac:dyDescent="0.35">
      <c r="A8" s="2"/>
    </row>
    <row r="9" spans="1:1" x14ac:dyDescent="0.35">
      <c r="A9" s="3" t="s">
        <v>724</v>
      </c>
    </row>
    <row r="10" spans="1:1" x14ac:dyDescent="0.35">
      <c r="A10" s="207" t="s">
        <v>524</v>
      </c>
    </row>
    <row r="11" spans="1:1" ht="29" x14ac:dyDescent="0.35">
      <c r="A11" s="5" t="s">
        <v>660</v>
      </c>
    </row>
    <row r="12" spans="1:1" ht="29" x14ac:dyDescent="0.35">
      <c r="A12" s="666" t="s">
        <v>663</v>
      </c>
    </row>
    <row r="13" spans="1:1" ht="29" x14ac:dyDescent="0.35">
      <c r="A13" s="3" t="s">
        <v>662</v>
      </c>
    </row>
    <row r="14" spans="1:1" s="667" customFormat="1" x14ac:dyDescent="0.35">
      <c r="A14" s="666"/>
    </row>
    <row r="15" spans="1:1" x14ac:dyDescent="0.35">
      <c r="A15" s="3" t="s">
        <v>657</v>
      </c>
    </row>
    <row r="16" spans="1:1" ht="29" x14ac:dyDescent="0.35">
      <c r="A16" s="3" t="s">
        <v>658</v>
      </c>
    </row>
    <row r="17" spans="1:1" s="667" customFormat="1" x14ac:dyDescent="0.35">
      <c r="A17" s="668"/>
    </row>
    <row r="18" spans="1:1" x14ac:dyDescent="0.35">
      <c r="A18" s="4" t="s">
        <v>725</v>
      </c>
    </row>
    <row r="19" spans="1:1" x14ac:dyDescent="0.35">
      <c r="A19" s="4"/>
    </row>
    <row r="20" spans="1:1" x14ac:dyDescent="0.35">
      <c r="A20" s="5" t="s">
        <v>0</v>
      </c>
    </row>
    <row r="25" spans="1:1" x14ac:dyDescent="0.35">
      <c r="A25" s="6"/>
    </row>
  </sheetData>
  <sheetProtection algorithmName="SHA-512" hashValue="z1cgJNBQCr1HSocEc5mE6Ekp8muDkAP/kVogxNWMLKA6Q3UfqLHxj7+ZWhu26z1pSrvNLrJhicVfNpKrJi9iJg==" saltValue="xYNBDsXmUKZqKmiwB9CEfg==" spinCount="100000" sheet="1" objects="1" scenarios="1"/>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19"/>
  <sheetViews>
    <sheetView zoomScale="80" zoomScaleNormal="80" workbookViewId="0">
      <selection activeCell="C15" sqref="C15"/>
    </sheetView>
  </sheetViews>
  <sheetFormatPr defaultRowHeight="13" x14ac:dyDescent="0.35"/>
  <cols>
    <col min="1" max="1" width="8.7265625" style="111"/>
    <col min="2" max="2" width="28.36328125" style="111" customWidth="1"/>
    <col min="3" max="3" width="14.1796875" style="111" customWidth="1"/>
    <col min="4" max="4" width="47.453125" style="111" customWidth="1"/>
    <col min="5" max="5" width="21" style="111" customWidth="1"/>
    <col min="6" max="6" width="7.453125" style="111" customWidth="1"/>
    <col min="7" max="7" width="7.7265625" style="111" customWidth="1"/>
    <col min="8" max="8" width="24.54296875" style="111" customWidth="1"/>
    <col min="9" max="9" width="7.6328125" style="111" customWidth="1"/>
    <col min="10" max="10" width="7.7265625" style="111" customWidth="1"/>
    <col min="11" max="16384" width="8.7265625" style="111"/>
  </cols>
  <sheetData>
    <row r="1" spans="1:10" ht="17" x14ac:dyDescent="0.35">
      <c r="A1" s="626" t="s">
        <v>482</v>
      </c>
    </row>
    <row r="2" spans="1:10" x14ac:dyDescent="0.35">
      <c r="A2" s="111" t="s">
        <v>504</v>
      </c>
    </row>
    <row r="3" spans="1:10" ht="41.5" customHeight="1" x14ac:dyDescent="0.35">
      <c r="A3" s="951" t="s">
        <v>503</v>
      </c>
      <c r="B3" s="951"/>
      <c r="C3" s="951"/>
      <c r="D3" s="951"/>
      <c r="E3" s="951"/>
    </row>
    <row r="5" spans="1:10" ht="69" customHeight="1" x14ac:dyDescent="0.35">
      <c r="A5" s="955" t="s">
        <v>639</v>
      </c>
      <c r="B5" s="955"/>
      <c r="C5" s="955"/>
      <c r="D5" s="955"/>
      <c r="E5" s="955"/>
      <c r="F5" s="955"/>
      <c r="G5" s="955"/>
      <c r="H5" s="955"/>
      <c r="I5" s="955"/>
      <c r="J5" s="955"/>
    </row>
    <row r="6" spans="1:10" ht="13.5" thickBot="1" x14ac:dyDescent="0.4">
      <c r="A6" s="951" t="s">
        <v>609</v>
      </c>
      <c r="B6" s="951"/>
      <c r="C6" s="951"/>
      <c r="D6" s="951"/>
      <c r="E6" s="951"/>
      <c r="F6" s="951"/>
      <c r="G6" s="951"/>
      <c r="H6" s="951"/>
      <c r="I6" s="951"/>
      <c r="J6" s="951"/>
    </row>
    <row r="7" spans="1:10" ht="26.5" customHeight="1" x14ac:dyDescent="0.35">
      <c r="A7" s="952" t="s">
        <v>705</v>
      </c>
      <c r="B7" s="953"/>
      <c r="C7" s="953"/>
      <c r="D7" s="953"/>
      <c r="E7" s="579" t="s">
        <v>501</v>
      </c>
      <c r="F7" s="949" t="s">
        <v>502</v>
      </c>
      <c r="G7" s="954"/>
      <c r="H7" s="579" t="s">
        <v>611</v>
      </c>
      <c r="I7" s="949" t="s">
        <v>502</v>
      </c>
      <c r="J7" s="950"/>
    </row>
    <row r="8" spans="1:10" ht="39" x14ac:dyDescent="0.35">
      <c r="A8" s="577" t="s">
        <v>706</v>
      </c>
      <c r="B8" s="577" t="s">
        <v>612</v>
      </c>
      <c r="C8" s="577" t="s">
        <v>610</v>
      </c>
      <c r="D8" s="578" t="s">
        <v>694</v>
      </c>
      <c r="E8" s="581">
        <v>11.6</v>
      </c>
      <c r="F8" s="582">
        <v>4.3</v>
      </c>
      <c r="G8" s="583">
        <v>18.899999999999999</v>
      </c>
      <c r="H8" s="584">
        <v>9.59</v>
      </c>
      <c r="I8" s="582">
        <v>3.54</v>
      </c>
      <c r="J8" s="585">
        <v>15.64</v>
      </c>
    </row>
    <row r="9" spans="1:10" ht="39" x14ac:dyDescent="0.35">
      <c r="A9" s="577" t="s">
        <v>706</v>
      </c>
      <c r="B9" s="577" t="s">
        <v>612</v>
      </c>
      <c r="C9" s="577" t="s">
        <v>610</v>
      </c>
      <c r="D9" s="578" t="s">
        <v>695</v>
      </c>
      <c r="E9" s="586">
        <v>15.1</v>
      </c>
      <c r="F9" s="587">
        <v>7.7</v>
      </c>
      <c r="G9" s="588">
        <v>22.6</v>
      </c>
      <c r="H9" s="589">
        <v>12.51</v>
      </c>
      <c r="I9" s="587">
        <v>6.37</v>
      </c>
      <c r="J9" s="590">
        <v>18.72</v>
      </c>
    </row>
    <row r="10" spans="1:10" ht="39" x14ac:dyDescent="0.35">
      <c r="A10" s="577" t="s">
        <v>706</v>
      </c>
      <c r="B10" s="577" t="s">
        <v>613</v>
      </c>
      <c r="C10" s="577" t="s">
        <v>610</v>
      </c>
      <c r="D10" s="578" t="s">
        <v>696</v>
      </c>
      <c r="E10" s="581">
        <v>10.5</v>
      </c>
      <c r="F10" s="582">
        <v>3.1</v>
      </c>
      <c r="G10" s="583">
        <v>18</v>
      </c>
      <c r="H10" s="584">
        <v>8.7200000000000006</v>
      </c>
      <c r="I10" s="582">
        <v>2.59</v>
      </c>
      <c r="J10" s="585">
        <v>14.94</v>
      </c>
    </row>
    <row r="11" spans="1:10" ht="39" x14ac:dyDescent="0.35">
      <c r="A11" s="577" t="s">
        <v>706</v>
      </c>
      <c r="B11" s="577" t="s">
        <v>613</v>
      </c>
      <c r="C11" s="577" t="s">
        <v>610</v>
      </c>
      <c r="D11" s="578" t="s">
        <v>697</v>
      </c>
      <c r="E11" s="581">
        <v>17.3</v>
      </c>
      <c r="F11" s="582">
        <v>9.8000000000000007</v>
      </c>
      <c r="G11" s="583">
        <v>24.9</v>
      </c>
      <c r="H11" s="584">
        <v>14.38</v>
      </c>
      <c r="I11" s="582">
        <v>8.1300000000000008</v>
      </c>
      <c r="J11" s="585">
        <v>20.62</v>
      </c>
    </row>
    <row r="12" spans="1:10" ht="39" x14ac:dyDescent="0.35">
      <c r="A12" s="577" t="s">
        <v>706</v>
      </c>
      <c r="B12" s="577" t="s">
        <v>613</v>
      </c>
      <c r="C12" s="577" t="s">
        <v>610</v>
      </c>
      <c r="D12" s="578" t="s">
        <v>698</v>
      </c>
      <c r="E12" s="586">
        <v>17.2</v>
      </c>
      <c r="F12" s="587">
        <v>9.4</v>
      </c>
      <c r="G12" s="588">
        <v>24.9</v>
      </c>
      <c r="H12" s="589">
        <v>14.25</v>
      </c>
      <c r="I12" s="587">
        <v>7.81</v>
      </c>
      <c r="J12" s="590">
        <v>20.69</v>
      </c>
    </row>
    <row r="13" spans="1:10" ht="65" x14ac:dyDescent="0.35">
      <c r="A13" s="116" t="s">
        <v>706</v>
      </c>
      <c r="B13" s="116" t="s">
        <v>614</v>
      </c>
      <c r="C13" s="116" t="s">
        <v>610</v>
      </c>
      <c r="D13" s="119" t="s">
        <v>699</v>
      </c>
      <c r="E13" s="581">
        <v>14.8</v>
      </c>
      <c r="F13" s="582">
        <v>7</v>
      </c>
      <c r="G13" s="583">
        <v>22.6</v>
      </c>
      <c r="H13" s="584">
        <v>12.26</v>
      </c>
      <c r="I13" s="582">
        <v>5.78</v>
      </c>
      <c r="J13" s="585">
        <v>18.72</v>
      </c>
    </row>
    <row r="14" spans="1:10" ht="65" x14ac:dyDescent="0.35">
      <c r="A14" s="116" t="s">
        <v>706</v>
      </c>
      <c r="B14" s="116" t="s">
        <v>615</v>
      </c>
      <c r="C14" s="116" t="s">
        <v>610</v>
      </c>
      <c r="D14" s="119" t="s">
        <v>700</v>
      </c>
      <c r="E14" s="581">
        <v>21.6</v>
      </c>
      <c r="F14" s="582">
        <v>13.6</v>
      </c>
      <c r="G14" s="583">
        <v>29.6</v>
      </c>
      <c r="H14" s="584">
        <v>17.91</v>
      </c>
      <c r="I14" s="582">
        <v>11.28</v>
      </c>
      <c r="J14" s="585">
        <v>24.55</v>
      </c>
    </row>
    <row r="15" spans="1:10" ht="65" x14ac:dyDescent="0.35">
      <c r="A15" s="116" t="s">
        <v>706</v>
      </c>
      <c r="B15" s="116" t="s">
        <v>615</v>
      </c>
      <c r="C15" s="116" t="s">
        <v>610</v>
      </c>
      <c r="D15" s="119" t="s">
        <v>701</v>
      </c>
      <c r="E15" s="581">
        <v>21.4</v>
      </c>
      <c r="F15" s="582">
        <v>13.4</v>
      </c>
      <c r="G15" s="583">
        <v>29.4</v>
      </c>
      <c r="H15" s="584">
        <v>17.78</v>
      </c>
      <c r="I15" s="582">
        <v>11.15</v>
      </c>
      <c r="J15" s="585">
        <v>24.42</v>
      </c>
    </row>
    <row r="16" spans="1:10" ht="65" x14ac:dyDescent="0.35">
      <c r="A16" s="117" t="s">
        <v>706</v>
      </c>
      <c r="B16" s="117" t="s">
        <v>614</v>
      </c>
      <c r="C16" s="117" t="s">
        <v>610</v>
      </c>
      <c r="D16" s="118" t="s">
        <v>704</v>
      </c>
      <c r="E16" s="581">
        <v>18.3</v>
      </c>
      <c r="F16" s="582">
        <v>10.3</v>
      </c>
      <c r="G16" s="583">
        <v>26.3</v>
      </c>
      <c r="H16" s="584">
        <v>15.17</v>
      </c>
      <c r="I16" s="582">
        <v>8.5299999999999994</v>
      </c>
      <c r="J16" s="585">
        <v>21.81</v>
      </c>
    </row>
    <row r="17" spans="1:10" ht="65" x14ac:dyDescent="0.35">
      <c r="A17" s="117" t="s">
        <v>706</v>
      </c>
      <c r="B17" s="117" t="s">
        <v>615</v>
      </c>
      <c r="C17" s="117" t="s">
        <v>610</v>
      </c>
      <c r="D17" s="118" t="s">
        <v>702</v>
      </c>
      <c r="E17" s="581">
        <v>24.9</v>
      </c>
      <c r="F17" s="582">
        <v>17</v>
      </c>
      <c r="G17" s="583">
        <v>33.1</v>
      </c>
      <c r="H17" s="584">
        <v>20.7</v>
      </c>
      <c r="I17" s="582">
        <v>14.14</v>
      </c>
      <c r="J17" s="585">
        <v>27.48</v>
      </c>
    </row>
    <row r="18" spans="1:10" ht="65.5" thickBot="1" x14ac:dyDescent="0.4">
      <c r="A18" s="117" t="s">
        <v>706</v>
      </c>
      <c r="B18" s="117" t="s">
        <v>615</v>
      </c>
      <c r="C18" s="117" t="s">
        <v>610</v>
      </c>
      <c r="D18" s="118" t="s">
        <v>703</v>
      </c>
      <c r="E18" s="581">
        <v>24.9</v>
      </c>
      <c r="F18" s="582">
        <v>16.7</v>
      </c>
      <c r="G18" s="583">
        <v>33.200000000000003</v>
      </c>
      <c r="H18" s="591">
        <v>20.7</v>
      </c>
      <c r="I18" s="592">
        <v>13.86</v>
      </c>
      <c r="J18" s="593">
        <v>27.53</v>
      </c>
    </row>
    <row r="19" spans="1:10" x14ac:dyDescent="0.35">
      <c r="A19" s="580"/>
    </row>
  </sheetData>
  <mergeCells count="6">
    <mergeCell ref="I7:J7"/>
    <mergeCell ref="A3:E3"/>
    <mergeCell ref="A7:D7"/>
    <mergeCell ref="F7:G7"/>
    <mergeCell ref="A5:J5"/>
    <mergeCell ref="A6:J6"/>
  </mergeCell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21"/>
  <sheetViews>
    <sheetView zoomScale="80" zoomScaleNormal="80" workbookViewId="0">
      <selection activeCell="G7" sqref="G7"/>
    </sheetView>
  </sheetViews>
  <sheetFormatPr defaultRowHeight="13" x14ac:dyDescent="0.35"/>
  <cols>
    <col min="1" max="1" width="86.54296875" style="111" customWidth="1"/>
    <col min="2" max="2" width="10.54296875" style="111" customWidth="1"/>
    <col min="3" max="3" width="8.90625" style="111" customWidth="1"/>
    <col min="4" max="16384" width="8.7265625" style="111"/>
  </cols>
  <sheetData>
    <row r="1" spans="1:4" ht="17" x14ac:dyDescent="0.35">
      <c r="A1" s="626" t="s">
        <v>622</v>
      </c>
    </row>
    <row r="3" spans="1:4" ht="41.5" customHeight="1" x14ac:dyDescent="0.35">
      <c r="A3" s="956" t="s">
        <v>624</v>
      </c>
      <c r="B3" s="956"/>
      <c r="C3" s="956"/>
    </row>
    <row r="4" spans="1:4" x14ac:dyDescent="0.35">
      <c r="A4" s="958" t="s">
        <v>483</v>
      </c>
      <c r="B4" s="958"/>
      <c r="C4" s="958"/>
    </row>
    <row r="5" spans="1:4" ht="41.5" customHeight="1" x14ac:dyDescent="0.35">
      <c r="A5" s="951" t="s">
        <v>503</v>
      </c>
      <c r="B5" s="951"/>
      <c r="C5" s="951"/>
    </row>
    <row r="6" spans="1:4" ht="95" customHeight="1" x14ac:dyDescent="0.35">
      <c r="A6" s="957" t="s">
        <v>721</v>
      </c>
      <c r="B6" s="957"/>
      <c r="C6" s="957"/>
    </row>
    <row r="7" spans="1:4" ht="26" x14ac:dyDescent="0.35">
      <c r="A7" s="112" t="s">
        <v>484</v>
      </c>
      <c r="B7" s="112" t="s">
        <v>485</v>
      </c>
      <c r="C7" s="112" t="s">
        <v>486</v>
      </c>
      <c r="D7" s="764" t="s">
        <v>722</v>
      </c>
    </row>
    <row r="8" spans="1:4" x14ac:dyDescent="0.35">
      <c r="A8" s="115" t="s">
        <v>487</v>
      </c>
      <c r="B8" s="114">
        <v>3.51</v>
      </c>
      <c r="C8" s="113">
        <v>0.9</v>
      </c>
      <c r="D8" s="765" t="s">
        <v>707</v>
      </c>
    </row>
    <row r="9" spans="1:4" ht="26" x14ac:dyDescent="0.35">
      <c r="A9" s="115" t="s">
        <v>488</v>
      </c>
      <c r="B9" s="114">
        <v>3.38</v>
      </c>
      <c r="C9" s="113">
        <v>1</v>
      </c>
      <c r="D9" s="765" t="s">
        <v>708</v>
      </c>
    </row>
    <row r="10" spans="1:4" x14ac:dyDescent="0.35">
      <c r="A10" s="115" t="s">
        <v>489</v>
      </c>
      <c r="B10" s="114">
        <v>3.35</v>
      </c>
      <c r="C10" s="113">
        <v>0.9</v>
      </c>
      <c r="D10" s="765" t="s">
        <v>709</v>
      </c>
    </row>
    <row r="11" spans="1:4" x14ac:dyDescent="0.35">
      <c r="A11" s="115" t="s">
        <v>490</v>
      </c>
      <c r="B11" s="114">
        <v>3.24</v>
      </c>
      <c r="C11" s="113">
        <v>1.1000000000000001</v>
      </c>
      <c r="D11" s="765" t="s">
        <v>710</v>
      </c>
    </row>
    <row r="12" spans="1:4" ht="26" x14ac:dyDescent="0.35">
      <c r="A12" s="115" t="s">
        <v>491</v>
      </c>
      <c r="B12" s="114">
        <v>3.2</v>
      </c>
      <c r="C12" s="113">
        <v>1.1000000000000001</v>
      </c>
      <c r="D12" s="765" t="s">
        <v>711</v>
      </c>
    </row>
    <row r="13" spans="1:4" ht="26" x14ac:dyDescent="0.35">
      <c r="A13" s="115" t="s">
        <v>492</v>
      </c>
      <c r="B13" s="114">
        <v>3.13</v>
      </c>
      <c r="C13" s="113">
        <v>1</v>
      </c>
      <c r="D13" s="765" t="s">
        <v>712</v>
      </c>
    </row>
    <row r="14" spans="1:4" ht="26" x14ac:dyDescent="0.35">
      <c r="A14" s="115" t="s">
        <v>493</v>
      </c>
      <c r="B14" s="114">
        <v>3.11</v>
      </c>
      <c r="C14" s="113">
        <v>1</v>
      </c>
      <c r="D14" s="765" t="s">
        <v>713</v>
      </c>
    </row>
    <row r="15" spans="1:4" x14ac:dyDescent="0.35">
      <c r="A15" s="115" t="s">
        <v>494</v>
      </c>
      <c r="B15" s="114">
        <v>3.02</v>
      </c>
      <c r="C15" s="113">
        <v>1.1000000000000001</v>
      </c>
      <c r="D15" s="765" t="s">
        <v>714</v>
      </c>
    </row>
    <row r="16" spans="1:4" ht="26" x14ac:dyDescent="0.35">
      <c r="A16" s="115" t="s">
        <v>495</v>
      </c>
      <c r="B16" s="114">
        <v>3.01</v>
      </c>
      <c r="C16" s="113">
        <v>1.2</v>
      </c>
      <c r="D16" s="765" t="s">
        <v>715</v>
      </c>
    </row>
    <row r="17" spans="1:4" ht="39" x14ac:dyDescent="0.35">
      <c r="A17" s="115" t="s">
        <v>496</v>
      </c>
      <c r="B17" s="114">
        <v>2.98</v>
      </c>
      <c r="C17" s="113">
        <v>1.2</v>
      </c>
      <c r="D17" s="765" t="s">
        <v>716</v>
      </c>
    </row>
    <row r="18" spans="1:4" ht="26" x14ac:dyDescent="0.35">
      <c r="A18" s="115" t="s">
        <v>497</v>
      </c>
      <c r="B18" s="114">
        <v>2.87</v>
      </c>
      <c r="C18" s="113">
        <v>1.1000000000000001</v>
      </c>
      <c r="D18" s="765" t="s">
        <v>717</v>
      </c>
    </row>
    <row r="19" spans="1:4" ht="26" x14ac:dyDescent="0.35">
      <c r="A19" s="115" t="s">
        <v>498</v>
      </c>
      <c r="B19" s="114">
        <v>2.68</v>
      </c>
      <c r="C19" s="113">
        <v>1.4</v>
      </c>
      <c r="D19" s="765" t="s">
        <v>718</v>
      </c>
    </row>
    <row r="20" spans="1:4" x14ac:dyDescent="0.35">
      <c r="A20" s="115" t="s">
        <v>499</v>
      </c>
      <c r="B20" s="114">
        <v>2.58</v>
      </c>
      <c r="C20" s="113">
        <v>1.3</v>
      </c>
      <c r="D20" s="765" t="s">
        <v>719</v>
      </c>
    </row>
    <row r="21" spans="1:4" ht="26" x14ac:dyDescent="0.35">
      <c r="A21" s="115" t="s">
        <v>500</v>
      </c>
      <c r="B21" s="114">
        <v>2.16</v>
      </c>
      <c r="C21" s="113">
        <v>1.4</v>
      </c>
      <c r="D21" s="765" t="s">
        <v>720</v>
      </c>
    </row>
  </sheetData>
  <mergeCells count="4">
    <mergeCell ref="A3:C3"/>
    <mergeCell ref="A6:C6"/>
    <mergeCell ref="A4:C4"/>
    <mergeCell ref="A5:C5"/>
  </mergeCells>
  <conditionalFormatting sqref="B8:B16">
    <cfRule type="colorScale" priority="7">
      <colorScale>
        <cfvo type="min"/>
        <cfvo type="percentile" val="50"/>
        <cfvo type="max"/>
        <color rgb="FFF8696B"/>
        <color rgb="FFFCFCFF"/>
        <color rgb="FF63BE7B"/>
      </colorScale>
    </cfRule>
    <cfRule type="colorScale" priority="3">
      <colorScale>
        <cfvo type="min"/>
        <cfvo type="max"/>
        <color rgb="FFFFEF9C"/>
        <color rgb="FF63BE7B"/>
      </colorScale>
    </cfRule>
  </conditionalFormatting>
  <conditionalFormatting sqref="B15:B21">
    <cfRule type="colorScale" priority="5">
      <colorScale>
        <cfvo type="min"/>
        <cfvo type="max"/>
        <color rgb="FFFFEF9C"/>
        <color theme="0"/>
      </colorScale>
    </cfRule>
    <cfRule type="colorScale" priority="4">
      <colorScale>
        <cfvo type="min"/>
        <cfvo type="max"/>
        <color theme="7" tint="0.39997558519241921"/>
        <color theme="0"/>
      </colorScale>
    </cfRule>
    <cfRule type="colorScale" priority="2">
      <colorScale>
        <cfvo type="min"/>
        <cfvo type="max"/>
        <color rgb="FFFFC000"/>
        <color rgb="FFFFEF9C"/>
      </colorScale>
    </cfRule>
    <cfRule type="colorScale" priority="1">
      <colorScale>
        <cfvo type="min"/>
        <cfvo type="max"/>
        <color rgb="FFFF7128"/>
        <color rgb="FFFFEF9C"/>
      </colorScale>
    </cfRule>
  </conditionalFormatting>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W49"/>
  <sheetViews>
    <sheetView zoomScale="70" zoomScaleNormal="70" workbookViewId="0">
      <selection activeCell="E3" sqref="E3:P3"/>
    </sheetView>
  </sheetViews>
  <sheetFormatPr defaultRowHeight="14.5" x14ac:dyDescent="0.35"/>
  <cols>
    <col min="1" max="1" width="2.453125" style="1" customWidth="1"/>
    <col min="2" max="4" width="8.7265625" style="1"/>
    <col min="5" max="5" width="4.08984375" style="1" customWidth="1"/>
    <col min="6" max="16384" width="8.7265625" style="1"/>
  </cols>
  <sheetData>
    <row r="1" spans="1:23" ht="19.5" x14ac:dyDescent="0.35">
      <c r="A1" s="640" t="s">
        <v>629</v>
      </c>
      <c r="N1" s="623"/>
    </row>
    <row r="2" spans="1:23" x14ac:dyDescent="0.35">
      <c r="B2" s="625" t="s">
        <v>628</v>
      </c>
    </row>
    <row r="3" spans="1:23" ht="57.5" customHeight="1" x14ac:dyDescent="0.35">
      <c r="B3" s="769" t="s">
        <v>637</v>
      </c>
      <c r="C3" s="769"/>
      <c r="D3" s="769"/>
      <c r="E3" s="770" t="s">
        <v>727</v>
      </c>
      <c r="F3" s="770"/>
      <c r="G3" s="770"/>
      <c r="H3" s="770"/>
      <c r="I3" s="770"/>
      <c r="J3" s="770"/>
      <c r="K3" s="770"/>
      <c r="L3" s="770"/>
      <c r="M3" s="770"/>
      <c r="N3" s="770"/>
      <c r="O3" s="770"/>
      <c r="P3" s="770"/>
      <c r="Q3" s="636"/>
      <c r="R3" s="636"/>
      <c r="S3" s="636"/>
      <c r="T3" s="636"/>
      <c r="U3" s="636"/>
      <c r="V3" s="636"/>
      <c r="W3" s="636"/>
    </row>
    <row r="4" spans="1:23" ht="43.5" customHeight="1" x14ac:dyDescent="0.35">
      <c r="B4" s="769" t="s">
        <v>638</v>
      </c>
      <c r="C4" s="769"/>
      <c r="D4" s="769"/>
      <c r="E4" s="770" t="s">
        <v>726</v>
      </c>
      <c r="F4" s="770"/>
      <c r="G4" s="770"/>
      <c r="H4" s="770"/>
      <c r="I4" s="770"/>
      <c r="J4" s="770"/>
      <c r="K4" s="770"/>
      <c r="L4" s="770"/>
      <c r="M4" s="770"/>
      <c r="N4" s="770"/>
      <c r="O4" s="770"/>
      <c r="P4" s="770"/>
      <c r="Q4" s="636"/>
      <c r="R4" s="636"/>
      <c r="S4" s="636"/>
      <c r="T4" s="636"/>
      <c r="U4" s="636"/>
      <c r="V4" s="636"/>
      <c r="W4" s="636"/>
    </row>
    <row r="5" spans="1:23" ht="44" customHeight="1" x14ac:dyDescent="0.35">
      <c r="B5" s="768" t="s">
        <v>627</v>
      </c>
      <c r="C5" s="768"/>
      <c r="D5" s="768"/>
      <c r="E5" s="770" t="s">
        <v>633</v>
      </c>
      <c r="F5" s="770"/>
      <c r="G5" s="770"/>
      <c r="H5" s="770"/>
      <c r="I5" s="770"/>
      <c r="J5" s="770"/>
      <c r="K5" s="770"/>
      <c r="L5" s="770"/>
      <c r="M5" s="770"/>
      <c r="N5" s="770"/>
      <c r="O5" s="770"/>
      <c r="P5" s="770"/>
      <c r="Q5" s="636"/>
      <c r="R5" s="636"/>
      <c r="S5" s="636"/>
      <c r="T5" s="636"/>
      <c r="U5" s="636"/>
      <c r="V5" s="636"/>
      <c r="W5" s="636"/>
    </row>
    <row r="6" spans="1:23" x14ac:dyDescent="0.35">
      <c r="Q6" s="637"/>
      <c r="R6" s="637"/>
      <c r="S6" s="637"/>
      <c r="T6" s="637"/>
      <c r="U6" s="637"/>
      <c r="V6" s="637"/>
      <c r="W6" s="637"/>
    </row>
    <row r="7" spans="1:23" x14ac:dyDescent="0.35">
      <c r="B7" s="624" t="s">
        <v>623</v>
      </c>
    </row>
    <row r="8" spans="1:23" ht="7.5" customHeight="1" x14ac:dyDescent="0.35"/>
    <row r="9" spans="1:23" x14ac:dyDescent="0.35">
      <c r="F9" s="767" t="s">
        <v>642</v>
      </c>
      <c r="G9" s="767"/>
      <c r="H9" s="767"/>
      <c r="I9" s="767"/>
      <c r="J9" s="767"/>
      <c r="K9" s="767"/>
      <c r="L9" s="767"/>
      <c r="M9" s="767"/>
      <c r="N9" s="767"/>
      <c r="O9" s="767"/>
      <c r="P9" s="767"/>
    </row>
    <row r="10" spans="1:23" x14ac:dyDescent="0.35">
      <c r="F10" s="767"/>
      <c r="G10" s="767"/>
      <c r="H10" s="767"/>
      <c r="I10" s="767"/>
      <c r="J10" s="767"/>
      <c r="K10" s="767"/>
      <c r="L10" s="767"/>
      <c r="M10" s="767"/>
      <c r="N10" s="767"/>
      <c r="O10" s="767"/>
      <c r="P10" s="767"/>
    </row>
    <row r="11" spans="1:23" x14ac:dyDescent="0.35">
      <c r="F11" s="767"/>
      <c r="G11" s="767"/>
      <c r="H11" s="767"/>
      <c r="I11" s="767"/>
      <c r="J11" s="767"/>
      <c r="K11" s="767"/>
      <c r="L11" s="767"/>
      <c r="M11" s="767"/>
      <c r="N11" s="767"/>
      <c r="O11" s="767"/>
      <c r="P11" s="767"/>
    </row>
    <row r="12" spans="1:23" x14ac:dyDescent="0.35">
      <c r="F12" s="767" t="s">
        <v>647</v>
      </c>
      <c r="G12" s="767"/>
      <c r="H12" s="767"/>
      <c r="I12" s="767"/>
      <c r="J12" s="767"/>
      <c r="K12" s="767"/>
      <c r="L12" s="767"/>
      <c r="M12" s="767"/>
      <c r="N12" s="767"/>
      <c r="O12" s="767"/>
      <c r="P12" s="767"/>
    </row>
    <row r="13" spans="1:23" x14ac:dyDescent="0.35">
      <c r="F13" s="767"/>
      <c r="G13" s="767"/>
      <c r="H13" s="767"/>
      <c r="I13" s="767"/>
      <c r="J13" s="767"/>
      <c r="K13" s="767"/>
      <c r="L13" s="767"/>
      <c r="M13" s="767"/>
      <c r="N13" s="767"/>
      <c r="O13" s="767"/>
      <c r="P13" s="767"/>
    </row>
    <row r="14" spans="1:23" x14ac:dyDescent="0.35">
      <c r="F14" s="767"/>
      <c r="G14" s="767"/>
      <c r="H14" s="767"/>
      <c r="I14" s="767"/>
      <c r="J14" s="767"/>
      <c r="K14" s="767"/>
      <c r="L14" s="767"/>
      <c r="M14" s="767"/>
      <c r="N14" s="767"/>
      <c r="O14" s="767"/>
      <c r="P14" s="767"/>
    </row>
    <row r="15" spans="1:23" x14ac:dyDescent="0.35">
      <c r="F15" s="766" t="s">
        <v>728</v>
      </c>
      <c r="G15" s="766"/>
      <c r="H15" s="766"/>
      <c r="I15" s="766"/>
      <c r="J15" s="766"/>
      <c r="K15" s="766"/>
      <c r="L15" s="766"/>
      <c r="M15" s="766"/>
      <c r="N15" s="766"/>
      <c r="O15" s="766"/>
      <c r="P15" s="766"/>
    </row>
    <row r="16" spans="1:23" x14ac:dyDescent="0.35">
      <c r="F16" s="766"/>
      <c r="G16" s="766"/>
      <c r="H16" s="766"/>
      <c r="I16" s="766"/>
      <c r="J16" s="766"/>
      <c r="K16" s="766"/>
      <c r="L16" s="766"/>
      <c r="M16" s="766"/>
      <c r="N16" s="766"/>
      <c r="O16" s="766"/>
      <c r="P16" s="766"/>
    </row>
    <row r="17" spans="6:16" x14ac:dyDescent="0.35">
      <c r="F17" s="766"/>
      <c r="G17" s="766"/>
      <c r="H17" s="766"/>
      <c r="I17" s="766"/>
      <c r="J17" s="766"/>
      <c r="K17" s="766"/>
      <c r="L17" s="766"/>
      <c r="M17" s="766"/>
      <c r="N17" s="766"/>
      <c r="O17" s="766"/>
      <c r="P17" s="766"/>
    </row>
    <row r="18" spans="6:16" x14ac:dyDescent="0.35">
      <c r="F18" s="767" t="s">
        <v>630</v>
      </c>
      <c r="G18" s="767"/>
      <c r="H18" s="767"/>
      <c r="I18" s="767"/>
      <c r="J18" s="767"/>
      <c r="K18" s="767"/>
      <c r="L18" s="767"/>
      <c r="M18" s="767"/>
      <c r="N18" s="767"/>
      <c r="O18" s="767"/>
      <c r="P18" s="767"/>
    </row>
    <row r="19" spans="6:16" x14ac:dyDescent="0.35">
      <c r="F19" s="767"/>
      <c r="G19" s="767"/>
      <c r="H19" s="767"/>
      <c r="I19" s="767"/>
      <c r="J19" s="767"/>
      <c r="K19" s="767"/>
      <c r="L19" s="767"/>
      <c r="M19" s="767"/>
      <c r="N19" s="767"/>
      <c r="O19" s="767"/>
      <c r="P19" s="767"/>
    </row>
    <row r="20" spans="6:16" x14ac:dyDescent="0.35">
      <c r="F20" s="767"/>
      <c r="G20" s="767"/>
      <c r="H20" s="767"/>
      <c r="I20" s="767"/>
      <c r="J20" s="767"/>
      <c r="K20" s="767"/>
      <c r="L20" s="767"/>
      <c r="M20" s="767"/>
      <c r="N20" s="767"/>
      <c r="O20" s="767"/>
      <c r="P20" s="767"/>
    </row>
    <row r="21" spans="6:16" x14ac:dyDescent="0.35">
      <c r="F21" s="767" t="s">
        <v>634</v>
      </c>
      <c r="G21" s="767"/>
      <c r="H21" s="767"/>
      <c r="I21" s="767"/>
      <c r="J21" s="767"/>
      <c r="K21" s="767"/>
      <c r="L21" s="767"/>
      <c r="M21" s="767"/>
      <c r="N21" s="767"/>
      <c r="O21" s="767"/>
      <c r="P21" s="767"/>
    </row>
    <row r="22" spans="6:16" x14ac:dyDescent="0.35">
      <c r="F22" s="767"/>
      <c r="G22" s="767"/>
      <c r="H22" s="767"/>
      <c r="I22" s="767"/>
      <c r="J22" s="767"/>
      <c r="K22" s="767"/>
      <c r="L22" s="767"/>
      <c r="M22" s="767"/>
      <c r="N22" s="767"/>
      <c r="O22" s="767"/>
      <c r="P22" s="767"/>
    </row>
    <row r="23" spans="6:16" x14ac:dyDescent="0.35">
      <c r="F23" s="767"/>
      <c r="G23" s="767"/>
      <c r="H23" s="767"/>
      <c r="I23" s="767"/>
      <c r="J23" s="767"/>
      <c r="K23" s="767"/>
      <c r="L23" s="767"/>
      <c r="M23" s="767"/>
      <c r="N23" s="767"/>
      <c r="O23" s="767"/>
      <c r="P23" s="767"/>
    </row>
    <row r="25" spans="6:16" ht="14.5" customHeight="1" x14ac:dyDescent="0.35">
      <c r="F25" s="766" t="s">
        <v>648</v>
      </c>
      <c r="G25" s="766"/>
      <c r="H25" s="766"/>
      <c r="I25" s="766"/>
      <c r="J25" s="766"/>
      <c r="K25" s="766"/>
      <c r="L25" s="766"/>
      <c r="M25" s="766"/>
      <c r="N25" s="766"/>
      <c r="O25" s="766"/>
      <c r="P25" s="766"/>
    </row>
    <row r="26" spans="6:16" x14ac:dyDescent="0.35">
      <c r="F26" s="766"/>
      <c r="G26" s="766"/>
      <c r="H26" s="766"/>
      <c r="I26" s="766"/>
      <c r="J26" s="766"/>
      <c r="K26" s="766"/>
      <c r="L26" s="766"/>
      <c r="M26" s="766"/>
      <c r="N26" s="766"/>
      <c r="O26" s="766"/>
      <c r="P26" s="766"/>
    </row>
    <row r="27" spans="6:16" x14ac:dyDescent="0.35">
      <c r="F27" s="766"/>
      <c r="G27" s="766"/>
      <c r="H27" s="766"/>
      <c r="I27" s="766"/>
      <c r="J27" s="766"/>
      <c r="K27" s="766"/>
      <c r="L27" s="766"/>
      <c r="M27" s="766"/>
      <c r="N27" s="766"/>
      <c r="O27" s="766"/>
      <c r="P27" s="766"/>
    </row>
    <row r="28" spans="6:16" x14ac:dyDescent="0.35">
      <c r="F28" s="766"/>
      <c r="G28" s="766"/>
      <c r="H28" s="766"/>
      <c r="I28" s="766"/>
      <c r="J28" s="766"/>
      <c r="K28" s="766"/>
      <c r="L28" s="766"/>
      <c r="M28" s="766"/>
      <c r="N28" s="766"/>
      <c r="O28" s="766"/>
      <c r="P28" s="766"/>
    </row>
    <row r="29" spans="6:16" x14ac:dyDescent="0.35">
      <c r="F29" s="766"/>
      <c r="G29" s="766"/>
      <c r="H29" s="766"/>
      <c r="I29" s="766"/>
      <c r="J29" s="766"/>
      <c r="K29" s="766"/>
      <c r="L29" s="766"/>
      <c r="M29" s="766"/>
      <c r="N29" s="766"/>
      <c r="O29" s="766"/>
      <c r="P29" s="766"/>
    </row>
    <row r="30" spans="6:16" x14ac:dyDescent="0.35">
      <c r="F30" s="766" t="s">
        <v>661</v>
      </c>
      <c r="G30" s="766"/>
      <c r="H30" s="766"/>
      <c r="I30" s="766"/>
      <c r="J30" s="766"/>
      <c r="K30" s="766"/>
      <c r="L30" s="766"/>
      <c r="M30" s="766"/>
      <c r="N30" s="766"/>
      <c r="O30" s="766"/>
      <c r="P30" s="766"/>
    </row>
    <row r="31" spans="6:16" x14ac:dyDescent="0.35">
      <c r="F31" s="766"/>
      <c r="G31" s="766"/>
      <c r="H31" s="766"/>
      <c r="I31" s="766"/>
      <c r="J31" s="766"/>
      <c r="K31" s="766"/>
      <c r="L31" s="766"/>
      <c r="M31" s="766"/>
      <c r="N31" s="766"/>
      <c r="O31" s="766"/>
      <c r="P31" s="766"/>
    </row>
    <row r="32" spans="6:16" x14ac:dyDescent="0.35">
      <c r="F32" s="766"/>
      <c r="G32" s="766"/>
      <c r="H32" s="766"/>
      <c r="I32" s="766"/>
      <c r="J32" s="766"/>
      <c r="K32" s="766"/>
      <c r="L32" s="766"/>
      <c r="M32" s="766"/>
      <c r="N32" s="766"/>
      <c r="O32" s="766"/>
      <c r="P32" s="766"/>
    </row>
    <row r="33" spans="6:16" x14ac:dyDescent="0.35">
      <c r="F33" s="623"/>
    </row>
    <row r="34" spans="6:16" x14ac:dyDescent="0.35">
      <c r="F34" s="767" t="s">
        <v>635</v>
      </c>
      <c r="G34" s="767"/>
      <c r="H34" s="767"/>
      <c r="I34" s="767"/>
      <c r="J34" s="767"/>
      <c r="K34" s="767"/>
      <c r="L34" s="767"/>
      <c r="M34" s="767"/>
      <c r="N34" s="767"/>
      <c r="O34" s="767"/>
      <c r="P34" s="767"/>
    </row>
    <row r="35" spans="6:16" x14ac:dyDescent="0.35">
      <c r="F35" s="767"/>
      <c r="G35" s="767"/>
      <c r="H35" s="767"/>
      <c r="I35" s="767"/>
      <c r="J35" s="767"/>
      <c r="K35" s="767"/>
      <c r="L35" s="767"/>
      <c r="M35" s="767"/>
      <c r="N35" s="767"/>
      <c r="O35" s="767"/>
      <c r="P35" s="767"/>
    </row>
    <row r="36" spans="6:16" x14ac:dyDescent="0.35">
      <c r="F36" s="767"/>
      <c r="G36" s="767"/>
      <c r="H36" s="767"/>
      <c r="I36" s="767"/>
      <c r="J36" s="767"/>
      <c r="K36" s="767"/>
      <c r="L36" s="767"/>
      <c r="M36" s="767"/>
      <c r="N36" s="767"/>
      <c r="O36" s="767"/>
      <c r="P36" s="767"/>
    </row>
    <row r="38" spans="6:16" x14ac:dyDescent="0.35">
      <c r="F38" s="767" t="s">
        <v>636</v>
      </c>
      <c r="G38" s="767"/>
      <c r="H38" s="767"/>
      <c r="I38" s="767"/>
      <c r="J38" s="767"/>
      <c r="K38" s="767"/>
      <c r="L38" s="767"/>
      <c r="M38" s="767"/>
      <c r="N38" s="767"/>
      <c r="O38" s="767"/>
      <c r="P38" s="767"/>
    </row>
    <row r="39" spans="6:16" x14ac:dyDescent="0.35">
      <c r="F39" s="767"/>
      <c r="G39" s="767"/>
      <c r="H39" s="767"/>
      <c r="I39" s="767"/>
      <c r="J39" s="767"/>
      <c r="K39" s="767"/>
      <c r="L39" s="767"/>
      <c r="M39" s="767"/>
      <c r="N39" s="767"/>
      <c r="O39" s="767"/>
      <c r="P39" s="767"/>
    </row>
    <row r="40" spans="6:16" x14ac:dyDescent="0.35">
      <c r="F40" s="767"/>
      <c r="G40" s="767"/>
      <c r="H40" s="767"/>
      <c r="I40" s="767"/>
      <c r="J40" s="767"/>
      <c r="K40" s="767"/>
      <c r="L40" s="767"/>
      <c r="M40" s="767"/>
      <c r="N40" s="767"/>
      <c r="O40" s="767"/>
      <c r="P40" s="767"/>
    </row>
    <row r="42" spans="6:16" x14ac:dyDescent="0.35">
      <c r="F42" s="767" t="s">
        <v>641</v>
      </c>
      <c r="G42" s="767"/>
      <c r="H42" s="767"/>
      <c r="I42" s="767"/>
      <c r="J42" s="767"/>
      <c r="K42" s="767"/>
      <c r="L42" s="767"/>
      <c r="M42" s="767"/>
      <c r="N42" s="767"/>
      <c r="O42" s="767"/>
      <c r="P42" s="767"/>
    </row>
    <row r="43" spans="6:16" ht="14.5" customHeight="1" x14ac:dyDescent="0.35">
      <c r="F43" s="767"/>
      <c r="G43" s="767"/>
      <c r="H43" s="767"/>
      <c r="I43" s="767"/>
      <c r="J43" s="767"/>
      <c r="K43" s="767"/>
      <c r="L43" s="767"/>
      <c r="M43" s="767"/>
      <c r="N43" s="767"/>
      <c r="O43" s="767"/>
      <c r="P43" s="767"/>
    </row>
    <row r="44" spans="6:16" x14ac:dyDescent="0.35">
      <c r="F44" s="767"/>
      <c r="G44" s="767"/>
      <c r="H44" s="767"/>
      <c r="I44" s="767"/>
      <c r="J44" s="767"/>
      <c r="K44" s="767"/>
      <c r="L44" s="767"/>
      <c r="M44" s="767"/>
      <c r="N44" s="767"/>
      <c r="O44" s="767"/>
      <c r="P44" s="767"/>
    </row>
    <row r="45" spans="6:16" x14ac:dyDescent="0.35">
      <c r="F45" s="767"/>
      <c r="G45" s="767"/>
      <c r="H45" s="767"/>
      <c r="I45" s="767"/>
      <c r="J45" s="767"/>
      <c r="K45" s="767"/>
      <c r="L45" s="767"/>
      <c r="M45" s="767"/>
      <c r="N45" s="767"/>
      <c r="O45" s="767"/>
      <c r="P45" s="767"/>
    </row>
    <row r="46" spans="6:16" ht="14.5" customHeight="1" x14ac:dyDescent="0.35">
      <c r="G46" s="4"/>
      <c r="H46" s="4"/>
      <c r="I46" s="4"/>
      <c r="J46" s="4"/>
      <c r="K46" s="4"/>
      <c r="L46" s="4"/>
      <c r="M46" s="4"/>
      <c r="N46" s="4"/>
      <c r="O46" s="4"/>
      <c r="P46" s="4"/>
    </row>
    <row r="47" spans="6:16" ht="14.5" customHeight="1" x14ac:dyDescent="0.35">
      <c r="F47" s="766" t="s">
        <v>640</v>
      </c>
      <c r="G47" s="766"/>
      <c r="H47" s="766"/>
      <c r="I47" s="766"/>
      <c r="J47" s="766"/>
      <c r="K47" s="766"/>
      <c r="L47" s="766"/>
      <c r="M47" s="766"/>
      <c r="N47" s="766"/>
      <c r="O47" s="766"/>
      <c r="P47" s="766"/>
    </row>
    <row r="48" spans="6:16" x14ac:dyDescent="0.35">
      <c r="F48" s="766"/>
      <c r="G48" s="766"/>
      <c r="H48" s="766"/>
      <c r="I48" s="766"/>
      <c r="J48" s="766"/>
      <c r="K48" s="766"/>
      <c r="L48" s="766"/>
      <c r="M48" s="766"/>
      <c r="N48" s="766"/>
      <c r="O48" s="766"/>
      <c r="P48" s="766"/>
    </row>
    <row r="49" spans="6:16" x14ac:dyDescent="0.35">
      <c r="F49" s="766"/>
      <c r="G49" s="766"/>
      <c r="H49" s="766"/>
      <c r="I49" s="766"/>
      <c r="J49" s="766"/>
      <c r="K49" s="766"/>
      <c r="L49" s="766"/>
      <c r="M49" s="766"/>
      <c r="N49" s="766"/>
      <c r="O49" s="766"/>
      <c r="P49" s="766"/>
    </row>
  </sheetData>
  <sheetProtection algorithmName="SHA-512" hashValue="f1TUFmJMal8atCqC8nCVvLT3FtOZ5FNbdyF9kSVHl20gwdTNAxotGieydCuq/xZ9/J9SYlDsoqWu1Ic3qtLGVQ==" saltValue="xjVH7hMqVswuX9QBdaVRww==" spinCount="100000" sheet="1" objects="1" scenarios="1"/>
  <mergeCells count="17">
    <mergeCell ref="B5:D5"/>
    <mergeCell ref="B3:D3"/>
    <mergeCell ref="B4:D4"/>
    <mergeCell ref="E3:P3"/>
    <mergeCell ref="E4:P4"/>
    <mergeCell ref="E5:P5"/>
    <mergeCell ref="F47:P49"/>
    <mergeCell ref="F42:P45"/>
    <mergeCell ref="F9:P11"/>
    <mergeCell ref="F15:P17"/>
    <mergeCell ref="F25:P29"/>
    <mergeCell ref="F30:P32"/>
    <mergeCell ref="F34:P36"/>
    <mergeCell ref="F38:P40"/>
    <mergeCell ref="F21:P23"/>
    <mergeCell ref="F12:P14"/>
    <mergeCell ref="F18:P20"/>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226"/>
  <sheetViews>
    <sheetView zoomScale="80" zoomScaleNormal="80" workbookViewId="0"/>
  </sheetViews>
  <sheetFormatPr defaultColWidth="12.81640625" defaultRowHeight="13" x14ac:dyDescent="0.35"/>
  <cols>
    <col min="1" max="1" width="8.6328125" style="122" customWidth="1"/>
    <col min="2" max="2" width="5.81640625" style="122" customWidth="1"/>
    <col min="3" max="3" width="18" style="122" customWidth="1"/>
    <col min="4" max="4" width="74.6328125" style="122" customWidth="1"/>
    <col min="5" max="5" width="8.90625" style="123" customWidth="1"/>
    <col min="6" max="6" width="10.453125" style="123" customWidth="1"/>
    <col min="7" max="7" width="10.54296875" style="123" customWidth="1"/>
    <col min="8" max="8" width="4.54296875" style="122" customWidth="1"/>
    <col min="9" max="9" width="6.26953125" style="122" customWidth="1"/>
    <col min="10" max="10" width="5.81640625" style="122" customWidth="1"/>
    <col min="11" max="11" width="17.1796875" style="122" customWidth="1"/>
    <col min="12" max="12" width="69.08984375" style="122" customWidth="1"/>
    <col min="13" max="13" width="6.6328125" style="122" customWidth="1"/>
    <col min="14" max="14" width="9.7265625" style="122" customWidth="1"/>
    <col min="15" max="15" width="9.54296875" style="122" customWidth="1"/>
    <col min="16" max="16384" width="12.81640625" style="122"/>
  </cols>
  <sheetData>
    <row r="1" spans="1:15" ht="17" x14ac:dyDescent="0.35">
      <c r="A1" s="626" t="s">
        <v>608</v>
      </c>
    </row>
    <row r="2" spans="1:15" x14ac:dyDescent="0.35">
      <c r="A2" s="111" t="s">
        <v>511</v>
      </c>
    </row>
    <row r="3" spans="1:15" x14ac:dyDescent="0.35">
      <c r="A3" s="111"/>
    </row>
    <row r="4" spans="1:15" ht="28.5" customHeight="1" x14ac:dyDescent="0.35">
      <c r="A4" s="776" t="s">
        <v>522</v>
      </c>
      <c r="B4" s="776"/>
      <c r="C4" s="776"/>
      <c r="D4" s="776"/>
      <c r="E4" s="776"/>
      <c r="F4" s="776"/>
      <c r="G4" s="776"/>
      <c r="I4" s="773" t="s">
        <v>523</v>
      </c>
      <c r="J4" s="773"/>
      <c r="K4" s="773"/>
      <c r="L4" s="773"/>
      <c r="M4" s="773"/>
      <c r="N4" s="773"/>
      <c r="O4" s="773"/>
    </row>
    <row r="5" spans="1:15" ht="83.5" customHeight="1" x14ac:dyDescent="0.35">
      <c r="A5" s="777" t="s">
        <v>643</v>
      </c>
      <c r="B5" s="777"/>
      <c r="C5" s="777"/>
      <c r="D5" s="777"/>
      <c r="E5" s="777"/>
      <c r="F5" s="777"/>
      <c r="G5" s="777"/>
      <c r="I5" s="774" t="s">
        <v>644</v>
      </c>
      <c r="J5" s="774"/>
      <c r="K5" s="774"/>
      <c r="L5" s="774"/>
      <c r="M5" s="774"/>
      <c r="N5" s="774"/>
      <c r="O5" s="774"/>
    </row>
    <row r="6" spans="1:15" s="436" customFormat="1" x14ac:dyDescent="0.35">
      <c r="A6" s="467"/>
      <c r="B6" s="467"/>
      <c r="C6" s="467"/>
      <c r="D6" s="467"/>
      <c r="E6" s="467"/>
      <c r="F6" s="467"/>
      <c r="G6" s="467"/>
      <c r="I6" s="469"/>
      <c r="J6" s="469"/>
      <c r="K6" s="469"/>
      <c r="L6" s="469"/>
      <c r="M6" s="469"/>
      <c r="N6" s="469"/>
      <c r="O6" s="469"/>
    </row>
    <row r="7" spans="1:15" x14ac:dyDescent="0.35">
      <c r="D7" s="615" t="s">
        <v>599</v>
      </c>
      <c r="E7" s="616">
        <f>(E105+E129+E153)/3</f>
        <v>344.92248062015506</v>
      </c>
      <c r="L7" s="615" t="s">
        <v>554</v>
      </c>
      <c r="M7" s="616">
        <f>(M33+M57+M81+M105+M129+M153)/6</f>
        <v>234.96295771097246</v>
      </c>
      <c r="N7" s="237"/>
    </row>
    <row r="8" spans="1:15" x14ac:dyDescent="0.35">
      <c r="D8" s="615" t="s">
        <v>600</v>
      </c>
      <c r="E8" s="616">
        <f>(E106+E130+E154)/3</f>
        <v>240.33333333333334</v>
      </c>
      <c r="L8" s="642" t="s">
        <v>555</v>
      </c>
      <c r="M8" s="643">
        <f>(M177+M201)/2</f>
        <v>251.09090909090909</v>
      </c>
      <c r="N8" s="237"/>
    </row>
    <row r="9" spans="1:15" x14ac:dyDescent="0.35">
      <c r="D9" s="615" t="s">
        <v>652</v>
      </c>
      <c r="E9" s="616">
        <f>(E177+E201+E225)/3</f>
        <v>338.13636363636363</v>
      </c>
      <c r="L9" s="237"/>
      <c r="M9" s="237"/>
      <c r="N9" s="237"/>
    </row>
    <row r="10" spans="1:15" x14ac:dyDescent="0.35">
      <c r="D10" s="615" t="s">
        <v>653</v>
      </c>
      <c r="E10" s="616">
        <f>(E178+E202+E226)/3</f>
        <v>255</v>
      </c>
      <c r="N10" s="237"/>
    </row>
    <row r="11" spans="1:15" s="436" customFormat="1" x14ac:dyDescent="0.35">
      <c r="A11" s="467"/>
      <c r="B11" s="467"/>
      <c r="C11" s="467"/>
      <c r="D11" s="467"/>
      <c r="E11" s="467"/>
      <c r="F11" s="467"/>
      <c r="G11" s="467"/>
      <c r="I11" s="468"/>
      <c r="J11" s="468"/>
      <c r="K11" s="468"/>
      <c r="L11" s="468"/>
      <c r="M11" s="468"/>
      <c r="N11" s="468"/>
      <c r="O11" s="468"/>
    </row>
    <row r="12" spans="1:15" ht="17" customHeight="1" x14ac:dyDescent="0.35">
      <c r="A12" s="771" t="s">
        <v>403</v>
      </c>
      <c r="B12" s="775" t="s">
        <v>404</v>
      </c>
      <c r="C12" s="775"/>
      <c r="D12" s="775"/>
      <c r="E12" s="775"/>
      <c r="F12" s="775"/>
      <c r="G12" s="775"/>
      <c r="I12" s="771" t="s">
        <v>403</v>
      </c>
      <c r="J12" s="775" t="s">
        <v>512</v>
      </c>
      <c r="K12" s="775"/>
      <c r="L12" s="775"/>
      <c r="M12" s="775"/>
      <c r="N12" s="775"/>
      <c r="O12" s="775"/>
    </row>
    <row r="13" spans="1:15" ht="26" x14ac:dyDescent="0.35">
      <c r="A13" s="771"/>
      <c r="B13" s="124" t="s">
        <v>2</v>
      </c>
      <c r="C13" s="124" t="s">
        <v>405</v>
      </c>
      <c r="D13" s="124" t="s">
        <v>406</v>
      </c>
      <c r="E13" s="124" t="s">
        <v>407</v>
      </c>
      <c r="F13" s="124" t="s">
        <v>408</v>
      </c>
      <c r="G13" s="124" t="s">
        <v>409</v>
      </c>
      <c r="I13" s="771"/>
      <c r="J13" s="124" t="s">
        <v>2</v>
      </c>
      <c r="K13" s="124" t="s">
        <v>405</v>
      </c>
      <c r="L13" s="124" t="s">
        <v>406</v>
      </c>
      <c r="M13" s="124" t="s">
        <v>407</v>
      </c>
      <c r="N13" s="124" t="s">
        <v>408</v>
      </c>
      <c r="O13" s="124" t="s">
        <v>409</v>
      </c>
    </row>
    <row r="14" spans="1:15" x14ac:dyDescent="0.35">
      <c r="A14" s="125" t="s">
        <v>410</v>
      </c>
      <c r="B14" s="130" t="s">
        <v>371</v>
      </c>
      <c r="C14" s="127" t="s">
        <v>411</v>
      </c>
      <c r="D14" s="126" t="s">
        <v>412</v>
      </c>
      <c r="E14" s="128">
        <v>4211</v>
      </c>
      <c r="F14" s="129">
        <f>E14/$E$31</f>
        <v>0.35517881241565452</v>
      </c>
      <c r="G14" s="129">
        <v>1</v>
      </c>
      <c r="I14" s="125" t="s">
        <v>410</v>
      </c>
      <c r="J14" s="130" t="s">
        <v>267</v>
      </c>
      <c r="K14" s="127" t="s">
        <v>411</v>
      </c>
      <c r="L14" s="430" t="s">
        <v>414</v>
      </c>
      <c r="M14" s="191">
        <v>1444</v>
      </c>
      <c r="N14" s="203">
        <v>0.17433297114572016</v>
      </c>
      <c r="O14" s="170">
        <v>0.97560975609756095</v>
      </c>
    </row>
    <row r="15" spans="1:15" x14ac:dyDescent="0.35">
      <c r="A15" s="125" t="s">
        <v>413</v>
      </c>
      <c r="B15" s="130" t="s">
        <v>267</v>
      </c>
      <c r="C15" s="127" t="s">
        <v>411</v>
      </c>
      <c r="D15" s="430" t="s">
        <v>414</v>
      </c>
      <c r="E15" s="131">
        <v>1444</v>
      </c>
      <c r="F15" s="129">
        <f t="shared" ref="F15:F28" si="0">E15/$E$31</f>
        <v>0.12179487179487179</v>
      </c>
      <c r="G15" s="129">
        <v>0.97560975609756095</v>
      </c>
      <c r="I15" s="125" t="s">
        <v>413</v>
      </c>
      <c r="J15" s="130" t="s">
        <v>222</v>
      </c>
      <c r="K15" s="127" t="s">
        <v>411</v>
      </c>
      <c r="L15" s="430" t="s">
        <v>416</v>
      </c>
      <c r="M15" s="191">
        <v>1289</v>
      </c>
      <c r="N15" s="203">
        <v>0.15561994446456598</v>
      </c>
      <c r="O15" s="170">
        <v>1</v>
      </c>
    </row>
    <row r="16" spans="1:15" x14ac:dyDescent="0.35">
      <c r="A16" s="125" t="s">
        <v>415</v>
      </c>
      <c r="B16" s="130" t="s">
        <v>222</v>
      </c>
      <c r="C16" s="127" t="s">
        <v>411</v>
      </c>
      <c r="D16" s="430" t="s">
        <v>416</v>
      </c>
      <c r="E16" s="131">
        <v>1289</v>
      </c>
      <c r="F16" s="129">
        <f t="shared" si="0"/>
        <v>0.10872132253711202</v>
      </c>
      <c r="G16" s="129">
        <v>1</v>
      </c>
      <c r="I16" s="125" t="s">
        <v>415</v>
      </c>
      <c r="J16" s="130" t="s">
        <v>235</v>
      </c>
      <c r="K16" s="127" t="s">
        <v>411</v>
      </c>
      <c r="L16" s="430" t="s">
        <v>59</v>
      </c>
      <c r="M16" s="191">
        <v>715</v>
      </c>
      <c r="N16" s="203">
        <v>8.632138114209828E-2</v>
      </c>
      <c r="O16" s="170">
        <v>0.90243902439024393</v>
      </c>
    </row>
    <row r="17" spans="1:15" x14ac:dyDescent="0.35">
      <c r="A17" s="125" t="s">
        <v>417</v>
      </c>
      <c r="B17" s="130" t="s">
        <v>235</v>
      </c>
      <c r="C17" s="127" t="s">
        <v>411</v>
      </c>
      <c r="D17" s="430" t="s">
        <v>59</v>
      </c>
      <c r="E17" s="131">
        <v>715</v>
      </c>
      <c r="F17" s="129">
        <f t="shared" si="0"/>
        <v>6.0307017543859649E-2</v>
      </c>
      <c r="G17" s="129">
        <v>0.90243902439024393</v>
      </c>
      <c r="I17" s="125" t="s">
        <v>417</v>
      </c>
      <c r="J17" s="130" t="s">
        <v>371</v>
      </c>
      <c r="K17" s="127" t="s">
        <v>411</v>
      </c>
      <c r="L17" s="430" t="s">
        <v>412</v>
      </c>
      <c r="M17" s="191">
        <v>638</v>
      </c>
      <c r="N17" s="203">
        <v>7.702523240371846E-2</v>
      </c>
      <c r="O17" s="170">
        <v>1</v>
      </c>
    </row>
    <row r="18" spans="1:15" x14ac:dyDescent="0.35">
      <c r="A18" s="125" t="s">
        <v>418</v>
      </c>
      <c r="B18" s="132" t="s">
        <v>325</v>
      </c>
      <c r="C18" s="133" t="s">
        <v>367</v>
      </c>
      <c r="D18" s="430" t="s">
        <v>326</v>
      </c>
      <c r="E18" s="131">
        <v>618</v>
      </c>
      <c r="F18" s="129">
        <f t="shared" si="0"/>
        <v>5.2125506072874493E-2</v>
      </c>
      <c r="G18" s="129">
        <v>1</v>
      </c>
      <c r="I18" s="125" t="s">
        <v>418</v>
      </c>
      <c r="J18" s="132" t="s">
        <v>325</v>
      </c>
      <c r="K18" s="133" t="s">
        <v>367</v>
      </c>
      <c r="L18" s="430" t="s">
        <v>326</v>
      </c>
      <c r="M18" s="191">
        <v>618</v>
      </c>
      <c r="N18" s="203">
        <v>7.4610648315827602E-2</v>
      </c>
      <c r="O18" s="170">
        <v>1</v>
      </c>
    </row>
    <row r="19" spans="1:15" x14ac:dyDescent="0.35">
      <c r="A19" s="125" t="s">
        <v>419</v>
      </c>
      <c r="B19" s="132" t="s">
        <v>336</v>
      </c>
      <c r="C19" s="133" t="s">
        <v>367</v>
      </c>
      <c r="D19" s="430" t="s">
        <v>420</v>
      </c>
      <c r="E19" s="131">
        <v>515</v>
      </c>
      <c r="F19" s="129">
        <f t="shared" si="0"/>
        <v>4.3437921727395412E-2</v>
      </c>
      <c r="G19" s="129">
        <v>1</v>
      </c>
      <c r="I19" s="125" t="s">
        <v>419</v>
      </c>
      <c r="J19" s="132" t="s">
        <v>336</v>
      </c>
      <c r="K19" s="133" t="s">
        <v>367</v>
      </c>
      <c r="L19" s="430" t="s">
        <v>420</v>
      </c>
      <c r="M19" s="191">
        <v>515</v>
      </c>
      <c r="N19" s="203">
        <v>6.2175540263189666E-2</v>
      </c>
      <c r="O19" s="170">
        <v>1</v>
      </c>
    </row>
    <row r="20" spans="1:15" x14ac:dyDescent="0.35">
      <c r="A20" s="125" t="s">
        <v>421</v>
      </c>
      <c r="B20" s="130" t="s">
        <v>176</v>
      </c>
      <c r="C20" s="127" t="s">
        <v>411</v>
      </c>
      <c r="D20" s="430" t="s">
        <v>378</v>
      </c>
      <c r="E20" s="131">
        <v>326</v>
      </c>
      <c r="F20" s="129">
        <f t="shared" si="0"/>
        <v>2.7496626180836706E-2</v>
      </c>
      <c r="G20" s="129">
        <v>0.92682926829268297</v>
      </c>
      <c r="I20" s="125" t="s">
        <v>421</v>
      </c>
      <c r="J20" s="130" t="s">
        <v>176</v>
      </c>
      <c r="K20" s="127" t="s">
        <v>411</v>
      </c>
      <c r="L20" s="430" t="s">
        <v>378</v>
      </c>
      <c r="M20" s="191">
        <v>326</v>
      </c>
      <c r="N20" s="203">
        <v>3.9357720632621031E-2</v>
      </c>
      <c r="O20" s="170">
        <v>0.92682926829268297</v>
      </c>
    </row>
    <row r="21" spans="1:15" x14ac:dyDescent="0.35">
      <c r="A21" s="125" t="s">
        <v>422</v>
      </c>
      <c r="B21" s="134" t="s">
        <v>423</v>
      </c>
      <c r="C21" s="135" t="s">
        <v>424</v>
      </c>
      <c r="D21" s="430" t="s">
        <v>425</v>
      </c>
      <c r="E21" s="131">
        <v>251</v>
      </c>
      <c r="F21" s="129">
        <f t="shared" si="0"/>
        <v>2.1170715249662617E-2</v>
      </c>
      <c r="G21" s="129">
        <v>0.58536585365853655</v>
      </c>
      <c r="I21" s="125" t="s">
        <v>422</v>
      </c>
      <c r="J21" s="134" t="s">
        <v>423</v>
      </c>
      <c r="K21" s="135" t="s">
        <v>424</v>
      </c>
      <c r="L21" s="430" t="s">
        <v>425</v>
      </c>
      <c r="M21" s="191">
        <v>251</v>
      </c>
      <c r="N21" s="203">
        <v>3.0303030303030304E-2</v>
      </c>
      <c r="O21" s="170">
        <v>0.58536585365853655</v>
      </c>
    </row>
    <row r="22" spans="1:15" x14ac:dyDescent="0.35">
      <c r="A22" s="125" t="s">
        <v>426</v>
      </c>
      <c r="B22" s="136" t="s">
        <v>284</v>
      </c>
      <c r="C22" s="137" t="s">
        <v>427</v>
      </c>
      <c r="D22" s="430" t="s">
        <v>428</v>
      </c>
      <c r="E22" s="131">
        <v>193</v>
      </c>
      <c r="F22" s="129">
        <f t="shared" si="0"/>
        <v>1.627867746288799E-2</v>
      </c>
      <c r="G22" s="129">
        <v>0.48780487804878048</v>
      </c>
      <c r="I22" s="125" t="s">
        <v>426</v>
      </c>
      <c r="J22" s="136" t="s">
        <v>284</v>
      </c>
      <c r="K22" s="137" t="s">
        <v>427</v>
      </c>
      <c r="L22" s="430" t="s">
        <v>428</v>
      </c>
      <c r="M22" s="191">
        <v>193</v>
      </c>
      <c r="N22" s="203">
        <v>2.3300736448146807E-2</v>
      </c>
      <c r="O22" s="170">
        <v>0.48780487804878048</v>
      </c>
    </row>
    <row r="23" spans="1:15" x14ac:dyDescent="0.35">
      <c r="A23" s="125" t="s">
        <v>429</v>
      </c>
      <c r="B23" s="130" t="s">
        <v>252</v>
      </c>
      <c r="C23" s="127" t="s">
        <v>411</v>
      </c>
      <c r="D23" s="430" t="s">
        <v>430</v>
      </c>
      <c r="E23" s="131">
        <v>177</v>
      </c>
      <c r="F23" s="129">
        <f t="shared" si="0"/>
        <v>1.4929149797570851E-2</v>
      </c>
      <c r="G23" s="129">
        <v>0.75609756097560976</v>
      </c>
      <c r="I23" s="125" t="s">
        <v>429</v>
      </c>
      <c r="J23" s="130" t="s">
        <v>252</v>
      </c>
      <c r="K23" s="127" t="s">
        <v>411</v>
      </c>
      <c r="L23" s="430" t="s">
        <v>430</v>
      </c>
      <c r="M23" s="191">
        <v>177</v>
      </c>
      <c r="N23" s="203">
        <v>2.1369069177834116E-2</v>
      </c>
      <c r="O23" s="170">
        <v>0.75609756097560976</v>
      </c>
    </row>
    <row r="24" spans="1:15" x14ac:dyDescent="0.35">
      <c r="A24" s="125" t="s">
        <v>431</v>
      </c>
      <c r="B24" s="138" t="s">
        <v>308</v>
      </c>
      <c r="C24" s="139" t="s">
        <v>366</v>
      </c>
      <c r="D24" s="430" t="s">
        <v>432</v>
      </c>
      <c r="E24" s="131">
        <v>172</v>
      </c>
      <c r="F24" s="129">
        <f t="shared" si="0"/>
        <v>1.4507422402159244E-2</v>
      </c>
      <c r="G24" s="129">
        <v>0.70731707317073167</v>
      </c>
      <c r="I24" s="125" t="s">
        <v>431</v>
      </c>
      <c r="J24" s="138" t="s">
        <v>308</v>
      </c>
      <c r="K24" s="139" t="s">
        <v>366</v>
      </c>
      <c r="L24" s="430" t="s">
        <v>432</v>
      </c>
      <c r="M24" s="191">
        <v>172</v>
      </c>
      <c r="N24" s="203">
        <v>2.0765423155861402E-2</v>
      </c>
      <c r="O24" s="170">
        <v>0.70731707317073167</v>
      </c>
    </row>
    <row r="25" spans="1:15" x14ac:dyDescent="0.35">
      <c r="A25" s="125" t="s">
        <v>433</v>
      </c>
      <c r="B25" s="140" t="s">
        <v>289</v>
      </c>
      <c r="C25" s="141" t="s">
        <v>365</v>
      </c>
      <c r="D25" s="430" t="s">
        <v>290</v>
      </c>
      <c r="E25" s="131">
        <v>157</v>
      </c>
      <c r="F25" s="129">
        <f t="shared" si="0"/>
        <v>1.3242240215924427E-2</v>
      </c>
      <c r="G25" s="129">
        <v>0.73170731707317072</v>
      </c>
      <c r="I25" s="125" t="s">
        <v>433</v>
      </c>
      <c r="J25" s="140" t="s">
        <v>289</v>
      </c>
      <c r="K25" s="141" t="s">
        <v>365</v>
      </c>
      <c r="L25" s="430" t="s">
        <v>290</v>
      </c>
      <c r="M25" s="191">
        <v>157</v>
      </c>
      <c r="N25" s="203">
        <v>1.8954485089943258E-2</v>
      </c>
      <c r="O25" s="170">
        <v>0.73170731707317072</v>
      </c>
    </row>
    <row r="26" spans="1:15" x14ac:dyDescent="0.35">
      <c r="A26" s="125" t="s">
        <v>434</v>
      </c>
      <c r="B26" s="130" t="s">
        <v>195</v>
      </c>
      <c r="C26" s="127" t="s">
        <v>411</v>
      </c>
      <c r="D26" s="430" t="s">
        <v>435</v>
      </c>
      <c r="E26" s="131">
        <v>140</v>
      </c>
      <c r="F26" s="129">
        <f t="shared" si="0"/>
        <v>1.1808367071524967E-2</v>
      </c>
      <c r="G26" s="129">
        <v>0.73170731707317072</v>
      </c>
      <c r="I26" s="125" t="s">
        <v>434</v>
      </c>
      <c r="J26" s="130" t="s">
        <v>195</v>
      </c>
      <c r="K26" s="127" t="s">
        <v>411</v>
      </c>
      <c r="L26" s="430" t="s">
        <v>435</v>
      </c>
      <c r="M26" s="191">
        <v>140</v>
      </c>
      <c r="N26" s="203">
        <v>1.6902088615236024E-2</v>
      </c>
      <c r="O26" s="170">
        <v>0.73170731707317072</v>
      </c>
    </row>
    <row r="27" spans="1:15" x14ac:dyDescent="0.35">
      <c r="A27" s="125" t="s">
        <v>436</v>
      </c>
      <c r="B27" s="138" t="s">
        <v>303</v>
      </c>
      <c r="C27" s="139" t="s">
        <v>366</v>
      </c>
      <c r="D27" s="430" t="s">
        <v>437</v>
      </c>
      <c r="E27" s="131">
        <v>139</v>
      </c>
      <c r="F27" s="129">
        <f t="shared" si="0"/>
        <v>1.1724021592442645E-2</v>
      </c>
      <c r="G27" s="129">
        <v>0.63414634146341464</v>
      </c>
      <c r="I27" s="125" t="s">
        <v>436</v>
      </c>
      <c r="J27" s="138" t="s">
        <v>303</v>
      </c>
      <c r="K27" s="139" t="s">
        <v>366</v>
      </c>
      <c r="L27" s="430" t="s">
        <v>437</v>
      </c>
      <c r="M27" s="191">
        <v>139</v>
      </c>
      <c r="N27" s="203">
        <v>1.6781359410841482E-2</v>
      </c>
      <c r="O27" s="170">
        <v>0.63414634146341464</v>
      </c>
    </row>
    <row r="28" spans="1:15" x14ac:dyDescent="0.35">
      <c r="A28" s="125" t="s">
        <v>438</v>
      </c>
      <c r="B28" s="140" t="s">
        <v>297</v>
      </c>
      <c r="C28" s="141" t="s">
        <v>365</v>
      </c>
      <c r="D28" s="430" t="s">
        <v>439</v>
      </c>
      <c r="E28" s="131">
        <v>133</v>
      </c>
      <c r="F28" s="129">
        <f t="shared" si="0"/>
        <v>1.1217948717948718E-2</v>
      </c>
      <c r="G28" s="129">
        <v>0.29268292682926828</v>
      </c>
      <c r="I28" s="125" t="s">
        <v>438</v>
      </c>
      <c r="J28" s="140" t="s">
        <v>297</v>
      </c>
      <c r="K28" s="141" t="s">
        <v>365</v>
      </c>
      <c r="L28" s="430" t="s">
        <v>439</v>
      </c>
      <c r="M28" s="191">
        <v>133</v>
      </c>
      <c r="N28" s="203">
        <v>1.6056984184474224E-2</v>
      </c>
      <c r="O28" s="170">
        <v>0.29268292682926828</v>
      </c>
    </row>
    <row r="29" spans="1:15" x14ac:dyDescent="0.35">
      <c r="A29" s="142"/>
      <c r="B29" s="143"/>
      <c r="C29" s="144"/>
      <c r="D29" s="145" t="s">
        <v>440</v>
      </c>
      <c r="E29" s="146">
        <f>SUM(E14:E28)</f>
        <v>10480</v>
      </c>
      <c r="F29" s="147">
        <f>SUM(F14:F28)</f>
        <v>0.88394062078272617</v>
      </c>
      <c r="G29" s="148" t="s">
        <v>441</v>
      </c>
      <c r="I29" s="150"/>
      <c r="J29" s="144"/>
      <c r="K29" s="144"/>
      <c r="L29" s="145" t="s">
        <v>440</v>
      </c>
      <c r="M29" s="146">
        <f>SUM(M14:M28)</f>
        <v>6907</v>
      </c>
      <c r="N29" s="172">
        <f>SUM(N14:N28)</f>
        <v>0.8338766147531087</v>
      </c>
      <c r="O29" s="146" t="s">
        <v>441</v>
      </c>
    </row>
    <row r="30" spans="1:15" x14ac:dyDescent="0.35">
      <c r="A30" s="142"/>
      <c r="B30" s="144"/>
      <c r="C30" s="144"/>
      <c r="D30" s="145" t="s">
        <v>442</v>
      </c>
      <c r="E30" s="146">
        <f>E31-E29</f>
        <v>1376</v>
      </c>
      <c r="F30" s="149">
        <f>F31-F29</f>
        <v>0.11605937921727383</v>
      </c>
      <c r="G30" s="146"/>
      <c r="I30" s="150"/>
      <c r="J30" s="150"/>
      <c r="K30" s="151"/>
      <c r="L30" s="145" t="s">
        <v>442</v>
      </c>
      <c r="M30" s="146">
        <f>M31-M29</f>
        <v>1376</v>
      </c>
      <c r="N30" s="172">
        <f>N31-N29</f>
        <v>0.1661233852468913</v>
      </c>
      <c r="O30" s="151"/>
    </row>
    <row r="31" spans="1:15" x14ac:dyDescent="0.35">
      <c r="A31" s="150"/>
      <c r="B31" s="150"/>
      <c r="C31" s="151"/>
      <c r="D31" s="142" t="s">
        <v>443</v>
      </c>
      <c r="E31" s="151">
        <v>11856</v>
      </c>
      <c r="F31" s="152">
        <v>1</v>
      </c>
      <c r="G31" s="151"/>
      <c r="I31" s="142"/>
      <c r="J31" s="143"/>
      <c r="K31" s="143"/>
      <c r="L31" s="142" t="s">
        <v>443</v>
      </c>
      <c r="M31" s="151">
        <v>8283</v>
      </c>
      <c r="N31" s="172">
        <v>1</v>
      </c>
      <c r="O31" s="173"/>
    </row>
    <row r="32" spans="1:15" ht="13.5" thickBot="1" x14ac:dyDescent="0.4">
      <c r="A32" s="153"/>
      <c r="B32" s="153"/>
      <c r="C32" s="154"/>
      <c r="D32" s="155" t="s">
        <v>444</v>
      </c>
      <c r="E32" s="156">
        <v>41</v>
      </c>
      <c r="F32" s="154"/>
      <c r="G32" s="154"/>
      <c r="I32" s="174"/>
      <c r="J32" s="155"/>
      <c r="K32" s="155"/>
      <c r="L32" s="155" t="s">
        <v>444</v>
      </c>
      <c r="M32" s="156">
        <v>41</v>
      </c>
      <c r="N32" s="175"/>
      <c r="O32" s="176"/>
    </row>
    <row r="33" spans="1:15" ht="13.5" thickBot="1" x14ac:dyDescent="0.4">
      <c r="A33" s="157"/>
      <c r="B33" s="158"/>
      <c r="C33" s="159"/>
      <c r="D33" s="431" t="s">
        <v>445</v>
      </c>
      <c r="E33" s="432">
        <f>E31/E32</f>
        <v>289.17073170731709</v>
      </c>
      <c r="F33" s="159"/>
      <c r="G33" s="162"/>
      <c r="I33" s="177"/>
      <c r="J33" s="178"/>
      <c r="K33" s="178"/>
      <c r="L33" s="160" t="s">
        <v>445</v>
      </c>
      <c r="M33" s="161">
        <f>M31/M32</f>
        <v>202.02439024390245</v>
      </c>
      <c r="N33" s="179"/>
      <c r="O33" s="180"/>
    </row>
    <row r="34" spans="1:15" ht="15" customHeight="1" thickBot="1" x14ac:dyDescent="0.4">
      <c r="A34" s="157"/>
      <c r="B34" s="158"/>
      <c r="C34" s="159"/>
      <c r="D34" s="431" t="s">
        <v>446</v>
      </c>
      <c r="E34" s="432">
        <v>228</v>
      </c>
      <c r="F34" s="159"/>
      <c r="G34" s="162"/>
      <c r="M34" s="123"/>
      <c r="N34" s="123"/>
      <c r="O34" s="123"/>
    </row>
    <row r="35" spans="1:15" x14ac:dyDescent="0.35">
      <c r="M35" s="123"/>
      <c r="N35" s="123"/>
      <c r="O35" s="123"/>
    </row>
    <row r="36" spans="1:15" ht="14.5" customHeight="1" x14ac:dyDescent="0.35">
      <c r="A36" s="771" t="s">
        <v>403</v>
      </c>
      <c r="B36" s="775" t="s">
        <v>447</v>
      </c>
      <c r="C36" s="775"/>
      <c r="D36" s="775"/>
      <c r="E36" s="775"/>
      <c r="F36" s="775"/>
      <c r="G36" s="775"/>
      <c r="I36" s="771" t="s">
        <v>403</v>
      </c>
      <c r="J36" s="775" t="s">
        <v>513</v>
      </c>
      <c r="K36" s="775"/>
      <c r="L36" s="775"/>
      <c r="M36" s="775"/>
      <c r="N36" s="775"/>
      <c r="O36" s="775"/>
    </row>
    <row r="37" spans="1:15" ht="26" x14ac:dyDescent="0.35">
      <c r="A37" s="771"/>
      <c r="B37" s="124" t="s">
        <v>2</v>
      </c>
      <c r="C37" s="124" t="s">
        <v>405</v>
      </c>
      <c r="D37" s="124" t="s">
        <v>406</v>
      </c>
      <c r="E37" s="124" t="s">
        <v>407</v>
      </c>
      <c r="F37" s="124" t="s">
        <v>408</v>
      </c>
      <c r="G37" s="124" t="s">
        <v>409</v>
      </c>
      <c r="I37" s="771"/>
      <c r="J37" s="124" t="s">
        <v>2</v>
      </c>
      <c r="K37" s="124" t="s">
        <v>405</v>
      </c>
      <c r="L37" s="124" t="s">
        <v>406</v>
      </c>
      <c r="M37" s="124" t="s">
        <v>407</v>
      </c>
      <c r="N37" s="124" t="s">
        <v>408</v>
      </c>
      <c r="O37" s="124" t="s">
        <v>409</v>
      </c>
    </row>
    <row r="38" spans="1:15" x14ac:dyDescent="0.35">
      <c r="A38" s="125" t="s">
        <v>410</v>
      </c>
      <c r="B38" s="130" t="s">
        <v>371</v>
      </c>
      <c r="C38" s="127" t="s">
        <v>411</v>
      </c>
      <c r="D38" s="126" t="s">
        <v>412</v>
      </c>
      <c r="E38" s="128">
        <v>6211</v>
      </c>
      <c r="F38" s="129">
        <f>E38/$E$55</f>
        <v>0.4025536327694601</v>
      </c>
      <c r="G38" s="129">
        <v>1</v>
      </c>
      <c r="I38" s="125" t="s">
        <v>410</v>
      </c>
      <c r="J38" s="130" t="s">
        <v>267</v>
      </c>
      <c r="K38" s="127" t="s">
        <v>411</v>
      </c>
      <c r="L38" s="430" t="s">
        <v>414</v>
      </c>
      <c r="M38" s="191">
        <v>2075</v>
      </c>
      <c r="N38" s="168">
        <f t="shared" ref="N38:N52" si="1">M38/10159</f>
        <v>0.2042523870459691</v>
      </c>
      <c r="O38" s="170">
        <v>1</v>
      </c>
    </row>
    <row r="39" spans="1:15" x14ac:dyDescent="0.35">
      <c r="A39" s="125" t="s">
        <v>413</v>
      </c>
      <c r="B39" s="130" t="s">
        <v>267</v>
      </c>
      <c r="C39" s="127" t="s">
        <v>411</v>
      </c>
      <c r="D39" s="430" t="s">
        <v>414</v>
      </c>
      <c r="E39" s="131">
        <v>2075</v>
      </c>
      <c r="F39" s="129">
        <f t="shared" ref="F39:F52" si="2">E39/$E$55</f>
        <v>0.13448700499060212</v>
      </c>
      <c r="G39" s="129">
        <v>1</v>
      </c>
      <c r="I39" s="125" t="s">
        <v>413</v>
      </c>
      <c r="J39" s="130" t="s">
        <v>222</v>
      </c>
      <c r="K39" s="127" t="s">
        <v>411</v>
      </c>
      <c r="L39" s="430" t="s">
        <v>416</v>
      </c>
      <c r="M39" s="191">
        <v>968</v>
      </c>
      <c r="N39" s="168">
        <f t="shared" si="1"/>
        <v>9.5284968993011129E-2</v>
      </c>
      <c r="O39" s="170">
        <v>1</v>
      </c>
    </row>
    <row r="40" spans="1:15" x14ac:dyDescent="0.35">
      <c r="A40" s="125" t="s">
        <v>415</v>
      </c>
      <c r="B40" s="130" t="s">
        <v>222</v>
      </c>
      <c r="C40" s="127" t="s">
        <v>411</v>
      </c>
      <c r="D40" s="430" t="s">
        <v>416</v>
      </c>
      <c r="E40" s="131">
        <v>968</v>
      </c>
      <c r="F40" s="129">
        <f t="shared" si="2"/>
        <v>6.2738997990796547E-2</v>
      </c>
      <c r="G40" s="129">
        <v>1</v>
      </c>
      <c r="I40" s="125" t="s">
        <v>415</v>
      </c>
      <c r="J40" s="132" t="s">
        <v>325</v>
      </c>
      <c r="K40" s="133" t="s">
        <v>367</v>
      </c>
      <c r="L40" s="430" t="s">
        <v>326</v>
      </c>
      <c r="M40" s="191">
        <v>965</v>
      </c>
      <c r="N40" s="168">
        <f t="shared" si="1"/>
        <v>9.4989664337041049E-2</v>
      </c>
      <c r="O40" s="170">
        <v>1</v>
      </c>
    </row>
    <row r="41" spans="1:15" x14ac:dyDescent="0.35">
      <c r="A41" s="125" t="s">
        <v>417</v>
      </c>
      <c r="B41" s="132" t="s">
        <v>325</v>
      </c>
      <c r="C41" s="133" t="s">
        <v>367</v>
      </c>
      <c r="D41" s="430" t="s">
        <v>326</v>
      </c>
      <c r="E41" s="131">
        <v>965</v>
      </c>
      <c r="F41" s="129">
        <f t="shared" si="2"/>
        <v>6.2544558947436643E-2</v>
      </c>
      <c r="G41" s="129">
        <v>1</v>
      </c>
      <c r="I41" s="125" t="s">
        <v>417</v>
      </c>
      <c r="J41" s="130" t="s">
        <v>371</v>
      </c>
      <c r="K41" s="127" t="s">
        <v>411</v>
      </c>
      <c r="L41" s="430" t="s">
        <v>412</v>
      </c>
      <c r="M41" s="191">
        <v>941</v>
      </c>
      <c r="N41" s="168">
        <f t="shared" si="1"/>
        <v>9.2627227089280437E-2</v>
      </c>
      <c r="O41" s="170">
        <v>1</v>
      </c>
    </row>
    <row r="42" spans="1:15" x14ac:dyDescent="0.35">
      <c r="A42" s="125" t="s">
        <v>418</v>
      </c>
      <c r="B42" s="130" t="s">
        <v>235</v>
      </c>
      <c r="C42" s="127" t="s">
        <v>411</v>
      </c>
      <c r="D42" s="430" t="s">
        <v>59</v>
      </c>
      <c r="E42" s="131">
        <v>663</v>
      </c>
      <c r="F42" s="129">
        <f t="shared" si="2"/>
        <v>4.2971028582539372E-2</v>
      </c>
      <c r="G42" s="129">
        <v>0.95</v>
      </c>
      <c r="I42" s="125" t="s">
        <v>418</v>
      </c>
      <c r="J42" s="130" t="s">
        <v>235</v>
      </c>
      <c r="K42" s="127" t="s">
        <v>411</v>
      </c>
      <c r="L42" s="430" t="s">
        <v>59</v>
      </c>
      <c r="M42" s="191">
        <v>663</v>
      </c>
      <c r="N42" s="168">
        <f t="shared" si="1"/>
        <v>6.5262328969386746E-2</v>
      </c>
      <c r="O42" s="170">
        <v>0.95</v>
      </c>
    </row>
    <row r="43" spans="1:15" x14ac:dyDescent="0.35">
      <c r="A43" s="125" t="s">
        <v>419</v>
      </c>
      <c r="B43" s="134" t="s">
        <v>423</v>
      </c>
      <c r="C43" s="135" t="s">
        <v>424</v>
      </c>
      <c r="D43" s="430" t="s">
        <v>425</v>
      </c>
      <c r="E43" s="131">
        <v>434</v>
      </c>
      <c r="F43" s="129">
        <f t="shared" si="2"/>
        <v>2.8128848272733164E-2</v>
      </c>
      <c r="G43" s="129">
        <v>0.68</v>
      </c>
      <c r="I43" s="125" t="s">
        <v>419</v>
      </c>
      <c r="J43" s="134" t="s">
        <v>423</v>
      </c>
      <c r="K43" s="135" t="s">
        <v>424</v>
      </c>
      <c r="L43" s="430" t="s">
        <v>425</v>
      </c>
      <c r="M43" s="191">
        <v>434</v>
      </c>
      <c r="N43" s="168">
        <f t="shared" si="1"/>
        <v>4.2720740230337631E-2</v>
      </c>
      <c r="O43" s="170">
        <v>0.68</v>
      </c>
    </row>
    <row r="44" spans="1:15" x14ac:dyDescent="0.35">
      <c r="A44" s="125" t="s">
        <v>421</v>
      </c>
      <c r="B44" s="132" t="s">
        <v>336</v>
      </c>
      <c r="C44" s="133" t="s">
        <v>367</v>
      </c>
      <c r="D44" s="430" t="s">
        <v>420</v>
      </c>
      <c r="E44" s="131">
        <v>420</v>
      </c>
      <c r="F44" s="129">
        <f t="shared" si="2"/>
        <v>2.7221466070386932E-2</v>
      </c>
      <c r="G44" s="129">
        <v>0.98</v>
      </c>
      <c r="I44" s="125" t="s">
        <v>421</v>
      </c>
      <c r="J44" s="132" t="s">
        <v>336</v>
      </c>
      <c r="K44" s="133" t="s">
        <v>367</v>
      </c>
      <c r="L44" s="430" t="s">
        <v>420</v>
      </c>
      <c r="M44" s="191">
        <v>420</v>
      </c>
      <c r="N44" s="168">
        <f t="shared" si="1"/>
        <v>4.1342651835810609E-2</v>
      </c>
      <c r="O44" s="170">
        <v>0.98</v>
      </c>
    </row>
    <row r="45" spans="1:15" x14ac:dyDescent="0.35">
      <c r="A45" s="125" t="s">
        <v>422</v>
      </c>
      <c r="B45" s="130" t="s">
        <v>176</v>
      </c>
      <c r="C45" s="127" t="s">
        <v>411</v>
      </c>
      <c r="D45" s="430" t="s">
        <v>378</v>
      </c>
      <c r="E45" s="131">
        <v>389</v>
      </c>
      <c r="F45" s="129">
        <f t="shared" si="2"/>
        <v>2.5212262622334565E-2</v>
      </c>
      <c r="G45" s="129">
        <v>0.88</v>
      </c>
      <c r="I45" s="125" t="s">
        <v>422</v>
      </c>
      <c r="J45" s="130" t="s">
        <v>176</v>
      </c>
      <c r="K45" s="127" t="s">
        <v>411</v>
      </c>
      <c r="L45" s="430" t="s">
        <v>378</v>
      </c>
      <c r="M45" s="191">
        <v>389</v>
      </c>
      <c r="N45" s="168">
        <f t="shared" si="1"/>
        <v>3.8291170390786493E-2</v>
      </c>
      <c r="O45" s="170">
        <v>0.88</v>
      </c>
    </row>
    <row r="46" spans="1:15" x14ac:dyDescent="0.35">
      <c r="A46" s="125" t="s">
        <v>426</v>
      </c>
      <c r="B46" s="140" t="s">
        <v>297</v>
      </c>
      <c r="C46" s="141" t="s">
        <v>365</v>
      </c>
      <c r="D46" s="430" t="s">
        <v>439</v>
      </c>
      <c r="E46" s="131">
        <v>349</v>
      </c>
      <c r="F46" s="129">
        <f t="shared" si="2"/>
        <v>2.2619742044202477E-2</v>
      </c>
      <c r="G46" s="129">
        <v>0.59</v>
      </c>
      <c r="I46" s="125" t="s">
        <v>426</v>
      </c>
      <c r="J46" s="140" t="s">
        <v>297</v>
      </c>
      <c r="K46" s="141" t="s">
        <v>365</v>
      </c>
      <c r="L46" s="430" t="s">
        <v>439</v>
      </c>
      <c r="M46" s="191">
        <v>349</v>
      </c>
      <c r="N46" s="168">
        <f t="shared" si="1"/>
        <v>3.435377497785215E-2</v>
      </c>
      <c r="O46" s="170">
        <v>0.59</v>
      </c>
    </row>
    <row r="47" spans="1:15" x14ac:dyDescent="0.35">
      <c r="A47" s="125" t="s">
        <v>429</v>
      </c>
      <c r="B47" s="140" t="s">
        <v>289</v>
      </c>
      <c r="C47" s="141" t="s">
        <v>365</v>
      </c>
      <c r="D47" s="430" t="s">
        <v>290</v>
      </c>
      <c r="E47" s="131">
        <v>327</v>
      </c>
      <c r="F47" s="129">
        <f t="shared" si="2"/>
        <v>2.1193855726229827E-2</v>
      </c>
      <c r="G47" s="129">
        <v>0.73</v>
      </c>
      <c r="I47" s="125" t="s">
        <v>429</v>
      </c>
      <c r="J47" s="140" t="s">
        <v>289</v>
      </c>
      <c r="K47" s="141" t="s">
        <v>365</v>
      </c>
      <c r="L47" s="430" t="s">
        <v>290</v>
      </c>
      <c r="M47" s="191">
        <v>327</v>
      </c>
      <c r="N47" s="168">
        <f t="shared" si="1"/>
        <v>3.218820750073826E-2</v>
      </c>
      <c r="O47" s="170">
        <v>0.73</v>
      </c>
    </row>
    <row r="48" spans="1:15" x14ac:dyDescent="0.35">
      <c r="A48" s="125" t="s">
        <v>431</v>
      </c>
      <c r="B48" s="130" t="s">
        <v>252</v>
      </c>
      <c r="C48" s="127" t="s">
        <v>411</v>
      </c>
      <c r="D48" s="430" t="s">
        <v>430</v>
      </c>
      <c r="E48" s="131">
        <v>226</v>
      </c>
      <c r="F48" s="129">
        <f t="shared" si="2"/>
        <v>1.4647741266446303E-2</v>
      </c>
      <c r="G48" s="129">
        <v>0.88</v>
      </c>
      <c r="I48" s="125" t="s">
        <v>431</v>
      </c>
      <c r="J48" s="130" t="s">
        <v>252</v>
      </c>
      <c r="K48" s="127" t="s">
        <v>411</v>
      </c>
      <c r="L48" s="430" t="s">
        <v>430</v>
      </c>
      <c r="M48" s="191">
        <v>226</v>
      </c>
      <c r="N48" s="168">
        <f t="shared" si="1"/>
        <v>2.2246284083079042E-2</v>
      </c>
      <c r="O48" s="170">
        <v>0.88</v>
      </c>
    </row>
    <row r="49" spans="1:15" x14ac:dyDescent="0.35">
      <c r="A49" s="125" t="s">
        <v>433</v>
      </c>
      <c r="B49" s="163" t="s">
        <v>448</v>
      </c>
      <c r="C49" s="163" t="s">
        <v>449</v>
      </c>
      <c r="D49" s="430" t="s">
        <v>450</v>
      </c>
      <c r="E49" s="131">
        <v>225</v>
      </c>
      <c r="F49" s="129">
        <f t="shared" si="2"/>
        <v>1.4582928251993E-2</v>
      </c>
      <c r="G49" s="129">
        <v>0.66</v>
      </c>
      <c r="I49" s="125" t="s">
        <v>433</v>
      </c>
      <c r="J49" s="163" t="s">
        <v>448</v>
      </c>
      <c r="K49" s="163" t="s">
        <v>449</v>
      </c>
      <c r="L49" s="430" t="s">
        <v>450</v>
      </c>
      <c r="M49" s="191">
        <v>225</v>
      </c>
      <c r="N49" s="168">
        <f t="shared" si="1"/>
        <v>2.2147849197755684E-2</v>
      </c>
      <c r="O49" s="170">
        <v>0.66</v>
      </c>
    </row>
    <row r="50" spans="1:15" x14ac:dyDescent="0.35">
      <c r="A50" s="125" t="s">
        <v>434</v>
      </c>
      <c r="B50" s="138" t="s">
        <v>303</v>
      </c>
      <c r="C50" s="139" t="s">
        <v>366</v>
      </c>
      <c r="D50" s="430" t="s">
        <v>437</v>
      </c>
      <c r="E50" s="131">
        <v>203</v>
      </c>
      <c r="F50" s="129">
        <f t="shared" si="2"/>
        <v>1.3157041934020352E-2</v>
      </c>
      <c r="G50" s="129">
        <v>0.83</v>
      </c>
      <c r="I50" s="125" t="s">
        <v>434</v>
      </c>
      <c r="J50" s="138" t="s">
        <v>303</v>
      </c>
      <c r="K50" s="139" t="s">
        <v>366</v>
      </c>
      <c r="L50" s="430" t="s">
        <v>437</v>
      </c>
      <c r="M50" s="191">
        <v>203</v>
      </c>
      <c r="N50" s="168">
        <f t="shared" si="1"/>
        <v>1.9982281720641794E-2</v>
      </c>
      <c r="O50" s="170">
        <v>0.83</v>
      </c>
    </row>
    <row r="51" spans="1:15" x14ac:dyDescent="0.35">
      <c r="A51" s="125" t="s">
        <v>436</v>
      </c>
      <c r="B51" s="130" t="s">
        <v>195</v>
      </c>
      <c r="C51" s="127" t="s">
        <v>411</v>
      </c>
      <c r="D51" s="430" t="s">
        <v>435</v>
      </c>
      <c r="E51" s="131">
        <v>188</v>
      </c>
      <c r="F51" s="129">
        <f t="shared" si="2"/>
        <v>1.2184846717220818E-2</v>
      </c>
      <c r="G51" s="129">
        <v>0.85</v>
      </c>
      <c r="I51" s="125" t="s">
        <v>436</v>
      </c>
      <c r="J51" s="130" t="s">
        <v>195</v>
      </c>
      <c r="K51" s="127" t="s">
        <v>411</v>
      </c>
      <c r="L51" s="430" t="s">
        <v>435</v>
      </c>
      <c r="M51" s="191">
        <v>188</v>
      </c>
      <c r="N51" s="168">
        <f t="shared" si="1"/>
        <v>1.8505758440791418E-2</v>
      </c>
      <c r="O51" s="170">
        <v>0.85</v>
      </c>
    </row>
    <row r="52" spans="1:15" x14ac:dyDescent="0.35">
      <c r="A52" s="125" t="s">
        <v>438</v>
      </c>
      <c r="B52" s="138" t="s">
        <v>308</v>
      </c>
      <c r="C52" s="139" t="s">
        <v>366</v>
      </c>
      <c r="D52" s="430" t="s">
        <v>432</v>
      </c>
      <c r="E52" s="131">
        <v>186</v>
      </c>
      <c r="F52" s="129">
        <f t="shared" si="2"/>
        <v>1.2055220688314213E-2</v>
      </c>
      <c r="G52" s="129">
        <v>0.85</v>
      </c>
      <c r="I52" s="125" t="s">
        <v>438</v>
      </c>
      <c r="J52" s="138" t="s">
        <v>308</v>
      </c>
      <c r="K52" s="139" t="s">
        <v>366</v>
      </c>
      <c r="L52" s="430" t="s">
        <v>432</v>
      </c>
      <c r="M52" s="191">
        <v>186</v>
      </c>
      <c r="N52" s="168">
        <f t="shared" si="1"/>
        <v>1.8308888670144699E-2</v>
      </c>
      <c r="O52" s="170">
        <v>0.85</v>
      </c>
    </row>
    <row r="53" spans="1:15" x14ac:dyDescent="0.35">
      <c r="A53" s="142"/>
      <c r="B53" s="143"/>
      <c r="C53" s="144"/>
      <c r="D53" s="145" t="s">
        <v>440</v>
      </c>
      <c r="E53" s="146">
        <f>SUM(E38:E52)</f>
        <v>13829</v>
      </c>
      <c r="F53" s="147">
        <f>SUM(F38:F52)</f>
        <v>0.89629917687471639</v>
      </c>
      <c r="G53" s="148" t="s">
        <v>441</v>
      </c>
      <c r="I53" s="150"/>
      <c r="J53" s="144"/>
      <c r="K53" s="144"/>
      <c r="L53" s="145" t="s">
        <v>440</v>
      </c>
      <c r="M53" s="146">
        <f>SUM(M38:M52)</f>
        <v>8559</v>
      </c>
      <c r="N53" s="172">
        <f>SUM(N38:N52)</f>
        <v>0.84250418348262623</v>
      </c>
      <c r="O53" s="146" t="s">
        <v>441</v>
      </c>
    </row>
    <row r="54" spans="1:15" x14ac:dyDescent="0.35">
      <c r="A54" s="142"/>
      <c r="B54" s="144"/>
      <c r="C54" s="144"/>
      <c r="D54" s="145" t="s">
        <v>442</v>
      </c>
      <c r="E54" s="146">
        <f>E55-E53</f>
        <v>1600</v>
      </c>
      <c r="F54" s="149">
        <f>F55-F53</f>
        <v>0.10370082312528361</v>
      </c>
      <c r="G54" s="146"/>
      <c r="I54" s="150"/>
      <c r="J54" s="150"/>
      <c r="K54" s="151"/>
      <c r="L54" s="145" t="s">
        <v>442</v>
      </c>
      <c r="M54" s="146">
        <f>M55-M53</f>
        <v>1600</v>
      </c>
      <c r="N54" s="172">
        <f>N55-N53</f>
        <v>0.15749581651737377</v>
      </c>
      <c r="O54" s="151"/>
    </row>
    <row r="55" spans="1:15" x14ac:dyDescent="0.35">
      <c r="A55" s="150"/>
      <c r="B55" s="150"/>
      <c r="C55" s="151"/>
      <c r="D55" s="142" t="s">
        <v>443</v>
      </c>
      <c r="E55" s="151">
        <v>15429</v>
      </c>
      <c r="F55" s="152">
        <v>1</v>
      </c>
      <c r="G55" s="151"/>
      <c r="I55" s="142"/>
      <c r="J55" s="143"/>
      <c r="K55" s="143"/>
      <c r="L55" s="142" t="s">
        <v>443</v>
      </c>
      <c r="M55" s="151">
        <v>10159</v>
      </c>
      <c r="N55" s="172">
        <v>1</v>
      </c>
      <c r="O55" s="173"/>
    </row>
    <row r="56" spans="1:15" ht="13.5" thickBot="1" x14ac:dyDescent="0.4">
      <c r="A56" s="153"/>
      <c r="B56" s="153"/>
      <c r="C56" s="154"/>
      <c r="D56" s="155" t="s">
        <v>444</v>
      </c>
      <c r="E56" s="156">
        <v>41</v>
      </c>
      <c r="F56" s="154"/>
      <c r="G56" s="154"/>
      <c r="I56" s="174"/>
      <c r="J56" s="155"/>
      <c r="K56" s="155"/>
      <c r="L56" s="155" t="s">
        <v>444</v>
      </c>
      <c r="M56" s="156">
        <v>41</v>
      </c>
      <c r="N56" s="175"/>
      <c r="O56" s="176"/>
    </row>
    <row r="57" spans="1:15" ht="13.5" thickBot="1" x14ac:dyDescent="0.4">
      <c r="A57" s="157"/>
      <c r="B57" s="158"/>
      <c r="C57" s="159"/>
      <c r="D57" s="431" t="s">
        <v>445</v>
      </c>
      <c r="E57" s="432">
        <f>E55/E56</f>
        <v>376.3170731707317</v>
      </c>
      <c r="F57" s="159"/>
      <c r="G57" s="162"/>
      <c r="I57" s="177"/>
      <c r="J57" s="178"/>
      <c r="K57" s="178"/>
      <c r="L57" s="160" t="s">
        <v>445</v>
      </c>
      <c r="M57" s="161">
        <f>M55/M56</f>
        <v>247.78048780487805</v>
      </c>
      <c r="N57" s="179"/>
      <c r="O57" s="180"/>
    </row>
    <row r="58" spans="1:15" ht="15" customHeight="1" thickBot="1" x14ac:dyDescent="0.4">
      <c r="A58" s="157"/>
      <c r="B58" s="158"/>
      <c r="C58" s="159"/>
      <c r="D58" s="431" t="s">
        <v>446</v>
      </c>
      <c r="E58" s="432">
        <v>222.6</v>
      </c>
      <c r="F58" s="159"/>
      <c r="G58" s="162"/>
      <c r="M58" s="123"/>
      <c r="N58" s="123"/>
      <c r="O58" s="123"/>
    </row>
    <row r="59" spans="1:15" x14ac:dyDescent="0.35">
      <c r="M59" s="123"/>
      <c r="N59" s="123"/>
      <c r="O59" s="123"/>
    </row>
    <row r="60" spans="1:15" ht="14.5" customHeight="1" x14ac:dyDescent="0.35">
      <c r="A60" s="771" t="s">
        <v>403</v>
      </c>
      <c r="B60" s="775" t="s">
        <v>451</v>
      </c>
      <c r="C60" s="775"/>
      <c r="D60" s="775"/>
      <c r="E60" s="775"/>
      <c r="F60" s="775"/>
      <c r="G60" s="775"/>
      <c r="I60" s="771" t="s">
        <v>403</v>
      </c>
      <c r="J60" s="775" t="s">
        <v>514</v>
      </c>
      <c r="K60" s="775"/>
      <c r="L60" s="775"/>
      <c r="M60" s="775"/>
      <c r="N60" s="775"/>
      <c r="O60" s="775"/>
    </row>
    <row r="61" spans="1:15" ht="26" x14ac:dyDescent="0.35">
      <c r="A61" s="771"/>
      <c r="B61" s="124" t="s">
        <v>2</v>
      </c>
      <c r="C61" s="124" t="s">
        <v>405</v>
      </c>
      <c r="D61" s="124" t="s">
        <v>406</v>
      </c>
      <c r="E61" s="124" t="s">
        <v>407</v>
      </c>
      <c r="F61" s="124" t="s">
        <v>408</v>
      </c>
      <c r="G61" s="124" t="s">
        <v>409</v>
      </c>
      <c r="I61" s="771"/>
      <c r="J61" s="124" t="s">
        <v>2</v>
      </c>
      <c r="K61" s="124" t="s">
        <v>405</v>
      </c>
      <c r="L61" s="124" t="s">
        <v>406</v>
      </c>
      <c r="M61" s="124" t="s">
        <v>407</v>
      </c>
      <c r="N61" s="124" t="s">
        <v>408</v>
      </c>
      <c r="O61" s="124" t="s">
        <v>409</v>
      </c>
    </row>
    <row r="62" spans="1:15" x14ac:dyDescent="0.35">
      <c r="A62" s="125" t="s">
        <v>410</v>
      </c>
      <c r="B62" s="130" t="s">
        <v>371</v>
      </c>
      <c r="C62" s="127" t="s">
        <v>411</v>
      </c>
      <c r="D62" s="126" t="s">
        <v>412</v>
      </c>
      <c r="E62" s="164">
        <v>5280</v>
      </c>
      <c r="F62" s="129">
        <f>E62/$E$79</f>
        <v>0.39624765478424018</v>
      </c>
      <c r="G62" s="433">
        <v>0.98</v>
      </c>
      <c r="I62" s="125" t="s">
        <v>410</v>
      </c>
      <c r="J62" s="130" t="s">
        <v>267</v>
      </c>
      <c r="K62" s="127" t="s">
        <v>411</v>
      </c>
      <c r="L62" s="430" t="s">
        <v>414</v>
      </c>
      <c r="M62" s="191">
        <v>1730</v>
      </c>
      <c r="N62" s="168">
        <f>M62/8855</f>
        <v>0.19536984754376058</v>
      </c>
      <c r="O62" s="170">
        <v>1</v>
      </c>
    </row>
    <row r="63" spans="1:15" x14ac:dyDescent="0.35">
      <c r="A63" s="125" t="s">
        <v>413</v>
      </c>
      <c r="B63" s="130" t="s">
        <v>267</v>
      </c>
      <c r="C63" s="127" t="s">
        <v>411</v>
      </c>
      <c r="D63" s="430" t="s">
        <v>414</v>
      </c>
      <c r="E63" s="165">
        <v>1730</v>
      </c>
      <c r="F63" s="129">
        <f t="shared" ref="F63:F76" si="3">E63/$E$79</f>
        <v>0.12983114446529082</v>
      </c>
      <c r="G63" s="166">
        <v>1</v>
      </c>
      <c r="I63" s="125" t="s">
        <v>413</v>
      </c>
      <c r="J63" s="130" t="s">
        <v>222</v>
      </c>
      <c r="K63" s="127" t="s">
        <v>411</v>
      </c>
      <c r="L63" s="430" t="s">
        <v>416</v>
      </c>
      <c r="M63" s="191">
        <v>966</v>
      </c>
      <c r="N63" s="168">
        <f t="shared" ref="N63:N76" si="4">M63/8855</f>
        <v>0.10909090909090909</v>
      </c>
      <c r="O63" s="170">
        <v>1</v>
      </c>
    </row>
    <row r="64" spans="1:15" x14ac:dyDescent="0.35">
      <c r="A64" s="125" t="s">
        <v>415</v>
      </c>
      <c r="B64" s="130" t="s">
        <v>222</v>
      </c>
      <c r="C64" s="127" t="s">
        <v>411</v>
      </c>
      <c r="D64" s="430" t="s">
        <v>416</v>
      </c>
      <c r="E64" s="165">
        <v>966</v>
      </c>
      <c r="F64" s="129">
        <f t="shared" si="3"/>
        <v>7.2495309568480298E-2</v>
      </c>
      <c r="G64" s="166">
        <v>1</v>
      </c>
      <c r="I64" s="125" t="s">
        <v>415</v>
      </c>
      <c r="J64" s="134" t="s">
        <v>423</v>
      </c>
      <c r="K64" s="135" t="s">
        <v>424</v>
      </c>
      <c r="L64" s="430" t="s">
        <v>425</v>
      </c>
      <c r="M64" s="191">
        <v>812</v>
      </c>
      <c r="N64" s="168">
        <f t="shared" si="4"/>
        <v>9.1699604743083002E-2</v>
      </c>
      <c r="O64" s="170">
        <v>0.71</v>
      </c>
    </row>
    <row r="65" spans="1:15" x14ac:dyDescent="0.35">
      <c r="A65" s="125" t="s">
        <v>417</v>
      </c>
      <c r="B65" s="134" t="s">
        <v>423</v>
      </c>
      <c r="C65" s="135" t="s">
        <v>424</v>
      </c>
      <c r="D65" s="430" t="s">
        <v>425</v>
      </c>
      <c r="E65" s="165">
        <v>812</v>
      </c>
      <c r="F65" s="129">
        <f t="shared" si="3"/>
        <v>6.0938086303939966E-2</v>
      </c>
      <c r="G65" s="166">
        <v>0.71</v>
      </c>
      <c r="I65" s="125" t="s">
        <v>417</v>
      </c>
      <c r="J65" s="130" t="s">
        <v>371</v>
      </c>
      <c r="K65" s="127" t="s">
        <v>411</v>
      </c>
      <c r="L65" s="430" t="s">
        <v>412</v>
      </c>
      <c r="M65" s="191">
        <v>800</v>
      </c>
      <c r="N65" s="168">
        <f t="shared" si="4"/>
        <v>9.0344438170525121E-2</v>
      </c>
      <c r="O65" s="170">
        <v>0.98</v>
      </c>
    </row>
    <row r="66" spans="1:15" x14ac:dyDescent="0.35">
      <c r="A66" s="125" t="s">
        <v>418</v>
      </c>
      <c r="B66" s="130" t="s">
        <v>252</v>
      </c>
      <c r="C66" s="127" t="s">
        <v>411</v>
      </c>
      <c r="D66" s="430" t="s">
        <v>430</v>
      </c>
      <c r="E66" s="165">
        <v>673</v>
      </c>
      <c r="F66" s="129">
        <f t="shared" si="3"/>
        <v>5.0506566604127577E-2</v>
      </c>
      <c r="G66" s="166">
        <v>0.98</v>
      </c>
      <c r="I66" s="125" t="s">
        <v>418</v>
      </c>
      <c r="J66" s="130" t="s">
        <v>252</v>
      </c>
      <c r="K66" s="127" t="s">
        <v>411</v>
      </c>
      <c r="L66" s="430" t="s">
        <v>430</v>
      </c>
      <c r="M66" s="191">
        <v>673</v>
      </c>
      <c r="N66" s="168">
        <f t="shared" si="4"/>
        <v>7.6002258610954262E-2</v>
      </c>
      <c r="O66" s="170">
        <v>0.98</v>
      </c>
    </row>
    <row r="67" spans="1:15" x14ac:dyDescent="0.35">
      <c r="A67" s="125" t="s">
        <v>419</v>
      </c>
      <c r="B67" s="130" t="s">
        <v>235</v>
      </c>
      <c r="C67" s="127" t="s">
        <v>411</v>
      </c>
      <c r="D67" s="430" t="s">
        <v>59</v>
      </c>
      <c r="E67" s="165">
        <v>655</v>
      </c>
      <c r="F67" s="129">
        <f t="shared" si="3"/>
        <v>4.9155722326454036E-2</v>
      </c>
      <c r="G67" s="166">
        <v>0.95</v>
      </c>
      <c r="I67" s="125" t="s">
        <v>419</v>
      </c>
      <c r="J67" s="130" t="s">
        <v>235</v>
      </c>
      <c r="K67" s="127" t="s">
        <v>411</v>
      </c>
      <c r="L67" s="430" t="s">
        <v>59</v>
      </c>
      <c r="M67" s="191">
        <v>655</v>
      </c>
      <c r="N67" s="168">
        <f t="shared" si="4"/>
        <v>7.3969508752117441E-2</v>
      </c>
      <c r="O67" s="170">
        <v>0.95</v>
      </c>
    </row>
    <row r="68" spans="1:15" x14ac:dyDescent="0.35">
      <c r="A68" s="125" t="s">
        <v>421</v>
      </c>
      <c r="B68" s="132" t="s">
        <v>325</v>
      </c>
      <c r="C68" s="133" t="s">
        <v>367</v>
      </c>
      <c r="D68" s="430" t="s">
        <v>326</v>
      </c>
      <c r="E68" s="165">
        <v>606</v>
      </c>
      <c r="F68" s="129">
        <f t="shared" si="3"/>
        <v>4.5478424015009379E-2</v>
      </c>
      <c r="G68" s="166">
        <v>0.86</v>
      </c>
      <c r="I68" s="125" t="s">
        <v>421</v>
      </c>
      <c r="J68" s="132" t="s">
        <v>325</v>
      </c>
      <c r="K68" s="133" t="s">
        <v>367</v>
      </c>
      <c r="L68" s="430" t="s">
        <v>326</v>
      </c>
      <c r="M68" s="191">
        <v>606</v>
      </c>
      <c r="N68" s="168">
        <f t="shared" si="4"/>
        <v>6.8435911914172781E-2</v>
      </c>
      <c r="O68" s="170">
        <v>0.86</v>
      </c>
    </row>
    <row r="69" spans="1:15" x14ac:dyDescent="0.35">
      <c r="A69" s="125" t="s">
        <v>422</v>
      </c>
      <c r="B69" s="132" t="s">
        <v>336</v>
      </c>
      <c r="C69" s="133" t="s">
        <v>367</v>
      </c>
      <c r="D69" s="430" t="s">
        <v>420</v>
      </c>
      <c r="E69" s="165">
        <v>270</v>
      </c>
      <c r="F69" s="129">
        <f t="shared" si="3"/>
        <v>2.0262664165103191E-2</v>
      </c>
      <c r="G69" s="166">
        <v>0.88</v>
      </c>
      <c r="I69" s="125" t="s">
        <v>422</v>
      </c>
      <c r="J69" s="132" t="s">
        <v>336</v>
      </c>
      <c r="K69" s="133" t="s">
        <v>367</v>
      </c>
      <c r="L69" s="430" t="s">
        <v>420</v>
      </c>
      <c r="M69" s="191">
        <v>270</v>
      </c>
      <c r="N69" s="168">
        <f t="shared" si="4"/>
        <v>3.0491247882552232E-2</v>
      </c>
      <c r="O69" s="170">
        <v>0.88</v>
      </c>
    </row>
    <row r="70" spans="1:15" x14ac:dyDescent="0.35">
      <c r="A70" s="125" t="s">
        <v>426</v>
      </c>
      <c r="B70" s="130" t="s">
        <v>176</v>
      </c>
      <c r="C70" s="127" t="s">
        <v>411</v>
      </c>
      <c r="D70" s="430" t="s">
        <v>378</v>
      </c>
      <c r="E70" s="165">
        <v>233</v>
      </c>
      <c r="F70" s="129">
        <f t="shared" si="3"/>
        <v>1.7485928705440901E-2</v>
      </c>
      <c r="G70" s="166">
        <v>0.88</v>
      </c>
      <c r="I70" s="125" t="s">
        <v>426</v>
      </c>
      <c r="J70" s="130" t="s">
        <v>176</v>
      </c>
      <c r="K70" s="127" t="s">
        <v>411</v>
      </c>
      <c r="L70" s="430" t="s">
        <v>378</v>
      </c>
      <c r="M70" s="191">
        <v>233</v>
      </c>
      <c r="N70" s="168">
        <f t="shared" si="4"/>
        <v>2.6312817617165443E-2</v>
      </c>
      <c r="O70" s="170">
        <v>0.88</v>
      </c>
    </row>
    <row r="71" spans="1:15" x14ac:dyDescent="0.35">
      <c r="A71" s="125" t="s">
        <v>429</v>
      </c>
      <c r="B71" s="140" t="s">
        <v>289</v>
      </c>
      <c r="C71" s="141" t="s">
        <v>365</v>
      </c>
      <c r="D71" s="430" t="s">
        <v>290</v>
      </c>
      <c r="E71" s="165">
        <v>226</v>
      </c>
      <c r="F71" s="129">
        <f t="shared" si="3"/>
        <v>1.6960600375234523E-2</v>
      </c>
      <c r="G71" s="166">
        <v>0.62</v>
      </c>
      <c r="I71" s="125" t="s">
        <v>429</v>
      </c>
      <c r="J71" s="140" t="s">
        <v>289</v>
      </c>
      <c r="K71" s="141" t="s">
        <v>365</v>
      </c>
      <c r="L71" s="430" t="s">
        <v>290</v>
      </c>
      <c r="M71" s="191">
        <v>226</v>
      </c>
      <c r="N71" s="168">
        <f t="shared" si="4"/>
        <v>2.5522303783173349E-2</v>
      </c>
      <c r="O71" s="170">
        <v>0.62</v>
      </c>
    </row>
    <row r="72" spans="1:15" x14ac:dyDescent="0.35">
      <c r="A72" s="125" t="s">
        <v>431</v>
      </c>
      <c r="B72" s="138" t="s">
        <v>308</v>
      </c>
      <c r="C72" s="139" t="s">
        <v>366</v>
      </c>
      <c r="D72" s="430" t="s">
        <v>432</v>
      </c>
      <c r="E72" s="165">
        <v>201</v>
      </c>
      <c r="F72" s="129">
        <f t="shared" si="3"/>
        <v>1.5084427767354597E-2</v>
      </c>
      <c r="G72" s="166">
        <v>0.86</v>
      </c>
      <c r="I72" s="125" t="s">
        <v>431</v>
      </c>
      <c r="J72" s="138" t="s">
        <v>308</v>
      </c>
      <c r="K72" s="139" t="s">
        <v>366</v>
      </c>
      <c r="L72" s="430" t="s">
        <v>432</v>
      </c>
      <c r="M72" s="191">
        <v>201</v>
      </c>
      <c r="N72" s="168">
        <f t="shared" si="4"/>
        <v>2.2699040090344437E-2</v>
      </c>
      <c r="O72" s="170">
        <v>0.8571428571428571</v>
      </c>
    </row>
    <row r="73" spans="1:15" x14ac:dyDescent="0.35">
      <c r="A73" s="125" t="s">
        <v>433</v>
      </c>
      <c r="B73" s="138" t="s">
        <v>303</v>
      </c>
      <c r="C73" s="138" t="s">
        <v>366</v>
      </c>
      <c r="D73" s="430" t="s">
        <v>437</v>
      </c>
      <c r="E73" s="165">
        <v>161</v>
      </c>
      <c r="F73" s="129">
        <f t="shared" si="3"/>
        <v>1.2082551594746718E-2</v>
      </c>
      <c r="G73" s="166">
        <v>0.67</v>
      </c>
      <c r="I73" s="125" t="s">
        <v>433</v>
      </c>
      <c r="J73" s="138" t="s">
        <v>303</v>
      </c>
      <c r="K73" s="138" t="s">
        <v>366</v>
      </c>
      <c r="L73" s="430" t="s">
        <v>437</v>
      </c>
      <c r="M73" s="191">
        <v>161</v>
      </c>
      <c r="N73" s="168">
        <f t="shared" si="4"/>
        <v>1.8181818181818181E-2</v>
      </c>
      <c r="O73" s="170">
        <v>0.67</v>
      </c>
    </row>
    <row r="74" spans="1:15" x14ac:dyDescent="0.35">
      <c r="A74" s="125" t="s">
        <v>434</v>
      </c>
      <c r="B74" s="130" t="s">
        <v>195</v>
      </c>
      <c r="C74" s="127" t="s">
        <v>411</v>
      </c>
      <c r="D74" s="430" t="s">
        <v>435</v>
      </c>
      <c r="E74" s="165">
        <v>148</v>
      </c>
      <c r="F74" s="129">
        <f t="shared" si="3"/>
        <v>1.1106941838649156E-2</v>
      </c>
      <c r="G74" s="166">
        <v>0.71</v>
      </c>
      <c r="I74" s="125" t="s">
        <v>434</v>
      </c>
      <c r="J74" s="130" t="s">
        <v>195</v>
      </c>
      <c r="K74" s="127" t="s">
        <v>411</v>
      </c>
      <c r="L74" s="430" t="s">
        <v>435</v>
      </c>
      <c r="M74" s="191">
        <v>148</v>
      </c>
      <c r="N74" s="168">
        <f t="shared" si="4"/>
        <v>1.671372106154715E-2</v>
      </c>
      <c r="O74" s="170">
        <v>0.71</v>
      </c>
    </row>
    <row r="75" spans="1:15" x14ac:dyDescent="0.35">
      <c r="A75" s="125" t="s">
        <v>436</v>
      </c>
      <c r="B75" s="134" t="s">
        <v>452</v>
      </c>
      <c r="C75" s="167" t="s">
        <v>424</v>
      </c>
      <c r="D75" s="430" t="s">
        <v>453</v>
      </c>
      <c r="E75" s="165">
        <v>119</v>
      </c>
      <c r="F75" s="129">
        <f t="shared" si="3"/>
        <v>8.9305816135084436E-3</v>
      </c>
      <c r="G75" s="166">
        <v>0.69</v>
      </c>
      <c r="I75" s="125" t="s">
        <v>436</v>
      </c>
      <c r="J75" s="134" t="s">
        <v>452</v>
      </c>
      <c r="K75" s="135" t="s">
        <v>424</v>
      </c>
      <c r="L75" s="430" t="s">
        <v>453</v>
      </c>
      <c r="M75" s="191">
        <v>119</v>
      </c>
      <c r="N75" s="168">
        <f t="shared" si="4"/>
        <v>1.3438735177865613E-2</v>
      </c>
      <c r="O75" s="170">
        <v>0.69</v>
      </c>
    </row>
    <row r="76" spans="1:15" x14ac:dyDescent="0.35">
      <c r="A76" s="125" t="s">
        <v>438</v>
      </c>
      <c r="B76" s="163" t="s">
        <v>448</v>
      </c>
      <c r="C76" s="163" t="s">
        <v>449</v>
      </c>
      <c r="D76" s="430" t="s">
        <v>450</v>
      </c>
      <c r="E76" s="165">
        <v>109</v>
      </c>
      <c r="F76" s="129">
        <f t="shared" si="3"/>
        <v>8.1801125703564737E-3</v>
      </c>
      <c r="G76" s="166">
        <v>0.56999999999999995</v>
      </c>
      <c r="I76" s="125" t="s">
        <v>438</v>
      </c>
      <c r="J76" s="163" t="s">
        <v>448</v>
      </c>
      <c r="K76" s="163" t="s">
        <v>449</v>
      </c>
      <c r="L76" s="430" t="s">
        <v>450</v>
      </c>
      <c r="M76" s="191">
        <v>109</v>
      </c>
      <c r="N76" s="168">
        <f t="shared" si="4"/>
        <v>1.2309429700734049E-2</v>
      </c>
      <c r="O76" s="170">
        <v>0.56999999999999995</v>
      </c>
    </row>
    <row r="77" spans="1:15" x14ac:dyDescent="0.35">
      <c r="A77" s="142"/>
      <c r="B77" s="143"/>
      <c r="C77" s="144"/>
      <c r="D77" s="145" t="s">
        <v>440</v>
      </c>
      <c r="E77" s="146">
        <f>SUM(E62:E76)</f>
        <v>12189</v>
      </c>
      <c r="F77" s="147">
        <f>SUM(F62:F76)</f>
        <v>0.91474671669793606</v>
      </c>
      <c r="G77" s="148" t="s">
        <v>441</v>
      </c>
      <c r="I77" s="150"/>
      <c r="J77" s="144"/>
      <c r="K77" s="144"/>
      <c r="L77" s="145" t="s">
        <v>440</v>
      </c>
      <c r="M77" s="146">
        <f>SUM(M62:M76)</f>
        <v>7709</v>
      </c>
      <c r="N77" s="172">
        <f>SUM(N62:N76)</f>
        <v>0.87058159232072252</v>
      </c>
      <c r="O77" s="146" t="s">
        <v>441</v>
      </c>
    </row>
    <row r="78" spans="1:15" x14ac:dyDescent="0.35">
      <c r="A78" s="142"/>
      <c r="B78" s="144"/>
      <c r="C78" s="144"/>
      <c r="D78" s="145" t="s">
        <v>442</v>
      </c>
      <c r="E78" s="146">
        <f>E79-E77</f>
        <v>1136</v>
      </c>
      <c r="F78" s="149">
        <f>F79-F77</f>
        <v>8.5253283302063942E-2</v>
      </c>
      <c r="G78" s="146"/>
      <c r="I78" s="150"/>
      <c r="J78" s="150"/>
      <c r="K78" s="151"/>
      <c r="L78" s="145" t="s">
        <v>442</v>
      </c>
      <c r="M78" s="146">
        <f>M79-M77</f>
        <v>1146</v>
      </c>
      <c r="N78" s="172">
        <f>N79-N77</f>
        <v>0.12941840767927748</v>
      </c>
      <c r="O78" s="151"/>
    </row>
    <row r="79" spans="1:15" x14ac:dyDescent="0.35">
      <c r="A79" s="150"/>
      <c r="B79" s="150"/>
      <c r="C79" s="151"/>
      <c r="D79" s="142" t="s">
        <v>443</v>
      </c>
      <c r="E79" s="151">
        <v>13325</v>
      </c>
      <c r="F79" s="152">
        <v>1</v>
      </c>
      <c r="G79" s="151"/>
      <c r="I79" s="142"/>
      <c r="J79" s="143"/>
      <c r="K79" s="143"/>
      <c r="L79" s="142" t="s">
        <v>443</v>
      </c>
      <c r="M79" s="151">
        <v>8855</v>
      </c>
      <c r="N79" s="172">
        <v>1</v>
      </c>
      <c r="O79" s="173"/>
    </row>
    <row r="80" spans="1:15" ht="13.5" thickBot="1" x14ac:dyDescent="0.4">
      <c r="A80" s="153"/>
      <c r="B80" s="153"/>
      <c r="C80" s="154"/>
      <c r="D80" s="155" t="s">
        <v>444</v>
      </c>
      <c r="E80" s="156">
        <v>42</v>
      </c>
      <c r="F80" s="154"/>
      <c r="G80" s="154"/>
      <c r="I80" s="174"/>
      <c r="J80" s="155"/>
      <c r="K80" s="155"/>
      <c r="L80" s="155" t="s">
        <v>444</v>
      </c>
      <c r="M80" s="156">
        <v>42</v>
      </c>
      <c r="N80" s="175"/>
      <c r="O80" s="176"/>
    </row>
    <row r="81" spans="1:15" ht="13.5" thickBot="1" x14ac:dyDescent="0.4">
      <c r="A81" s="157"/>
      <c r="B81" s="158"/>
      <c r="C81" s="159"/>
      <c r="D81" s="431" t="s">
        <v>445</v>
      </c>
      <c r="E81" s="432">
        <f>E79/E80</f>
        <v>317.26190476190476</v>
      </c>
      <c r="F81" s="159"/>
      <c r="G81" s="162"/>
      <c r="I81" s="177"/>
      <c r="J81" s="178"/>
      <c r="K81" s="178"/>
      <c r="L81" s="160" t="s">
        <v>445</v>
      </c>
      <c r="M81" s="161">
        <f>M79/M80</f>
        <v>210.83333333333334</v>
      </c>
      <c r="N81" s="179"/>
      <c r="O81" s="180"/>
    </row>
    <row r="82" spans="1:15" ht="15" customHeight="1" thickBot="1" x14ac:dyDescent="0.4">
      <c r="A82" s="157"/>
      <c r="B82" s="158"/>
      <c r="C82" s="159"/>
      <c r="D82" s="431" t="s">
        <v>446</v>
      </c>
      <c r="E82" s="432">
        <v>209</v>
      </c>
      <c r="F82" s="159"/>
      <c r="G82" s="162"/>
      <c r="M82" s="123"/>
      <c r="N82" s="123"/>
      <c r="O82" s="123"/>
    </row>
    <row r="83" spans="1:15" x14ac:dyDescent="0.35">
      <c r="M83" s="123"/>
      <c r="N83" s="123"/>
      <c r="O83" s="123"/>
    </row>
    <row r="84" spans="1:15" ht="14.5" customHeight="1" x14ac:dyDescent="0.35">
      <c r="A84" s="771" t="s">
        <v>403</v>
      </c>
      <c r="B84" s="775" t="s">
        <v>454</v>
      </c>
      <c r="C84" s="775"/>
      <c r="D84" s="775"/>
      <c r="E84" s="775"/>
      <c r="F84" s="775"/>
      <c r="G84" s="775"/>
      <c r="I84" s="771" t="s">
        <v>403</v>
      </c>
      <c r="J84" s="775" t="s">
        <v>515</v>
      </c>
      <c r="K84" s="775"/>
      <c r="L84" s="775"/>
      <c r="M84" s="775"/>
      <c r="N84" s="775"/>
      <c r="O84" s="775"/>
    </row>
    <row r="85" spans="1:15" ht="26" x14ac:dyDescent="0.35">
      <c r="A85" s="771"/>
      <c r="B85" s="124" t="s">
        <v>2</v>
      </c>
      <c r="C85" s="124" t="s">
        <v>405</v>
      </c>
      <c r="D85" s="124" t="s">
        <v>406</v>
      </c>
      <c r="E85" s="124" t="s">
        <v>407</v>
      </c>
      <c r="F85" s="124" t="s">
        <v>408</v>
      </c>
      <c r="G85" s="124" t="s">
        <v>409</v>
      </c>
      <c r="I85" s="771"/>
      <c r="J85" s="124" t="s">
        <v>2</v>
      </c>
      <c r="K85" s="124" t="s">
        <v>405</v>
      </c>
      <c r="L85" s="124" t="s">
        <v>406</v>
      </c>
      <c r="M85" s="124" t="s">
        <v>407</v>
      </c>
      <c r="N85" s="124" t="s">
        <v>408</v>
      </c>
      <c r="O85" s="124" t="s">
        <v>409</v>
      </c>
    </row>
    <row r="86" spans="1:15" x14ac:dyDescent="0.35">
      <c r="A86" s="125" t="s">
        <v>410</v>
      </c>
      <c r="B86" s="130" t="s">
        <v>371</v>
      </c>
      <c r="C86" s="127" t="s">
        <v>411</v>
      </c>
      <c r="D86" s="126" t="s">
        <v>412</v>
      </c>
      <c r="E86" s="128">
        <v>4526</v>
      </c>
      <c r="F86" s="129">
        <f>E86/$E$103</f>
        <v>0.30632825719120138</v>
      </c>
      <c r="G86" s="129">
        <v>1</v>
      </c>
      <c r="I86" s="125" t="s">
        <v>410</v>
      </c>
      <c r="J86" s="130" t="s">
        <v>267</v>
      </c>
      <c r="K86" s="127" t="s">
        <v>411</v>
      </c>
      <c r="L86" s="430" t="s">
        <v>414</v>
      </c>
      <c r="M86" s="191">
        <v>2047</v>
      </c>
      <c r="N86" s="168">
        <v>0.18711151736745887</v>
      </c>
      <c r="O86" s="170">
        <v>1</v>
      </c>
    </row>
    <row r="87" spans="1:15" x14ac:dyDescent="0.35">
      <c r="A87" s="125" t="s">
        <v>413</v>
      </c>
      <c r="B87" s="134" t="s">
        <v>423</v>
      </c>
      <c r="C87" s="135" t="s">
        <v>424</v>
      </c>
      <c r="D87" s="430" t="s">
        <v>425</v>
      </c>
      <c r="E87" s="169">
        <v>1806</v>
      </c>
      <c r="F87" s="129">
        <f t="shared" ref="F87:F100" si="5">E87/$E$103</f>
        <v>0.12223350253807107</v>
      </c>
      <c r="G87" s="129">
        <v>1</v>
      </c>
      <c r="I87" s="125" t="s">
        <v>413</v>
      </c>
      <c r="J87" s="134" t="s">
        <v>423</v>
      </c>
      <c r="K87" s="135" t="s">
        <v>424</v>
      </c>
      <c r="L87" s="430" t="s">
        <v>425</v>
      </c>
      <c r="M87" s="191">
        <v>1806</v>
      </c>
      <c r="N87" s="168">
        <v>0.16508226691042047</v>
      </c>
      <c r="O87" s="170">
        <v>0.60465116279069764</v>
      </c>
    </row>
    <row r="88" spans="1:15" x14ac:dyDescent="0.35">
      <c r="A88" s="125" t="s">
        <v>415</v>
      </c>
      <c r="B88" s="130" t="s">
        <v>267</v>
      </c>
      <c r="C88" s="127" t="s">
        <v>411</v>
      </c>
      <c r="D88" s="126" t="s">
        <v>414</v>
      </c>
      <c r="E88" s="128">
        <v>1691</v>
      </c>
      <c r="F88" s="129">
        <f t="shared" si="5"/>
        <v>0.11445008460236887</v>
      </c>
      <c r="G88" s="129">
        <v>1</v>
      </c>
      <c r="I88" s="125" t="s">
        <v>415</v>
      </c>
      <c r="J88" s="130" t="s">
        <v>222</v>
      </c>
      <c r="K88" s="127" t="s">
        <v>411</v>
      </c>
      <c r="L88" s="430" t="s">
        <v>416</v>
      </c>
      <c r="M88" s="191">
        <v>852</v>
      </c>
      <c r="N88" s="168">
        <v>7.7879341864716636E-2</v>
      </c>
      <c r="O88" s="170">
        <v>0.97674418604651159</v>
      </c>
    </row>
    <row r="89" spans="1:15" x14ac:dyDescent="0.35">
      <c r="A89" s="125" t="s">
        <v>417</v>
      </c>
      <c r="B89" s="130" t="s">
        <v>222</v>
      </c>
      <c r="C89" s="127" t="s">
        <v>411</v>
      </c>
      <c r="D89" s="430" t="s">
        <v>416</v>
      </c>
      <c r="E89" s="169">
        <v>852</v>
      </c>
      <c r="F89" s="129">
        <f t="shared" si="5"/>
        <v>5.7664974619289343E-2</v>
      </c>
      <c r="G89" s="129">
        <v>0.71</v>
      </c>
      <c r="I89" s="125" t="s">
        <v>417</v>
      </c>
      <c r="J89" s="132" t="s">
        <v>325</v>
      </c>
      <c r="K89" s="133" t="s">
        <v>367</v>
      </c>
      <c r="L89" s="430" t="s">
        <v>326</v>
      </c>
      <c r="M89" s="191">
        <v>750</v>
      </c>
      <c r="N89" s="168">
        <v>6.8555758683729429E-2</v>
      </c>
      <c r="O89" s="170">
        <v>0.88372093023255816</v>
      </c>
    </row>
    <row r="90" spans="1:15" x14ac:dyDescent="0.35">
      <c r="A90" s="125" t="s">
        <v>418</v>
      </c>
      <c r="B90" s="132" t="s">
        <v>325</v>
      </c>
      <c r="C90" s="133" t="s">
        <v>367</v>
      </c>
      <c r="D90" s="430" t="s">
        <v>326</v>
      </c>
      <c r="E90" s="169">
        <v>750</v>
      </c>
      <c r="F90" s="129">
        <f t="shared" si="5"/>
        <v>5.0761421319796954E-2</v>
      </c>
      <c r="G90" s="129">
        <v>0.98</v>
      </c>
      <c r="I90" s="125" t="s">
        <v>418</v>
      </c>
      <c r="J90" s="130" t="s">
        <v>371</v>
      </c>
      <c r="K90" s="127" t="s">
        <v>411</v>
      </c>
      <c r="L90" s="430" t="s">
        <v>412</v>
      </c>
      <c r="M90" s="191">
        <v>691</v>
      </c>
      <c r="N90" s="168">
        <v>6.3162705667276053E-2</v>
      </c>
      <c r="O90" s="170">
        <v>0.93023255813953487</v>
      </c>
    </row>
    <row r="91" spans="1:15" x14ac:dyDescent="0.35">
      <c r="A91" s="125" t="s">
        <v>419</v>
      </c>
      <c r="B91" s="130" t="s">
        <v>235</v>
      </c>
      <c r="C91" s="127" t="s">
        <v>411</v>
      </c>
      <c r="D91" s="430" t="s">
        <v>59</v>
      </c>
      <c r="E91" s="169">
        <v>655</v>
      </c>
      <c r="F91" s="129">
        <f t="shared" si="5"/>
        <v>4.4331641285956007E-2</v>
      </c>
      <c r="G91" s="129">
        <v>0.95</v>
      </c>
      <c r="I91" s="125" t="s">
        <v>419</v>
      </c>
      <c r="J91" s="130" t="s">
        <v>235</v>
      </c>
      <c r="K91" s="127" t="s">
        <v>411</v>
      </c>
      <c r="L91" s="430" t="s">
        <v>59</v>
      </c>
      <c r="M91" s="191">
        <v>655</v>
      </c>
      <c r="N91" s="168">
        <v>5.9872029250457037E-2</v>
      </c>
      <c r="O91" s="170">
        <v>0.88372093023255816</v>
      </c>
    </row>
    <row r="92" spans="1:15" x14ac:dyDescent="0.35">
      <c r="A92" s="125" t="s">
        <v>421</v>
      </c>
      <c r="B92" s="434" t="s">
        <v>452</v>
      </c>
      <c r="C92" s="167" t="s">
        <v>424</v>
      </c>
      <c r="D92" s="171" t="s">
        <v>453</v>
      </c>
      <c r="E92" s="128">
        <v>471</v>
      </c>
      <c r="F92" s="129">
        <f t="shared" si="5"/>
        <v>3.1878172588832486E-2</v>
      </c>
      <c r="G92" s="129">
        <v>0.79</v>
      </c>
      <c r="I92" s="125" t="s">
        <v>421</v>
      </c>
      <c r="J92" s="130" t="s">
        <v>252</v>
      </c>
      <c r="K92" s="127" t="s">
        <v>411</v>
      </c>
      <c r="L92" s="430" t="s">
        <v>430</v>
      </c>
      <c r="M92" s="191">
        <v>439</v>
      </c>
      <c r="N92" s="168">
        <v>4.0127970749542961E-2</v>
      </c>
      <c r="O92" s="170">
        <v>0.88372093023255816</v>
      </c>
    </row>
    <row r="93" spans="1:15" x14ac:dyDescent="0.35">
      <c r="A93" s="125" t="s">
        <v>422</v>
      </c>
      <c r="B93" s="130" t="s">
        <v>252</v>
      </c>
      <c r="C93" s="127" t="s">
        <v>411</v>
      </c>
      <c r="D93" s="430" t="s">
        <v>430</v>
      </c>
      <c r="E93" s="169">
        <v>439</v>
      </c>
      <c r="F93" s="129">
        <f t="shared" si="5"/>
        <v>2.9712351945854483E-2</v>
      </c>
      <c r="G93" s="129">
        <v>0.88</v>
      </c>
      <c r="I93" s="125" t="s">
        <v>422</v>
      </c>
      <c r="J93" s="163" t="s">
        <v>448</v>
      </c>
      <c r="K93" s="163" t="s">
        <v>449</v>
      </c>
      <c r="L93" s="430" t="s">
        <v>450</v>
      </c>
      <c r="M93" s="191">
        <v>387</v>
      </c>
      <c r="N93" s="168">
        <v>3.5374771480804389E-2</v>
      </c>
      <c r="O93" s="170">
        <v>0.81395348837209303</v>
      </c>
    </row>
    <row r="94" spans="1:15" x14ac:dyDescent="0.35">
      <c r="A94" s="125" t="s">
        <v>426</v>
      </c>
      <c r="B94" s="163" t="s">
        <v>448</v>
      </c>
      <c r="C94" s="163" t="s">
        <v>449</v>
      </c>
      <c r="D94" s="430" t="s">
        <v>450</v>
      </c>
      <c r="E94" s="169">
        <v>387</v>
      </c>
      <c r="F94" s="129">
        <f t="shared" si="5"/>
        <v>2.619289340101523E-2</v>
      </c>
      <c r="G94" s="170">
        <v>0.88</v>
      </c>
      <c r="I94" s="125" t="s">
        <v>426</v>
      </c>
      <c r="J94" s="132" t="s">
        <v>336</v>
      </c>
      <c r="K94" s="133" t="s">
        <v>367</v>
      </c>
      <c r="L94" s="430" t="s">
        <v>420</v>
      </c>
      <c r="M94" s="191">
        <v>286</v>
      </c>
      <c r="N94" s="168">
        <v>2.6142595978062157E-2</v>
      </c>
      <c r="O94" s="170">
        <v>0.90697674418604646</v>
      </c>
    </row>
    <row r="95" spans="1:15" x14ac:dyDescent="0.35">
      <c r="A95" s="125" t="s">
        <v>429</v>
      </c>
      <c r="B95" s="132" t="s">
        <v>336</v>
      </c>
      <c r="C95" s="133" t="s">
        <v>367</v>
      </c>
      <c r="D95" s="430" t="s">
        <v>420</v>
      </c>
      <c r="E95" s="169">
        <v>286</v>
      </c>
      <c r="F95" s="129">
        <f t="shared" si="5"/>
        <v>1.9357021996615906E-2</v>
      </c>
      <c r="G95" s="170">
        <v>0.62</v>
      </c>
      <c r="I95" s="125" t="s">
        <v>429</v>
      </c>
      <c r="J95" s="130" t="s">
        <v>176</v>
      </c>
      <c r="K95" s="127" t="s">
        <v>411</v>
      </c>
      <c r="L95" s="430" t="s">
        <v>378</v>
      </c>
      <c r="M95" s="191">
        <v>284</v>
      </c>
      <c r="N95" s="168">
        <v>2.5959780621572212E-2</v>
      </c>
      <c r="O95" s="170">
        <v>0.81395348837209303</v>
      </c>
    </row>
    <row r="96" spans="1:15" x14ac:dyDescent="0.35">
      <c r="A96" s="125" t="s">
        <v>431</v>
      </c>
      <c r="B96" s="130" t="s">
        <v>176</v>
      </c>
      <c r="C96" s="127" t="s">
        <v>411</v>
      </c>
      <c r="D96" s="430" t="s">
        <v>378</v>
      </c>
      <c r="E96" s="169">
        <v>284</v>
      </c>
      <c r="F96" s="129">
        <f t="shared" si="5"/>
        <v>1.9221658206429779E-2</v>
      </c>
      <c r="G96" s="170">
        <v>0.8571428571428571</v>
      </c>
      <c r="I96" s="125" t="s">
        <v>431</v>
      </c>
      <c r="J96" s="140" t="s">
        <v>289</v>
      </c>
      <c r="K96" s="141" t="s">
        <v>365</v>
      </c>
      <c r="L96" s="430" t="s">
        <v>290</v>
      </c>
      <c r="M96" s="191">
        <v>278</v>
      </c>
      <c r="N96" s="168">
        <v>2.5411334552102375E-2</v>
      </c>
      <c r="O96" s="170">
        <v>0.67441860465116277</v>
      </c>
    </row>
    <row r="97" spans="1:15" x14ac:dyDescent="0.35">
      <c r="A97" s="125" t="s">
        <v>433</v>
      </c>
      <c r="B97" s="140" t="s">
        <v>289</v>
      </c>
      <c r="C97" s="141" t="s">
        <v>365</v>
      </c>
      <c r="D97" s="430" t="s">
        <v>290</v>
      </c>
      <c r="E97" s="169">
        <v>278</v>
      </c>
      <c r="F97" s="129">
        <f t="shared" si="5"/>
        <v>1.8815566835871406E-2</v>
      </c>
      <c r="G97" s="170">
        <v>0.67</v>
      </c>
      <c r="I97" s="125" t="s">
        <v>433</v>
      </c>
      <c r="J97" s="138" t="s">
        <v>308</v>
      </c>
      <c r="K97" s="138" t="s">
        <v>366</v>
      </c>
      <c r="L97" s="430" t="s">
        <v>432</v>
      </c>
      <c r="M97" s="191">
        <v>248</v>
      </c>
      <c r="N97" s="168">
        <v>2.2669104204753199E-2</v>
      </c>
      <c r="O97" s="170">
        <v>0.86046511627906974</v>
      </c>
    </row>
    <row r="98" spans="1:15" x14ac:dyDescent="0.35">
      <c r="A98" s="125" t="s">
        <v>434</v>
      </c>
      <c r="B98" s="138" t="s">
        <v>308</v>
      </c>
      <c r="C98" s="138" t="s">
        <v>366</v>
      </c>
      <c r="D98" s="430" t="s">
        <v>432</v>
      </c>
      <c r="E98" s="169">
        <v>248</v>
      </c>
      <c r="F98" s="129">
        <f t="shared" si="5"/>
        <v>1.6785109983079527E-2</v>
      </c>
      <c r="G98" s="170">
        <v>0.71</v>
      </c>
      <c r="I98" s="125" t="s">
        <v>434</v>
      </c>
      <c r="J98" s="138" t="s">
        <v>313</v>
      </c>
      <c r="K98" s="138" t="s">
        <v>366</v>
      </c>
      <c r="L98" s="430" t="s">
        <v>386</v>
      </c>
      <c r="M98" s="191">
        <v>232</v>
      </c>
      <c r="N98" s="168">
        <v>2.1206581352833639E-2</v>
      </c>
      <c r="O98" s="170">
        <v>0.53488372093023251</v>
      </c>
    </row>
    <row r="99" spans="1:15" x14ac:dyDescent="0.35">
      <c r="A99" s="125" t="s">
        <v>436</v>
      </c>
      <c r="B99" s="138" t="s">
        <v>313</v>
      </c>
      <c r="C99" s="138" t="s">
        <v>366</v>
      </c>
      <c r="D99" s="430" t="s">
        <v>386</v>
      </c>
      <c r="E99" s="169">
        <v>232</v>
      </c>
      <c r="F99" s="129">
        <f t="shared" si="5"/>
        <v>1.5702199661590525E-2</v>
      </c>
      <c r="G99" s="170">
        <v>0.69</v>
      </c>
      <c r="I99" s="125" t="s">
        <v>436</v>
      </c>
      <c r="J99" s="138" t="s">
        <v>303</v>
      </c>
      <c r="K99" s="138" t="s">
        <v>366</v>
      </c>
      <c r="L99" s="430" t="s">
        <v>437</v>
      </c>
      <c r="M99" s="191">
        <v>187</v>
      </c>
      <c r="N99" s="168">
        <v>1.7093235831809873E-2</v>
      </c>
      <c r="O99" s="170">
        <v>0.7441860465116279</v>
      </c>
    </row>
    <row r="100" spans="1:15" x14ac:dyDescent="0.35">
      <c r="A100" s="125" t="s">
        <v>438</v>
      </c>
      <c r="B100" s="138" t="s">
        <v>303</v>
      </c>
      <c r="C100" s="138" t="s">
        <v>366</v>
      </c>
      <c r="D100" s="430" t="s">
        <v>437</v>
      </c>
      <c r="E100" s="169">
        <v>187</v>
      </c>
      <c r="F100" s="129">
        <f t="shared" si="5"/>
        <v>1.2656514382402707E-2</v>
      </c>
      <c r="G100" s="170">
        <v>0.56999999999999995</v>
      </c>
      <c r="I100" s="125" t="s">
        <v>438</v>
      </c>
      <c r="J100" s="130" t="s">
        <v>195</v>
      </c>
      <c r="K100" s="127" t="s">
        <v>411</v>
      </c>
      <c r="L100" s="430" t="s">
        <v>435</v>
      </c>
      <c r="M100" s="191">
        <v>147</v>
      </c>
      <c r="N100" s="168">
        <v>1.3436928702010969E-2</v>
      </c>
      <c r="O100" s="170">
        <v>0.69767441860465118</v>
      </c>
    </row>
    <row r="101" spans="1:15" x14ac:dyDescent="0.35">
      <c r="A101" s="150"/>
      <c r="B101" s="144"/>
      <c r="C101" s="144"/>
      <c r="D101" s="145" t="s">
        <v>440</v>
      </c>
      <c r="E101" s="146">
        <f>SUM(E86:E100)</f>
        <v>13092</v>
      </c>
      <c r="F101" s="172">
        <f>SUM(F86:F100)</f>
        <v>0.88609137055837572</v>
      </c>
      <c r="G101" s="146" t="s">
        <v>441</v>
      </c>
      <c r="I101" s="150"/>
      <c r="J101" s="144"/>
      <c r="K101" s="144"/>
      <c r="L101" s="145" t="s">
        <v>440</v>
      </c>
      <c r="M101" s="146">
        <f>SUM(M86:M100)</f>
        <v>9289</v>
      </c>
      <c r="N101" s="172">
        <f>SUM(N86:N100)</f>
        <v>0.84908592321755039</v>
      </c>
      <c r="O101" s="146" t="s">
        <v>441</v>
      </c>
    </row>
    <row r="102" spans="1:15" x14ac:dyDescent="0.35">
      <c r="A102" s="150"/>
      <c r="B102" s="150"/>
      <c r="C102" s="151"/>
      <c r="D102" s="145" t="s">
        <v>442</v>
      </c>
      <c r="E102" s="146">
        <f>E103-E101</f>
        <v>1683</v>
      </c>
      <c r="F102" s="172">
        <f>F103-F101</f>
        <v>0.11390862944162428</v>
      </c>
      <c r="G102" s="151"/>
      <c r="I102" s="150"/>
      <c r="J102" s="150"/>
      <c r="K102" s="151"/>
      <c r="L102" s="145" t="s">
        <v>442</v>
      </c>
      <c r="M102" s="146">
        <f>M103-M101</f>
        <v>1651</v>
      </c>
      <c r="N102" s="172">
        <f>N103-N101</f>
        <v>0.15091407678244961</v>
      </c>
      <c r="O102" s="151"/>
    </row>
    <row r="103" spans="1:15" x14ac:dyDescent="0.35">
      <c r="A103" s="144"/>
      <c r="B103" s="143"/>
      <c r="C103" s="143"/>
      <c r="D103" s="142" t="s">
        <v>443</v>
      </c>
      <c r="E103" s="151">
        <v>14775</v>
      </c>
      <c r="F103" s="172">
        <v>1</v>
      </c>
      <c r="G103" s="173"/>
      <c r="I103" s="144"/>
      <c r="J103" s="143"/>
      <c r="K103" s="143"/>
      <c r="L103" s="142" t="s">
        <v>443</v>
      </c>
      <c r="M103" s="151">
        <v>10940</v>
      </c>
      <c r="N103" s="172">
        <v>1</v>
      </c>
      <c r="O103" s="173"/>
    </row>
    <row r="104" spans="1:15" ht="13.5" thickBot="1" x14ac:dyDescent="0.4">
      <c r="A104" s="174"/>
      <c r="B104" s="155"/>
      <c r="C104" s="155"/>
      <c r="D104" s="155" t="s">
        <v>444</v>
      </c>
      <c r="E104" s="156">
        <v>43</v>
      </c>
      <c r="F104" s="175"/>
      <c r="G104" s="176"/>
      <c r="I104" s="174"/>
      <c r="J104" s="155"/>
      <c r="K104" s="155"/>
      <c r="L104" s="155" t="s">
        <v>444</v>
      </c>
      <c r="M104" s="156">
        <v>43</v>
      </c>
      <c r="N104" s="175"/>
      <c r="O104" s="176"/>
    </row>
    <row r="105" spans="1:15" ht="13.5" thickBot="1" x14ac:dyDescent="0.4">
      <c r="A105" s="177"/>
      <c r="B105" s="178"/>
      <c r="C105" s="178"/>
      <c r="D105" s="431" t="s">
        <v>445</v>
      </c>
      <c r="E105" s="432">
        <f>E103/E104</f>
        <v>343.60465116279067</v>
      </c>
      <c r="F105" s="179"/>
      <c r="G105" s="180"/>
      <c r="I105" s="177"/>
      <c r="J105" s="178"/>
      <c r="K105" s="178"/>
      <c r="L105" s="160" t="s">
        <v>445</v>
      </c>
      <c r="M105" s="161">
        <f>M103/M104</f>
        <v>254.41860465116278</v>
      </c>
      <c r="N105" s="179"/>
      <c r="O105" s="180"/>
    </row>
    <row r="106" spans="1:15" ht="15" customHeight="1" thickBot="1" x14ac:dyDescent="0.4">
      <c r="A106" s="157"/>
      <c r="B106" s="158"/>
      <c r="C106" s="159"/>
      <c r="D106" s="431" t="s">
        <v>446</v>
      </c>
      <c r="E106" s="432">
        <v>242</v>
      </c>
      <c r="F106" s="159"/>
      <c r="G106" s="162"/>
      <c r="M106" s="123"/>
      <c r="N106" s="123"/>
      <c r="O106" s="123"/>
    </row>
    <row r="107" spans="1:15" x14ac:dyDescent="0.35">
      <c r="M107" s="123"/>
      <c r="N107" s="123"/>
      <c r="O107" s="123"/>
    </row>
    <row r="108" spans="1:15" ht="14.5" customHeight="1" x14ac:dyDescent="0.35">
      <c r="A108" s="771" t="s">
        <v>403</v>
      </c>
      <c r="B108" s="775" t="s">
        <v>455</v>
      </c>
      <c r="C108" s="775"/>
      <c r="D108" s="775"/>
      <c r="E108" s="775"/>
      <c r="F108" s="775"/>
      <c r="G108" s="775"/>
      <c r="I108" s="771" t="s">
        <v>403</v>
      </c>
      <c r="J108" s="775" t="s">
        <v>516</v>
      </c>
      <c r="K108" s="775"/>
      <c r="L108" s="775"/>
      <c r="M108" s="775"/>
      <c r="N108" s="775"/>
      <c r="O108" s="775"/>
    </row>
    <row r="109" spans="1:15" ht="26" x14ac:dyDescent="0.35">
      <c r="A109" s="771"/>
      <c r="B109" s="124" t="s">
        <v>2</v>
      </c>
      <c r="C109" s="124" t="s">
        <v>405</v>
      </c>
      <c r="D109" s="124" t="s">
        <v>406</v>
      </c>
      <c r="E109" s="124" t="s">
        <v>407</v>
      </c>
      <c r="F109" s="124" t="s">
        <v>408</v>
      </c>
      <c r="G109" s="124" t="s">
        <v>409</v>
      </c>
      <c r="I109" s="771"/>
      <c r="J109" s="124" t="s">
        <v>2</v>
      </c>
      <c r="K109" s="124" t="s">
        <v>405</v>
      </c>
      <c r="L109" s="124" t="s">
        <v>406</v>
      </c>
      <c r="M109" s="124" t="s">
        <v>407</v>
      </c>
      <c r="N109" s="124" t="s">
        <v>408</v>
      </c>
      <c r="O109" s="124" t="s">
        <v>409</v>
      </c>
    </row>
    <row r="110" spans="1:15" x14ac:dyDescent="0.35">
      <c r="A110" s="125" t="s">
        <v>410</v>
      </c>
      <c r="B110" s="181" t="s">
        <v>371</v>
      </c>
      <c r="C110" s="127" t="s">
        <v>411</v>
      </c>
      <c r="D110" s="126" t="s">
        <v>412</v>
      </c>
      <c r="E110" s="128">
        <v>5479</v>
      </c>
      <c r="F110" s="129">
        <f>E110/$E$127</f>
        <v>0.34149837945649464</v>
      </c>
      <c r="G110" s="129">
        <v>1</v>
      </c>
      <c r="I110" s="125" t="s">
        <v>410</v>
      </c>
      <c r="J110" s="130" t="s">
        <v>267</v>
      </c>
      <c r="K110" s="127" t="s">
        <v>411</v>
      </c>
      <c r="L110" s="430" t="s">
        <v>414</v>
      </c>
      <c r="M110" s="191">
        <v>3302</v>
      </c>
      <c r="N110" s="168">
        <v>0.28921783305596915</v>
      </c>
      <c r="O110" s="170">
        <v>1</v>
      </c>
    </row>
    <row r="111" spans="1:15" x14ac:dyDescent="0.35">
      <c r="A111" s="125" t="s">
        <v>413</v>
      </c>
      <c r="B111" s="181" t="s">
        <v>267</v>
      </c>
      <c r="C111" s="127" t="s">
        <v>411</v>
      </c>
      <c r="D111" s="126" t="s">
        <v>414</v>
      </c>
      <c r="E111" s="128">
        <v>2896</v>
      </c>
      <c r="F111" s="129">
        <f t="shared" ref="F111:F124" si="6">E111/$E$127</f>
        <v>0.18050361505858889</v>
      </c>
      <c r="G111" s="129">
        <v>1</v>
      </c>
      <c r="I111" s="125" t="s">
        <v>413</v>
      </c>
      <c r="J111" s="130" t="s">
        <v>222</v>
      </c>
      <c r="K111" s="127" t="s">
        <v>411</v>
      </c>
      <c r="L111" s="430" t="s">
        <v>416</v>
      </c>
      <c r="M111" s="191">
        <v>1316</v>
      </c>
      <c r="N111" s="168">
        <v>0.11526670754138565</v>
      </c>
      <c r="O111" s="170">
        <v>1</v>
      </c>
    </row>
    <row r="112" spans="1:15" x14ac:dyDescent="0.35">
      <c r="A112" s="125" t="s">
        <v>415</v>
      </c>
      <c r="B112" s="181" t="s">
        <v>222</v>
      </c>
      <c r="C112" s="127" t="s">
        <v>411</v>
      </c>
      <c r="D112" s="430" t="s">
        <v>416</v>
      </c>
      <c r="E112" s="131">
        <v>1316</v>
      </c>
      <c r="F112" s="129">
        <f t="shared" si="6"/>
        <v>8.2024432809773118E-2</v>
      </c>
      <c r="G112" s="129">
        <v>1</v>
      </c>
      <c r="I112" s="125" t="s">
        <v>415</v>
      </c>
      <c r="J112" s="130" t="s">
        <v>371</v>
      </c>
      <c r="K112" s="127" t="s">
        <v>411</v>
      </c>
      <c r="L112" s="430" t="s">
        <v>412</v>
      </c>
      <c r="M112" s="191">
        <v>852</v>
      </c>
      <c r="N112" s="168">
        <v>7.4625558377857587E-2</v>
      </c>
      <c r="O112" s="170">
        <v>0.98</v>
      </c>
    </row>
    <row r="113" spans="1:15" x14ac:dyDescent="0.35">
      <c r="A113" s="125" t="s">
        <v>417</v>
      </c>
      <c r="B113" s="182" t="s">
        <v>325</v>
      </c>
      <c r="C113" s="133" t="s">
        <v>367</v>
      </c>
      <c r="D113" s="430" t="s">
        <v>326</v>
      </c>
      <c r="E113" s="131">
        <v>824</v>
      </c>
      <c r="F113" s="129">
        <f t="shared" si="6"/>
        <v>5.1358763400648218E-2</v>
      </c>
      <c r="G113" s="129">
        <v>0.95</v>
      </c>
      <c r="I113" s="125" t="s">
        <v>417</v>
      </c>
      <c r="J113" s="132" t="s">
        <v>325</v>
      </c>
      <c r="K113" s="133" t="s">
        <v>367</v>
      </c>
      <c r="L113" s="430" t="s">
        <v>326</v>
      </c>
      <c r="M113" s="191">
        <v>824</v>
      </c>
      <c r="N113" s="168">
        <v>7.2173075238679163E-2</v>
      </c>
      <c r="O113" s="170">
        <v>0.95</v>
      </c>
    </row>
    <row r="114" spans="1:15" x14ac:dyDescent="0.35">
      <c r="A114" s="125" t="s">
        <v>418</v>
      </c>
      <c r="B114" s="435" t="s">
        <v>452</v>
      </c>
      <c r="C114" s="167" t="s">
        <v>424</v>
      </c>
      <c r="D114" s="171" t="s">
        <v>453</v>
      </c>
      <c r="E114" s="128">
        <v>586</v>
      </c>
      <c r="F114" s="129">
        <f t="shared" si="6"/>
        <v>3.6524557466965847E-2</v>
      </c>
      <c r="G114" s="129">
        <v>0.95</v>
      </c>
      <c r="I114" s="125" t="s">
        <v>418</v>
      </c>
      <c r="J114" s="134" t="s">
        <v>423</v>
      </c>
      <c r="K114" s="135" t="s">
        <v>424</v>
      </c>
      <c r="L114" s="430" t="s">
        <v>425</v>
      </c>
      <c r="M114" s="191">
        <v>585</v>
      </c>
      <c r="N114" s="168">
        <v>5.1239379872120523E-2</v>
      </c>
      <c r="O114" s="170">
        <v>0.7</v>
      </c>
    </row>
    <row r="115" spans="1:15" x14ac:dyDescent="0.35">
      <c r="A115" s="125" t="s">
        <v>419</v>
      </c>
      <c r="B115" s="183" t="s">
        <v>423</v>
      </c>
      <c r="C115" s="184" t="s">
        <v>424</v>
      </c>
      <c r="D115" s="430" t="s">
        <v>425</v>
      </c>
      <c r="E115" s="131">
        <v>585</v>
      </c>
      <c r="F115" s="129">
        <f t="shared" si="6"/>
        <v>3.6462228870605837E-2</v>
      </c>
      <c r="G115" s="129">
        <v>0.7</v>
      </c>
      <c r="I115" s="125" t="s">
        <v>419</v>
      </c>
      <c r="J115" s="130" t="s">
        <v>235</v>
      </c>
      <c r="K115" s="127" t="s">
        <v>411</v>
      </c>
      <c r="L115" s="430" t="s">
        <v>59</v>
      </c>
      <c r="M115" s="191">
        <v>567</v>
      </c>
      <c r="N115" s="168">
        <v>4.966278356836297E-2</v>
      </c>
      <c r="O115" s="170">
        <v>0.91</v>
      </c>
    </row>
    <row r="116" spans="1:15" x14ac:dyDescent="0.35">
      <c r="A116" s="125" t="s">
        <v>421</v>
      </c>
      <c r="B116" s="181" t="s">
        <v>235</v>
      </c>
      <c r="C116" s="127" t="s">
        <v>411</v>
      </c>
      <c r="D116" s="430" t="s">
        <v>59</v>
      </c>
      <c r="E116" s="131">
        <v>567</v>
      </c>
      <c r="F116" s="129">
        <f t="shared" si="6"/>
        <v>3.5340314136125657E-2</v>
      </c>
      <c r="G116" s="129">
        <v>0.91</v>
      </c>
      <c r="I116" s="125" t="s">
        <v>421</v>
      </c>
      <c r="J116" s="130" t="s">
        <v>252</v>
      </c>
      <c r="K116" s="127" t="s">
        <v>411</v>
      </c>
      <c r="L116" s="430" t="s">
        <v>430</v>
      </c>
      <c r="M116" s="191">
        <v>418</v>
      </c>
      <c r="N116" s="168">
        <v>3.6612069720592097E-2</v>
      </c>
      <c r="O116" s="170">
        <v>0.98</v>
      </c>
    </row>
    <row r="117" spans="1:15" x14ac:dyDescent="0.35">
      <c r="A117" s="125" t="s">
        <v>422</v>
      </c>
      <c r="B117" s="181" t="s">
        <v>252</v>
      </c>
      <c r="C117" s="127" t="s">
        <v>411</v>
      </c>
      <c r="D117" s="430" t="s">
        <v>430</v>
      </c>
      <c r="E117" s="131">
        <v>418</v>
      </c>
      <c r="F117" s="129">
        <f t="shared" si="6"/>
        <v>2.6053353278484168E-2</v>
      </c>
      <c r="G117" s="129">
        <v>0.98</v>
      </c>
      <c r="I117" s="125" t="s">
        <v>422</v>
      </c>
      <c r="J117" s="130" t="s">
        <v>176</v>
      </c>
      <c r="K117" s="127" t="s">
        <v>411</v>
      </c>
      <c r="L117" s="430" t="s">
        <v>378</v>
      </c>
      <c r="M117" s="191">
        <v>313</v>
      </c>
      <c r="N117" s="168">
        <v>2.7415257948673031E-2</v>
      </c>
      <c r="O117" s="170">
        <v>0.91</v>
      </c>
    </row>
    <row r="118" spans="1:15" x14ac:dyDescent="0.35">
      <c r="A118" s="125" t="s">
        <v>426</v>
      </c>
      <c r="B118" s="181" t="s">
        <v>176</v>
      </c>
      <c r="C118" s="127" t="s">
        <v>411</v>
      </c>
      <c r="D118" s="430" t="s">
        <v>378</v>
      </c>
      <c r="E118" s="131">
        <v>313</v>
      </c>
      <c r="F118" s="129">
        <f t="shared" si="6"/>
        <v>1.9508850660683121E-2</v>
      </c>
      <c r="G118" s="170">
        <v>0.91</v>
      </c>
      <c r="I118" s="125" t="s">
        <v>426</v>
      </c>
      <c r="J118" s="138" t="s">
        <v>308</v>
      </c>
      <c r="K118" s="138" t="s">
        <v>366</v>
      </c>
      <c r="L118" s="430" t="s">
        <v>432</v>
      </c>
      <c r="M118" s="191">
        <v>287</v>
      </c>
      <c r="N118" s="168">
        <v>2.5137952176578784E-2</v>
      </c>
      <c r="O118" s="170">
        <v>0.81</v>
      </c>
    </row>
    <row r="119" spans="1:15" x14ac:dyDescent="0.35">
      <c r="A119" s="125" t="s">
        <v>429</v>
      </c>
      <c r="B119" s="185" t="s">
        <v>308</v>
      </c>
      <c r="C119" s="138" t="s">
        <v>366</v>
      </c>
      <c r="D119" s="430" t="s">
        <v>432</v>
      </c>
      <c r="E119" s="131">
        <v>287</v>
      </c>
      <c r="F119" s="129">
        <f t="shared" si="6"/>
        <v>1.7888307155322861E-2</v>
      </c>
      <c r="G119" s="170">
        <v>0.81</v>
      </c>
      <c r="I119" s="125" t="s">
        <v>429</v>
      </c>
      <c r="J119" s="138" t="s">
        <v>303</v>
      </c>
      <c r="K119" s="138" t="s">
        <v>366</v>
      </c>
      <c r="L119" s="430" t="s">
        <v>437</v>
      </c>
      <c r="M119" s="191">
        <v>242</v>
      </c>
      <c r="N119" s="168">
        <v>2.1196461417184901E-2</v>
      </c>
      <c r="O119" s="170">
        <v>0.86</v>
      </c>
    </row>
    <row r="120" spans="1:15" x14ac:dyDescent="0.35">
      <c r="A120" s="125" t="s">
        <v>431</v>
      </c>
      <c r="B120" s="185" t="s">
        <v>303</v>
      </c>
      <c r="C120" s="138" t="s">
        <v>366</v>
      </c>
      <c r="D120" s="430" t="s">
        <v>437</v>
      </c>
      <c r="E120" s="131">
        <v>242</v>
      </c>
      <c r="F120" s="129">
        <f t="shared" si="6"/>
        <v>1.5083520319122414E-2</v>
      </c>
      <c r="G120" s="170">
        <v>0.86</v>
      </c>
      <c r="I120" s="125" t="s">
        <v>431</v>
      </c>
      <c r="J120" s="163" t="s">
        <v>448</v>
      </c>
      <c r="K120" s="163" t="s">
        <v>449</v>
      </c>
      <c r="L120" s="430" t="s">
        <v>450</v>
      </c>
      <c r="M120" s="191">
        <v>233</v>
      </c>
      <c r="N120" s="168">
        <v>2.0408163265306121E-2</v>
      </c>
      <c r="O120" s="170">
        <v>0.74</v>
      </c>
    </row>
    <row r="121" spans="1:15" x14ac:dyDescent="0.35">
      <c r="A121" s="125" t="s">
        <v>433</v>
      </c>
      <c r="B121" s="186" t="s">
        <v>448</v>
      </c>
      <c r="C121" s="163" t="s">
        <v>449</v>
      </c>
      <c r="D121" s="430" t="s">
        <v>450</v>
      </c>
      <c r="E121" s="131">
        <v>233</v>
      </c>
      <c r="F121" s="129">
        <f t="shared" si="6"/>
        <v>1.4522562951882324E-2</v>
      </c>
      <c r="G121" s="170">
        <v>0.74</v>
      </c>
      <c r="I121" s="125" t="s">
        <v>433</v>
      </c>
      <c r="J121" s="130" t="s">
        <v>195</v>
      </c>
      <c r="K121" s="127" t="s">
        <v>411</v>
      </c>
      <c r="L121" s="430" t="s">
        <v>435</v>
      </c>
      <c r="M121" s="191">
        <v>195</v>
      </c>
      <c r="N121" s="168">
        <v>1.707979329070684E-2</v>
      </c>
      <c r="O121" s="170">
        <v>0.86</v>
      </c>
    </row>
    <row r="122" spans="1:15" x14ac:dyDescent="0.35">
      <c r="A122" s="125" t="s">
        <v>434</v>
      </c>
      <c r="B122" s="181" t="s">
        <v>195</v>
      </c>
      <c r="C122" s="127" t="s">
        <v>411</v>
      </c>
      <c r="D122" s="430" t="s">
        <v>435</v>
      </c>
      <c r="E122" s="131">
        <v>195</v>
      </c>
      <c r="F122" s="129">
        <f t="shared" si="6"/>
        <v>1.2154076290201944E-2</v>
      </c>
      <c r="G122" s="170">
        <v>0.86</v>
      </c>
      <c r="I122" s="125" t="s">
        <v>434</v>
      </c>
      <c r="J122" s="140" t="s">
        <v>289</v>
      </c>
      <c r="K122" s="141" t="s">
        <v>365</v>
      </c>
      <c r="L122" s="430" t="s">
        <v>290</v>
      </c>
      <c r="M122" s="191">
        <v>193</v>
      </c>
      <c r="N122" s="168">
        <v>1.6904615923622669E-2</v>
      </c>
      <c r="O122" s="170">
        <v>0.7</v>
      </c>
    </row>
    <row r="123" spans="1:15" x14ac:dyDescent="0.35">
      <c r="A123" s="125" t="s">
        <v>436</v>
      </c>
      <c r="B123" s="187" t="s">
        <v>289</v>
      </c>
      <c r="C123" s="141" t="s">
        <v>365</v>
      </c>
      <c r="D123" s="430" t="s">
        <v>290</v>
      </c>
      <c r="E123" s="131">
        <v>193</v>
      </c>
      <c r="F123" s="129">
        <f t="shared" si="6"/>
        <v>1.2029419097481925E-2</v>
      </c>
      <c r="G123" s="170">
        <v>0.7</v>
      </c>
      <c r="I123" s="125" t="s">
        <v>436</v>
      </c>
      <c r="J123" s="189" t="s">
        <v>353</v>
      </c>
      <c r="K123" s="189" t="s">
        <v>369</v>
      </c>
      <c r="L123" s="430" t="s">
        <v>354</v>
      </c>
      <c r="M123" s="191">
        <v>186</v>
      </c>
      <c r="N123" s="168">
        <v>1.6291495138828063E-2</v>
      </c>
      <c r="O123" s="170">
        <v>0.72</v>
      </c>
    </row>
    <row r="124" spans="1:15" x14ac:dyDescent="0.35">
      <c r="A124" s="125" t="s">
        <v>438</v>
      </c>
      <c r="B124" s="188" t="s">
        <v>353</v>
      </c>
      <c r="C124" s="189" t="s">
        <v>369</v>
      </c>
      <c r="D124" s="430" t="s">
        <v>354</v>
      </c>
      <c r="E124" s="131">
        <v>186</v>
      </c>
      <c r="F124" s="129">
        <f t="shared" si="6"/>
        <v>1.1593118922961856E-2</v>
      </c>
      <c r="G124" s="170">
        <v>0.72</v>
      </c>
      <c r="I124" s="125" t="s">
        <v>438</v>
      </c>
      <c r="J124" s="134" t="s">
        <v>452</v>
      </c>
      <c r="K124" s="135" t="s">
        <v>424</v>
      </c>
      <c r="L124" s="430" t="s">
        <v>453</v>
      </c>
      <c r="M124" s="191">
        <v>180</v>
      </c>
      <c r="N124" s="168">
        <v>1.5765963037575544E-2</v>
      </c>
      <c r="O124" s="170">
        <v>0.86</v>
      </c>
    </row>
    <row r="125" spans="1:15" x14ac:dyDescent="0.35">
      <c r="A125" s="150"/>
      <c r="B125" s="144"/>
      <c r="C125" s="144"/>
      <c r="D125" s="145" t="s">
        <v>440</v>
      </c>
      <c r="E125" s="146">
        <f>SUM(E110:E124)</f>
        <v>14320</v>
      </c>
      <c r="F125" s="172">
        <f>SUM(F110:F124)</f>
        <v>0.89254549987534282</v>
      </c>
      <c r="G125" s="146" t="s">
        <v>441</v>
      </c>
      <c r="I125" s="150"/>
      <c r="J125" s="144"/>
      <c r="K125" s="144"/>
      <c r="L125" s="145" t="s">
        <v>440</v>
      </c>
      <c r="M125" s="146">
        <f>SUM(M110:M124)</f>
        <v>9693</v>
      </c>
      <c r="N125" s="172">
        <f>SUM(N110:N124)</f>
        <v>0.8489971095734431</v>
      </c>
      <c r="O125" s="146" t="s">
        <v>441</v>
      </c>
    </row>
    <row r="126" spans="1:15" x14ac:dyDescent="0.35">
      <c r="A126" s="150"/>
      <c r="B126" s="150"/>
      <c r="C126" s="151"/>
      <c r="D126" s="145" t="s">
        <v>442</v>
      </c>
      <c r="E126" s="146">
        <f>E127-E125</f>
        <v>1724</v>
      </c>
      <c r="F126" s="172">
        <f>F127-F125</f>
        <v>0.10745450012465718</v>
      </c>
      <c r="G126" s="151"/>
      <c r="I126" s="150"/>
      <c r="J126" s="150"/>
      <c r="K126" s="151"/>
      <c r="L126" s="145" t="s">
        <v>442</v>
      </c>
      <c r="M126" s="146">
        <f>M127-M125</f>
        <v>1724</v>
      </c>
      <c r="N126" s="172">
        <f>N127-N125</f>
        <v>0.1510028904265569</v>
      </c>
      <c r="O126" s="151"/>
    </row>
    <row r="127" spans="1:15" x14ac:dyDescent="0.35">
      <c r="A127" s="144"/>
      <c r="B127" s="143"/>
      <c r="C127" s="143"/>
      <c r="D127" s="142" t="s">
        <v>443</v>
      </c>
      <c r="E127" s="151">
        <v>16044</v>
      </c>
      <c r="F127" s="172">
        <v>1</v>
      </c>
      <c r="G127" s="173"/>
      <c r="I127" s="144"/>
      <c r="J127" s="143"/>
      <c r="K127" s="143"/>
      <c r="L127" s="142" t="s">
        <v>443</v>
      </c>
      <c r="M127" s="151">
        <v>11417</v>
      </c>
      <c r="N127" s="172">
        <v>1</v>
      </c>
      <c r="O127" s="173"/>
    </row>
    <row r="128" spans="1:15" ht="13.5" thickBot="1" x14ac:dyDescent="0.4">
      <c r="A128" s="174"/>
      <c r="B128" s="155"/>
      <c r="C128" s="155"/>
      <c r="D128" s="155" t="s">
        <v>444</v>
      </c>
      <c r="E128" s="156">
        <v>43</v>
      </c>
      <c r="F128" s="175"/>
      <c r="G128" s="176"/>
      <c r="I128" s="174"/>
      <c r="J128" s="155"/>
      <c r="K128" s="155"/>
      <c r="L128" s="155" t="s">
        <v>444</v>
      </c>
      <c r="M128" s="156">
        <v>43</v>
      </c>
      <c r="N128" s="175"/>
      <c r="O128" s="176"/>
    </row>
    <row r="129" spans="1:15" ht="13.5" thickBot="1" x14ac:dyDescent="0.4">
      <c r="A129" s="177"/>
      <c r="B129" s="178"/>
      <c r="C129" s="178"/>
      <c r="D129" s="431" t="s">
        <v>445</v>
      </c>
      <c r="E129" s="432">
        <f>E127/E128</f>
        <v>373.11627906976742</v>
      </c>
      <c r="F129" s="179"/>
      <c r="G129" s="180"/>
      <c r="I129" s="177"/>
      <c r="J129" s="178"/>
      <c r="K129" s="178"/>
      <c r="L129" s="160" t="s">
        <v>445</v>
      </c>
      <c r="M129" s="161">
        <f>M127/M128</f>
        <v>265.51162790697674</v>
      </c>
      <c r="N129" s="179"/>
      <c r="O129" s="180"/>
    </row>
    <row r="130" spans="1:15" ht="15" customHeight="1" thickBot="1" x14ac:dyDescent="0.4">
      <c r="A130" s="157"/>
      <c r="B130" s="158"/>
      <c r="C130" s="159"/>
      <c r="D130" s="431" t="s">
        <v>446</v>
      </c>
      <c r="E130" s="432">
        <v>246</v>
      </c>
      <c r="F130" s="159"/>
      <c r="G130" s="162"/>
      <c r="M130" s="123"/>
      <c r="N130" s="123"/>
      <c r="O130" s="123"/>
    </row>
    <row r="131" spans="1:15" x14ac:dyDescent="0.35">
      <c r="M131" s="123"/>
      <c r="N131" s="123"/>
      <c r="O131" s="123"/>
    </row>
    <row r="132" spans="1:15" ht="14.5" customHeight="1" x14ac:dyDescent="0.35">
      <c r="A132" s="771" t="s">
        <v>403</v>
      </c>
      <c r="B132" s="775" t="s">
        <v>456</v>
      </c>
      <c r="C132" s="775"/>
      <c r="D132" s="775"/>
      <c r="E132" s="775"/>
      <c r="F132" s="775"/>
      <c r="G132" s="775"/>
      <c r="I132" s="771" t="s">
        <v>403</v>
      </c>
      <c r="J132" s="775" t="s">
        <v>517</v>
      </c>
      <c r="K132" s="775"/>
      <c r="L132" s="775"/>
      <c r="M132" s="775"/>
      <c r="N132" s="775"/>
      <c r="O132" s="775"/>
    </row>
    <row r="133" spans="1:15" ht="26" x14ac:dyDescent="0.35">
      <c r="A133" s="771"/>
      <c r="B133" s="124" t="s">
        <v>2</v>
      </c>
      <c r="C133" s="124" t="s">
        <v>405</v>
      </c>
      <c r="D133" s="124" t="s">
        <v>406</v>
      </c>
      <c r="E133" s="124" t="s">
        <v>407</v>
      </c>
      <c r="F133" s="124" t="s">
        <v>408</v>
      </c>
      <c r="G133" s="124" t="s">
        <v>409</v>
      </c>
      <c r="I133" s="771"/>
      <c r="J133" s="124" t="s">
        <v>2</v>
      </c>
      <c r="K133" s="124" t="s">
        <v>405</v>
      </c>
      <c r="L133" s="124" t="s">
        <v>406</v>
      </c>
      <c r="M133" s="124" t="s">
        <v>407</v>
      </c>
      <c r="N133" s="124" t="s">
        <v>408</v>
      </c>
      <c r="O133" s="124" t="s">
        <v>409</v>
      </c>
    </row>
    <row r="134" spans="1:15" x14ac:dyDescent="0.35">
      <c r="A134" s="125" t="s">
        <v>410</v>
      </c>
      <c r="B134" s="181" t="s">
        <v>371</v>
      </c>
      <c r="C134" s="127" t="s">
        <v>411</v>
      </c>
      <c r="D134" s="126" t="s">
        <v>412</v>
      </c>
      <c r="E134" s="128">
        <v>4460</v>
      </c>
      <c r="F134" s="129">
        <f>E134/$E$151</f>
        <v>0.32611874817198011</v>
      </c>
      <c r="G134" s="129">
        <v>1</v>
      </c>
      <c r="I134" s="125" t="s">
        <v>410</v>
      </c>
      <c r="J134" s="181" t="s">
        <v>267</v>
      </c>
      <c r="K134" s="127" t="s">
        <v>411</v>
      </c>
      <c r="L134" s="430" t="s">
        <v>414</v>
      </c>
      <c r="M134" s="191">
        <v>2730</v>
      </c>
      <c r="N134" s="168">
        <v>0.27698863636363635</v>
      </c>
      <c r="O134" s="170">
        <v>1</v>
      </c>
    </row>
    <row r="135" spans="1:15" x14ac:dyDescent="0.35">
      <c r="A135" s="125" t="s">
        <v>413</v>
      </c>
      <c r="B135" s="181" t="s">
        <v>267</v>
      </c>
      <c r="C135" s="127" t="s">
        <v>411</v>
      </c>
      <c r="D135" s="126" t="s">
        <v>414</v>
      </c>
      <c r="E135" s="128">
        <v>2534</v>
      </c>
      <c r="F135" s="129">
        <f t="shared" ref="F135:F148" si="7">E135/$E$151</f>
        <v>0.18528809593448375</v>
      </c>
      <c r="G135" s="129">
        <v>1</v>
      </c>
      <c r="I135" s="125" t="s">
        <v>413</v>
      </c>
      <c r="J135" s="181" t="s">
        <v>222</v>
      </c>
      <c r="K135" s="127" t="s">
        <v>411</v>
      </c>
      <c r="L135" s="430" t="s">
        <v>416</v>
      </c>
      <c r="M135" s="191">
        <v>805</v>
      </c>
      <c r="N135" s="168">
        <v>8.1676136363636367E-2</v>
      </c>
      <c r="O135" s="170">
        <v>1</v>
      </c>
    </row>
    <row r="136" spans="1:15" x14ac:dyDescent="0.35">
      <c r="A136" s="125" t="s">
        <v>415</v>
      </c>
      <c r="B136" s="181" t="s">
        <v>222</v>
      </c>
      <c r="C136" s="127" t="s">
        <v>411</v>
      </c>
      <c r="D136" s="430" t="s">
        <v>416</v>
      </c>
      <c r="E136" s="131">
        <v>805</v>
      </c>
      <c r="F136" s="129">
        <f t="shared" si="7"/>
        <v>5.8862240421175785E-2</v>
      </c>
      <c r="G136" s="129">
        <v>1</v>
      </c>
      <c r="I136" s="125" t="s">
        <v>415</v>
      </c>
      <c r="J136" s="182" t="s">
        <v>325</v>
      </c>
      <c r="K136" s="133" t="s">
        <v>367</v>
      </c>
      <c r="L136" s="430" t="s">
        <v>326</v>
      </c>
      <c r="M136" s="191">
        <v>793</v>
      </c>
      <c r="N136" s="168">
        <v>8.0458603896103903E-2</v>
      </c>
      <c r="O136" s="170">
        <v>0.86</v>
      </c>
    </row>
    <row r="137" spans="1:15" x14ac:dyDescent="0.35">
      <c r="A137" s="125" t="s">
        <v>417</v>
      </c>
      <c r="B137" s="182" t="s">
        <v>325</v>
      </c>
      <c r="C137" s="133" t="s">
        <v>367</v>
      </c>
      <c r="D137" s="430" t="s">
        <v>326</v>
      </c>
      <c r="E137" s="131">
        <v>793</v>
      </c>
      <c r="F137" s="129">
        <f t="shared" si="7"/>
        <v>5.7984790874524718E-2</v>
      </c>
      <c r="G137" s="129">
        <v>0.86</v>
      </c>
      <c r="I137" s="125" t="s">
        <v>417</v>
      </c>
      <c r="J137" s="190" t="s">
        <v>423</v>
      </c>
      <c r="K137" s="135" t="s">
        <v>424</v>
      </c>
      <c r="L137" s="430" t="s">
        <v>425</v>
      </c>
      <c r="M137" s="191">
        <v>784</v>
      </c>
      <c r="N137" s="168">
        <v>7.9545454545454544E-2</v>
      </c>
      <c r="O137" s="170">
        <v>0.56000000000000005</v>
      </c>
    </row>
    <row r="138" spans="1:15" x14ac:dyDescent="0.35">
      <c r="A138" s="125" t="s">
        <v>418</v>
      </c>
      <c r="B138" s="190" t="s">
        <v>423</v>
      </c>
      <c r="C138" s="167" t="s">
        <v>424</v>
      </c>
      <c r="D138" s="430" t="s">
        <v>425</v>
      </c>
      <c r="E138" s="131">
        <v>784</v>
      </c>
      <c r="F138" s="129">
        <f t="shared" si="7"/>
        <v>5.7326703714536416E-2</v>
      </c>
      <c r="G138" s="129">
        <v>0.7</v>
      </c>
      <c r="I138" s="125" t="s">
        <v>418</v>
      </c>
      <c r="J138" s="181" t="s">
        <v>371</v>
      </c>
      <c r="K138" s="127" t="s">
        <v>411</v>
      </c>
      <c r="L138" s="430" t="s">
        <v>412</v>
      </c>
      <c r="M138" s="191">
        <v>640</v>
      </c>
      <c r="N138" s="168">
        <v>6.4935064935064929E-2</v>
      </c>
      <c r="O138" s="170">
        <v>0.93</v>
      </c>
    </row>
    <row r="139" spans="1:15" x14ac:dyDescent="0.35">
      <c r="A139" s="125" t="s">
        <v>419</v>
      </c>
      <c r="B139" s="181" t="s">
        <v>252</v>
      </c>
      <c r="C139" s="127" t="s">
        <v>411</v>
      </c>
      <c r="D139" s="430" t="s">
        <v>430</v>
      </c>
      <c r="E139" s="131">
        <v>515</v>
      </c>
      <c r="F139" s="129">
        <f t="shared" si="7"/>
        <v>3.7657209710441647E-2</v>
      </c>
      <c r="G139" s="129">
        <v>0.91</v>
      </c>
      <c r="I139" s="125" t="s">
        <v>419</v>
      </c>
      <c r="J139" s="181" t="s">
        <v>252</v>
      </c>
      <c r="K139" s="127" t="s">
        <v>411</v>
      </c>
      <c r="L139" s="430" t="s">
        <v>430</v>
      </c>
      <c r="M139" s="191">
        <v>515</v>
      </c>
      <c r="N139" s="168">
        <v>5.2252435064935064E-2</v>
      </c>
      <c r="O139" s="170">
        <v>0.95</v>
      </c>
    </row>
    <row r="140" spans="1:15" x14ac:dyDescent="0.35">
      <c r="A140" s="125" t="s">
        <v>421</v>
      </c>
      <c r="B140" s="181" t="s">
        <v>235</v>
      </c>
      <c r="C140" s="127" t="s">
        <v>411</v>
      </c>
      <c r="D140" s="430" t="s">
        <v>59</v>
      </c>
      <c r="E140" s="131">
        <v>434</v>
      </c>
      <c r="F140" s="129">
        <f t="shared" si="7"/>
        <v>3.1734425270546943E-2</v>
      </c>
      <c r="G140" s="129">
        <v>0.91</v>
      </c>
      <c r="I140" s="125" t="s">
        <v>421</v>
      </c>
      <c r="J140" s="181" t="s">
        <v>235</v>
      </c>
      <c r="K140" s="127" t="s">
        <v>411</v>
      </c>
      <c r="L140" s="430" t="s">
        <v>59</v>
      </c>
      <c r="M140" s="191">
        <v>434</v>
      </c>
      <c r="N140" s="168">
        <v>4.4034090909090912E-2</v>
      </c>
      <c r="O140" s="170">
        <v>0.88</v>
      </c>
    </row>
    <row r="141" spans="1:15" x14ac:dyDescent="0.35">
      <c r="A141" s="125" t="s">
        <v>422</v>
      </c>
      <c r="B141" s="185" t="s">
        <v>457</v>
      </c>
      <c r="C141" s="138" t="s">
        <v>366</v>
      </c>
      <c r="D141" s="430" t="s">
        <v>458</v>
      </c>
      <c r="E141" s="131">
        <v>332</v>
      </c>
      <c r="F141" s="129">
        <f t="shared" si="7"/>
        <v>2.4276104124012869E-2</v>
      </c>
      <c r="G141" s="129">
        <v>0.98</v>
      </c>
      <c r="I141" s="125" t="s">
        <v>422</v>
      </c>
      <c r="J141" s="185" t="s">
        <v>457</v>
      </c>
      <c r="K141" s="138" t="s">
        <v>366</v>
      </c>
      <c r="L141" s="430" t="s">
        <v>458</v>
      </c>
      <c r="M141" s="191">
        <v>332</v>
      </c>
      <c r="N141" s="168">
        <v>3.3685064935064936E-2</v>
      </c>
      <c r="O141" s="170">
        <v>0.16</v>
      </c>
    </row>
    <row r="142" spans="1:15" x14ac:dyDescent="0.35">
      <c r="A142" s="125" t="s">
        <v>426</v>
      </c>
      <c r="B142" s="186" t="s">
        <v>358</v>
      </c>
      <c r="C142" s="163" t="s">
        <v>449</v>
      </c>
      <c r="D142" s="430" t="s">
        <v>450</v>
      </c>
      <c r="E142" s="131">
        <v>313</v>
      </c>
      <c r="F142" s="129">
        <f t="shared" si="7"/>
        <v>2.2886809008482011E-2</v>
      </c>
      <c r="G142" s="129">
        <v>0.81</v>
      </c>
      <c r="I142" s="125" t="s">
        <v>426</v>
      </c>
      <c r="J142" s="186" t="s">
        <v>358</v>
      </c>
      <c r="K142" s="163" t="s">
        <v>449</v>
      </c>
      <c r="L142" s="430" t="s">
        <v>450</v>
      </c>
      <c r="M142" s="191">
        <v>313</v>
      </c>
      <c r="N142" s="168">
        <v>3.1757305194805192E-2</v>
      </c>
      <c r="O142" s="170">
        <v>0.56000000000000005</v>
      </c>
    </row>
    <row r="143" spans="1:15" x14ac:dyDescent="0.35">
      <c r="A143" s="125" t="s">
        <v>429</v>
      </c>
      <c r="B143" s="181" t="s">
        <v>176</v>
      </c>
      <c r="C143" s="127" t="s">
        <v>411</v>
      </c>
      <c r="D143" s="430" t="s">
        <v>378</v>
      </c>
      <c r="E143" s="131">
        <v>292</v>
      </c>
      <c r="F143" s="129">
        <f t="shared" si="7"/>
        <v>2.1351272301842646E-2</v>
      </c>
      <c r="G143" s="129">
        <v>0.81</v>
      </c>
      <c r="I143" s="125" t="s">
        <v>429</v>
      </c>
      <c r="J143" s="181" t="s">
        <v>176</v>
      </c>
      <c r="K143" s="127" t="s">
        <v>411</v>
      </c>
      <c r="L143" s="430" t="s">
        <v>378</v>
      </c>
      <c r="M143" s="191">
        <v>292</v>
      </c>
      <c r="N143" s="168">
        <v>2.9626623376623376E-2</v>
      </c>
      <c r="O143" s="170">
        <v>0.93</v>
      </c>
    </row>
    <row r="144" spans="1:15" x14ac:dyDescent="0.35">
      <c r="A144" s="125" t="s">
        <v>431</v>
      </c>
      <c r="B144" s="435" t="s">
        <v>452</v>
      </c>
      <c r="C144" s="167" t="s">
        <v>424</v>
      </c>
      <c r="D144" s="171" t="s">
        <v>453</v>
      </c>
      <c r="E144" s="128">
        <v>276</v>
      </c>
      <c r="F144" s="129">
        <f t="shared" si="7"/>
        <v>2.0181339572974553E-2</v>
      </c>
      <c r="G144" s="129">
        <v>0.86</v>
      </c>
      <c r="I144" s="125" t="s">
        <v>431</v>
      </c>
      <c r="J144" s="185" t="s">
        <v>308</v>
      </c>
      <c r="K144" s="138" t="s">
        <v>366</v>
      </c>
      <c r="L144" s="430" t="s">
        <v>432</v>
      </c>
      <c r="M144" s="191">
        <v>241</v>
      </c>
      <c r="N144" s="168">
        <v>2.4452110389610388E-2</v>
      </c>
      <c r="O144" s="170">
        <v>0.74</v>
      </c>
    </row>
    <row r="145" spans="1:15" x14ac:dyDescent="0.35">
      <c r="A145" s="125" t="s">
        <v>433</v>
      </c>
      <c r="B145" s="185" t="s">
        <v>308</v>
      </c>
      <c r="C145" s="138" t="s">
        <v>366</v>
      </c>
      <c r="D145" s="430" t="s">
        <v>432</v>
      </c>
      <c r="E145" s="131">
        <v>241</v>
      </c>
      <c r="F145" s="129">
        <f t="shared" si="7"/>
        <v>1.7622111728575605E-2</v>
      </c>
      <c r="G145" s="129">
        <v>0.74</v>
      </c>
      <c r="I145" s="125" t="s">
        <v>433</v>
      </c>
      <c r="J145" s="187" t="s">
        <v>289</v>
      </c>
      <c r="K145" s="141" t="s">
        <v>365</v>
      </c>
      <c r="L145" s="430" t="s">
        <v>290</v>
      </c>
      <c r="M145" s="191">
        <v>210</v>
      </c>
      <c r="N145" s="168">
        <v>2.130681818181818E-2</v>
      </c>
      <c r="O145" s="170">
        <v>0.72</v>
      </c>
    </row>
    <row r="146" spans="1:15" x14ac:dyDescent="0.35">
      <c r="A146" s="125" t="s">
        <v>434</v>
      </c>
      <c r="B146" s="187" t="s">
        <v>289</v>
      </c>
      <c r="C146" s="141" t="s">
        <v>365</v>
      </c>
      <c r="D146" s="430" t="s">
        <v>290</v>
      </c>
      <c r="E146" s="131">
        <v>210</v>
      </c>
      <c r="F146" s="129">
        <f t="shared" si="7"/>
        <v>1.5355367066393682E-2</v>
      </c>
      <c r="G146" s="129">
        <v>0.86</v>
      </c>
      <c r="I146" s="125" t="s">
        <v>434</v>
      </c>
      <c r="J146" s="185" t="s">
        <v>303</v>
      </c>
      <c r="K146" s="138" t="s">
        <v>366</v>
      </c>
      <c r="L146" s="430" t="s">
        <v>437</v>
      </c>
      <c r="M146" s="191">
        <v>192</v>
      </c>
      <c r="N146" s="168">
        <v>1.948051948051948E-2</v>
      </c>
      <c r="O146" s="170">
        <v>0.77</v>
      </c>
    </row>
    <row r="147" spans="1:15" x14ac:dyDescent="0.35">
      <c r="A147" s="125" t="s">
        <v>436</v>
      </c>
      <c r="B147" s="185" t="s">
        <v>303</v>
      </c>
      <c r="C147" s="138" t="s">
        <v>366</v>
      </c>
      <c r="D147" s="430" t="s">
        <v>437</v>
      </c>
      <c r="E147" s="131">
        <v>192</v>
      </c>
      <c r="F147" s="129">
        <f t="shared" si="7"/>
        <v>1.4039192746417082E-2</v>
      </c>
      <c r="G147" s="170">
        <v>0.7</v>
      </c>
      <c r="I147" s="125" t="s">
        <v>436</v>
      </c>
      <c r="J147" s="181" t="s">
        <v>213</v>
      </c>
      <c r="K147" s="127" t="s">
        <v>411</v>
      </c>
      <c r="L147" s="430" t="s">
        <v>380</v>
      </c>
      <c r="M147" s="191">
        <v>148</v>
      </c>
      <c r="N147" s="168">
        <v>1.5016233766233766E-2</v>
      </c>
      <c r="O147" s="170">
        <v>0.65</v>
      </c>
    </row>
    <row r="148" spans="1:15" x14ac:dyDescent="0.35">
      <c r="A148" s="125" t="s">
        <v>438</v>
      </c>
      <c r="B148" s="181" t="s">
        <v>213</v>
      </c>
      <c r="C148" s="127" t="s">
        <v>411</v>
      </c>
      <c r="D148" s="430" t="s">
        <v>380</v>
      </c>
      <c r="E148" s="131">
        <v>148</v>
      </c>
      <c r="F148" s="129">
        <f t="shared" si="7"/>
        <v>1.0821877742029834E-2</v>
      </c>
      <c r="G148" s="170">
        <v>0.72</v>
      </c>
      <c r="I148" s="125" t="s">
        <v>438</v>
      </c>
      <c r="J148" s="181" t="s">
        <v>206</v>
      </c>
      <c r="K148" s="127" t="s">
        <v>411</v>
      </c>
      <c r="L148" s="430" t="s">
        <v>518</v>
      </c>
      <c r="M148" s="191">
        <v>106</v>
      </c>
      <c r="N148" s="168">
        <v>1.075487012987013E-2</v>
      </c>
      <c r="O148" s="170">
        <v>0.65</v>
      </c>
    </row>
    <row r="149" spans="1:15" x14ac:dyDescent="0.35">
      <c r="A149" s="150"/>
      <c r="B149" s="144"/>
      <c r="C149" s="144"/>
      <c r="D149" s="145" t="s">
        <v>440</v>
      </c>
      <c r="E149" s="146">
        <f>SUM(E134:E148)</f>
        <v>12329</v>
      </c>
      <c r="F149" s="172">
        <f>SUM(F134:F148)</f>
        <v>0.90150628838841762</v>
      </c>
      <c r="G149" s="146" t="s">
        <v>441</v>
      </c>
      <c r="I149" s="150"/>
      <c r="J149" s="144"/>
      <c r="K149" s="144"/>
      <c r="L149" s="145" t="s">
        <v>440</v>
      </c>
      <c r="M149" s="146">
        <f>SUM(M134:M148)</f>
        <v>8535</v>
      </c>
      <c r="N149" s="172">
        <f>SUM(N134:N148)</f>
        <v>0.86596996753246758</v>
      </c>
      <c r="O149" s="146" t="s">
        <v>441</v>
      </c>
    </row>
    <row r="150" spans="1:15" x14ac:dyDescent="0.35">
      <c r="A150" s="150"/>
      <c r="B150" s="150"/>
      <c r="C150" s="151"/>
      <c r="D150" s="145" t="s">
        <v>442</v>
      </c>
      <c r="E150" s="146">
        <f>E151-E149</f>
        <v>1347</v>
      </c>
      <c r="F150" s="172">
        <f>F151-F149</f>
        <v>9.849371161158238E-2</v>
      </c>
      <c r="G150" s="151"/>
      <c r="I150" s="150"/>
      <c r="J150" s="150"/>
      <c r="K150" s="151"/>
      <c r="L150" s="145" t="s">
        <v>442</v>
      </c>
      <c r="M150" s="146">
        <f>M151-M149</f>
        <v>1321</v>
      </c>
      <c r="N150" s="172">
        <f>N151-N149</f>
        <v>0.13403003246753242</v>
      </c>
      <c r="O150" s="151"/>
    </row>
    <row r="151" spans="1:15" x14ac:dyDescent="0.35">
      <c r="A151" s="144"/>
      <c r="B151" s="143"/>
      <c r="C151" s="143"/>
      <c r="D151" s="142" t="s">
        <v>443</v>
      </c>
      <c r="E151" s="151">
        <v>13676</v>
      </c>
      <c r="F151" s="172">
        <v>1</v>
      </c>
      <c r="G151" s="173"/>
      <c r="I151" s="144"/>
      <c r="J151" s="143"/>
      <c r="K151" s="143"/>
      <c r="L151" s="142" t="s">
        <v>443</v>
      </c>
      <c r="M151" s="151">
        <v>9856</v>
      </c>
      <c r="N151" s="172">
        <v>1</v>
      </c>
      <c r="O151" s="173"/>
    </row>
    <row r="152" spans="1:15" ht="13.5" thickBot="1" x14ac:dyDescent="0.4">
      <c r="A152" s="174"/>
      <c r="B152" s="155"/>
      <c r="C152" s="155"/>
      <c r="D152" s="155" t="s">
        <v>444</v>
      </c>
      <c r="E152" s="156">
        <v>43</v>
      </c>
      <c r="F152" s="175"/>
      <c r="G152" s="176"/>
      <c r="I152" s="174"/>
      <c r="J152" s="155"/>
      <c r="K152" s="155"/>
      <c r="L152" s="155" t="s">
        <v>444</v>
      </c>
      <c r="M152" s="156">
        <v>43</v>
      </c>
      <c r="N152" s="175"/>
      <c r="O152" s="176"/>
    </row>
    <row r="153" spans="1:15" ht="13.5" thickBot="1" x14ac:dyDescent="0.4">
      <c r="A153" s="177"/>
      <c r="B153" s="178"/>
      <c r="C153" s="178"/>
      <c r="D153" s="431" t="s">
        <v>445</v>
      </c>
      <c r="E153" s="432">
        <f>E151/E152</f>
        <v>318.04651162790697</v>
      </c>
      <c r="F153" s="179"/>
      <c r="G153" s="180"/>
      <c r="I153" s="177"/>
      <c r="J153" s="178"/>
      <c r="K153" s="178"/>
      <c r="L153" s="160" t="s">
        <v>445</v>
      </c>
      <c r="M153" s="161">
        <f>M151/M152</f>
        <v>229.2093023255814</v>
      </c>
      <c r="N153" s="179"/>
      <c r="O153" s="180"/>
    </row>
    <row r="154" spans="1:15" ht="15" customHeight="1" thickBot="1" x14ac:dyDescent="0.4">
      <c r="A154" s="157"/>
      <c r="B154" s="158"/>
      <c r="C154" s="159"/>
      <c r="D154" s="431" t="s">
        <v>446</v>
      </c>
      <c r="E154" s="432">
        <v>233</v>
      </c>
      <c r="F154" s="159"/>
      <c r="G154" s="162"/>
      <c r="M154" s="123"/>
      <c r="N154" s="123"/>
      <c r="O154" s="123"/>
    </row>
    <row r="155" spans="1:15" x14ac:dyDescent="0.35">
      <c r="M155" s="123"/>
      <c r="N155" s="123"/>
      <c r="O155" s="123"/>
    </row>
    <row r="156" spans="1:15" ht="14.5" customHeight="1" x14ac:dyDescent="0.35">
      <c r="A156" s="771" t="s">
        <v>403</v>
      </c>
      <c r="B156" s="772" t="s">
        <v>508</v>
      </c>
      <c r="C156" s="772"/>
      <c r="D156" s="772"/>
      <c r="E156" s="772"/>
      <c r="F156" s="772"/>
      <c r="G156" s="772"/>
      <c r="I156" s="771" t="s">
        <v>403</v>
      </c>
      <c r="J156" s="772" t="s">
        <v>520</v>
      </c>
      <c r="K156" s="772"/>
      <c r="L156" s="772"/>
      <c r="M156" s="772"/>
      <c r="N156" s="772"/>
      <c r="O156" s="772"/>
    </row>
    <row r="157" spans="1:15" ht="30" customHeight="1" x14ac:dyDescent="0.35">
      <c r="A157" s="771"/>
      <c r="B157" s="124" t="s">
        <v>2</v>
      </c>
      <c r="C157" s="124" t="s">
        <v>405</v>
      </c>
      <c r="D157" s="124" t="s">
        <v>406</v>
      </c>
      <c r="E157" s="124" t="s">
        <v>407</v>
      </c>
      <c r="F157" s="124" t="s">
        <v>408</v>
      </c>
      <c r="G157" s="124" t="s">
        <v>409</v>
      </c>
      <c r="I157" s="771"/>
      <c r="J157" s="124" t="s">
        <v>2</v>
      </c>
      <c r="K157" s="124" t="s">
        <v>405</v>
      </c>
      <c r="L157" s="124" t="s">
        <v>406</v>
      </c>
      <c r="M157" s="124" t="s">
        <v>407</v>
      </c>
      <c r="N157" s="124" t="s">
        <v>408</v>
      </c>
      <c r="O157" s="124" t="s">
        <v>409</v>
      </c>
    </row>
    <row r="158" spans="1:15" x14ac:dyDescent="0.35">
      <c r="A158" s="125" t="s">
        <v>410</v>
      </c>
      <c r="B158" s="130" t="s">
        <v>171</v>
      </c>
      <c r="C158" s="127" t="s">
        <v>411</v>
      </c>
      <c r="D158" s="430" t="s">
        <v>412</v>
      </c>
      <c r="E158" s="191">
        <v>5299</v>
      </c>
      <c r="F158" s="129">
        <f>E158/$E$175</f>
        <v>0.32152175232085434</v>
      </c>
      <c r="G158" s="170">
        <v>1</v>
      </c>
      <c r="I158" s="125" t="s">
        <v>410</v>
      </c>
      <c r="J158" s="130" t="s">
        <v>271</v>
      </c>
      <c r="K158" s="127" t="s">
        <v>411</v>
      </c>
      <c r="L158" s="430" t="s">
        <v>459</v>
      </c>
      <c r="M158" s="191">
        <v>1611</v>
      </c>
      <c r="N158" s="168">
        <v>0.13755122950819673</v>
      </c>
      <c r="O158" s="170">
        <v>0.86</v>
      </c>
    </row>
    <row r="159" spans="1:15" x14ac:dyDescent="0.35">
      <c r="A159" s="125" t="s">
        <v>413</v>
      </c>
      <c r="B159" s="130" t="s">
        <v>271</v>
      </c>
      <c r="C159" s="127" t="s">
        <v>411</v>
      </c>
      <c r="D159" s="430" t="s">
        <v>459</v>
      </c>
      <c r="E159" s="191">
        <v>1611</v>
      </c>
      <c r="F159" s="129">
        <f t="shared" ref="F159:F172" si="8">E159/$E$175</f>
        <v>9.7748923002245011E-2</v>
      </c>
      <c r="G159" s="170">
        <v>0.86</v>
      </c>
      <c r="I159" s="125" t="s">
        <v>413</v>
      </c>
      <c r="J159" s="130" t="s">
        <v>277</v>
      </c>
      <c r="K159" s="127" t="s">
        <v>411</v>
      </c>
      <c r="L159" s="430" t="s">
        <v>460</v>
      </c>
      <c r="M159" s="191">
        <v>1459</v>
      </c>
      <c r="N159" s="168">
        <v>0.12457308743169399</v>
      </c>
      <c r="O159" s="170">
        <v>1</v>
      </c>
    </row>
    <row r="160" spans="1:15" x14ac:dyDescent="0.35">
      <c r="A160" s="125" t="s">
        <v>415</v>
      </c>
      <c r="B160" s="130" t="s">
        <v>277</v>
      </c>
      <c r="C160" s="127" t="s">
        <v>411</v>
      </c>
      <c r="D160" s="430" t="s">
        <v>460</v>
      </c>
      <c r="E160" s="191">
        <v>1459</v>
      </c>
      <c r="F160" s="129">
        <f t="shared" si="8"/>
        <v>8.8526181663733994E-2</v>
      </c>
      <c r="G160" s="170">
        <v>1</v>
      </c>
      <c r="I160" s="125" t="s">
        <v>415</v>
      </c>
      <c r="J160" s="192" t="s">
        <v>329</v>
      </c>
      <c r="K160" s="133" t="s">
        <v>367</v>
      </c>
      <c r="L160" s="430" t="s">
        <v>330</v>
      </c>
      <c r="M160" s="191">
        <v>872</v>
      </c>
      <c r="N160" s="168">
        <v>7.4453551912568305E-2</v>
      </c>
      <c r="O160" s="170">
        <v>0.86</v>
      </c>
    </row>
    <row r="161" spans="1:15" x14ac:dyDescent="0.35">
      <c r="A161" s="125" t="s">
        <v>417</v>
      </c>
      <c r="B161" s="192" t="s">
        <v>329</v>
      </c>
      <c r="C161" s="133" t="s">
        <v>367</v>
      </c>
      <c r="D161" s="430" t="s">
        <v>330</v>
      </c>
      <c r="E161" s="191">
        <v>872</v>
      </c>
      <c r="F161" s="129">
        <f t="shared" si="8"/>
        <v>5.2909410836721071E-2</v>
      </c>
      <c r="G161" s="170">
        <v>0.86</v>
      </c>
      <c r="I161" s="125" t="s">
        <v>417</v>
      </c>
      <c r="J161" s="130" t="s">
        <v>224</v>
      </c>
      <c r="K161" s="127" t="s">
        <v>411</v>
      </c>
      <c r="L161" s="430" t="s">
        <v>225</v>
      </c>
      <c r="M161" s="191">
        <v>658</v>
      </c>
      <c r="N161" s="168">
        <v>5.6181693989071038E-2</v>
      </c>
      <c r="O161" s="170">
        <v>0.93</v>
      </c>
    </row>
    <row r="162" spans="1:15" x14ac:dyDescent="0.35">
      <c r="A162" s="125" t="s">
        <v>418</v>
      </c>
      <c r="B162" s="130" t="s">
        <v>224</v>
      </c>
      <c r="C162" s="127" t="s">
        <v>411</v>
      </c>
      <c r="D162" s="430" t="s">
        <v>225</v>
      </c>
      <c r="E162" s="191">
        <v>658</v>
      </c>
      <c r="F162" s="129">
        <f t="shared" si="8"/>
        <v>3.9924761846975305E-2</v>
      </c>
      <c r="G162" s="170">
        <v>0.93</v>
      </c>
      <c r="I162" s="125" t="s">
        <v>418</v>
      </c>
      <c r="J162" s="130" t="s">
        <v>237</v>
      </c>
      <c r="K162" s="127" t="s">
        <v>411</v>
      </c>
      <c r="L162" s="430" t="s">
        <v>461</v>
      </c>
      <c r="M162" s="191">
        <v>581</v>
      </c>
      <c r="N162" s="168">
        <v>4.9607240437158473E-2</v>
      </c>
      <c r="O162" s="170">
        <v>0.89</v>
      </c>
    </row>
    <row r="163" spans="1:15" x14ac:dyDescent="0.35">
      <c r="A163" s="125" t="s">
        <v>419</v>
      </c>
      <c r="B163" s="130" t="s">
        <v>237</v>
      </c>
      <c r="C163" s="127" t="s">
        <v>411</v>
      </c>
      <c r="D163" s="430" t="s">
        <v>461</v>
      </c>
      <c r="E163" s="191">
        <v>581</v>
      </c>
      <c r="F163" s="129">
        <f t="shared" si="8"/>
        <v>3.5252715247861173E-2</v>
      </c>
      <c r="G163" s="170">
        <v>0.89</v>
      </c>
      <c r="I163" s="125" t="s">
        <v>419</v>
      </c>
      <c r="J163" s="130" t="s">
        <v>171</v>
      </c>
      <c r="K163" s="127" t="s">
        <v>411</v>
      </c>
      <c r="L163" s="126" t="s">
        <v>412</v>
      </c>
      <c r="M163" s="204">
        <v>530</v>
      </c>
      <c r="N163" s="168">
        <v>4.525273224043716E-2</v>
      </c>
      <c r="O163" s="129">
        <v>1</v>
      </c>
    </row>
    <row r="164" spans="1:15" x14ac:dyDescent="0.35">
      <c r="A164" s="125" t="s">
        <v>421</v>
      </c>
      <c r="B164" s="193" t="s">
        <v>360</v>
      </c>
      <c r="C164" s="193" t="s">
        <v>449</v>
      </c>
      <c r="D164" s="430" t="s">
        <v>361</v>
      </c>
      <c r="E164" s="191">
        <v>408</v>
      </c>
      <c r="F164" s="129">
        <f t="shared" si="8"/>
        <v>2.4755779382319033E-2</v>
      </c>
      <c r="G164" s="170">
        <v>0.89</v>
      </c>
      <c r="I164" s="125" t="s">
        <v>421</v>
      </c>
      <c r="J164" s="163" t="s">
        <v>360</v>
      </c>
      <c r="K164" s="163" t="s">
        <v>449</v>
      </c>
      <c r="L164" s="430" t="s">
        <v>361</v>
      </c>
      <c r="M164" s="191">
        <v>408</v>
      </c>
      <c r="N164" s="168">
        <v>3.4836065573770489E-2</v>
      </c>
      <c r="O164" s="170">
        <v>0.89</v>
      </c>
    </row>
    <row r="165" spans="1:15" x14ac:dyDescent="0.35">
      <c r="A165" s="125" t="s">
        <v>422</v>
      </c>
      <c r="B165" s="138" t="s">
        <v>322</v>
      </c>
      <c r="C165" s="138" t="s">
        <v>366</v>
      </c>
      <c r="D165" s="430" t="s">
        <v>323</v>
      </c>
      <c r="E165" s="191">
        <v>346</v>
      </c>
      <c r="F165" s="129">
        <f t="shared" si="8"/>
        <v>2.0993871731084277E-2</v>
      </c>
      <c r="G165" s="170">
        <v>0.16</v>
      </c>
      <c r="I165" s="125" t="s">
        <v>422</v>
      </c>
      <c r="J165" s="138" t="s">
        <v>322</v>
      </c>
      <c r="K165" s="138" t="s">
        <v>366</v>
      </c>
      <c r="L165" s="430" t="s">
        <v>323</v>
      </c>
      <c r="M165" s="191">
        <v>346</v>
      </c>
      <c r="N165" s="168">
        <v>2.9542349726775958E-2</v>
      </c>
      <c r="O165" s="170">
        <v>0.16</v>
      </c>
    </row>
    <row r="166" spans="1:15" x14ac:dyDescent="0.35">
      <c r="A166" s="125" t="s">
        <v>426</v>
      </c>
      <c r="B166" s="130" t="s">
        <v>273</v>
      </c>
      <c r="C166" s="127" t="s">
        <v>411</v>
      </c>
      <c r="D166" s="430" t="s">
        <v>274</v>
      </c>
      <c r="E166" s="191">
        <v>340</v>
      </c>
      <c r="F166" s="129">
        <f t="shared" si="8"/>
        <v>2.0629816151932528E-2</v>
      </c>
      <c r="G166" s="170">
        <v>0.86</v>
      </c>
      <c r="I166" s="125" t="s">
        <v>426</v>
      </c>
      <c r="J166" s="130" t="s">
        <v>273</v>
      </c>
      <c r="K166" s="127" t="s">
        <v>411</v>
      </c>
      <c r="L166" s="430" t="s">
        <v>274</v>
      </c>
      <c r="M166" s="191">
        <v>340</v>
      </c>
      <c r="N166" s="168">
        <v>2.9030054644808744E-2</v>
      </c>
      <c r="O166" s="170">
        <v>0.86</v>
      </c>
    </row>
    <row r="167" spans="1:15" x14ac:dyDescent="0.35">
      <c r="A167" s="125" t="s">
        <v>429</v>
      </c>
      <c r="B167" s="138" t="s">
        <v>310</v>
      </c>
      <c r="C167" s="138" t="s">
        <v>366</v>
      </c>
      <c r="D167" s="430" t="s">
        <v>311</v>
      </c>
      <c r="E167" s="191">
        <v>332</v>
      </c>
      <c r="F167" s="129">
        <f t="shared" si="8"/>
        <v>2.0144408713063527E-2</v>
      </c>
      <c r="G167" s="170">
        <v>0.86</v>
      </c>
      <c r="I167" s="125" t="s">
        <v>429</v>
      </c>
      <c r="J167" s="138" t="s">
        <v>310</v>
      </c>
      <c r="K167" s="138" t="s">
        <v>366</v>
      </c>
      <c r="L167" s="430" t="s">
        <v>311</v>
      </c>
      <c r="M167" s="191">
        <v>332</v>
      </c>
      <c r="N167" s="168">
        <v>2.8346994535519126E-2</v>
      </c>
      <c r="O167" s="170">
        <v>0.86</v>
      </c>
    </row>
    <row r="168" spans="1:15" x14ac:dyDescent="0.35">
      <c r="A168" s="125" t="s">
        <v>431</v>
      </c>
      <c r="B168" s="140" t="s">
        <v>291</v>
      </c>
      <c r="C168" s="141" t="s">
        <v>365</v>
      </c>
      <c r="D168" s="430" t="s">
        <v>290</v>
      </c>
      <c r="E168" s="191">
        <v>312</v>
      </c>
      <c r="F168" s="129">
        <f t="shared" si="8"/>
        <v>1.8930890115891025E-2</v>
      </c>
      <c r="G168" s="170">
        <v>0.68</v>
      </c>
      <c r="I168" s="125" t="s">
        <v>431</v>
      </c>
      <c r="J168" s="140" t="s">
        <v>291</v>
      </c>
      <c r="K168" s="141" t="s">
        <v>365</v>
      </c>
      <c r="L168" s="430" t="s">
        <v>290</v>
      </c>
      <c r="M168" s="191">
        <v>312</v>
      </c>
      <c r="N168" s="168">
        <v>2.663934426229508E-2</v>
      </c>
      <c r="O168" s="170">
        <v>0.68</v>
      </c>
    </row>
    <row r="169" spans="1:15" x14ac:dyDescent="0.35">
      <c r="A169" s="125" t="s">
        <v>433</v>
      </c>
      <c r="B169" s="130" t="s">
        <v>279</v>
      </c>
      <c r="C169" s="127" t="s">
        <v>411</v>
      </c>
      <c r="D169" s="430" t="s">
        <v>462</v>
      </c>
      <c r="E169" s="191">
        <v>269</v>
      </c>
      <c r="F169" s="129">
        <f t="shared" si="8"/>
        <v>1.6321825131970148E-2</v>
      </c>
      <c r="G169" s="170">
        <v>0.73</v>
      </c>
      <c r="I169" s="125" t="s">
        <v>433</v>
      </c>
      <c r="J169" s="130" t="s">
        <v>279</v>
      </c>
      <c r="K169" s="127" t="s">
        <v>411</v>
      </c>
      <c r="L169" s="430" t="s">
        <v>462</v>
      </c>
      <c r="M169" s="191">
        <v>269</v>
      </c>
      <c r="N169" s="168">
        <v>2.2967896174863389E-2</v>
      </c>
      <c r="O169" s="170">
        <v>0.73</v>
      </c>
    </row>
    <row r="170" spans="1:15" x14ac:dyDescent="0.35">
      <c r="A170" s="125" t="s">
        <v>434</v>
      </c>
      <c r="B170" s="130" t="s">
        <v>254</v>
      </c>
      <c r="C170" s="127" t="s">
        <v>411</v>
      </c>
      <c r="D170" s="430" t="s">
        <v>463</v>
      </c>
      <c r="E170" s="191">
        <v>255</v>
      </c>
      <c r="F170" s="129">
        <f t="shared" si="8"/>
        <v>1.5472362113949397E-2</v>
      </c>
      <c r="G170" s="170">
        <v>0.84</v>
      </c>
      <c r="I170" s="125" t="s">
        <v>434</v>
      </c>
      <c r="J170" s="130" t="s">
        <v>254</v>
      </c>
      <c r="K170" s="127" t="s">
        <v>411</v>
      </c>
      <c r="L170" s="430" t="s">
        <v>463</v>
      </c>
      <c r="M170" s="191">
        <v>255</v>
      </c>
      <c r="N170" s="168">
        <v>2.1772540983606557E-2</v>
      </c>
      <c r="O170" s="170">
        <v>0.84</v>
      </c>
    </row>
    <row r="171" spans="1:15" x14ac:dyDescent="0.35">
      <c r="A171" s="125" t="s">
        <v>436</v>
      </c>
      <c r="B171" s="130" t="s">
        <v>258</v>
      </c>
      <c r="C171" s="127" t="s">
        <v>411</v>
      </c>
      <c r="D171" s="430" t="s">
        <v>464</v>
      </c>
      <c r="E171" s="191">
        <v>239</v>
      </c>
      <c r="F171" s="129">
        <f t="shared" si="8"/>
        <v>1.4501547236211394E-2</v>
      </c>
      <c r="G171" s="170">
        <v>0.8</v>
      </c>
      <c r="I171" s="125" t="s">
        <v>436</v>
      </c>
      <c r="J171" s="130" t="s">
        <v>258</v>
      </c>
      <c r="K171" s="127" t="s">
        <v>411</v>
      </c>
      <c r="L171" s="430" t="s">
        <v>464</v>
      </c>
      <c r="M171" s="191">
        <v>239</v>
      </c>
      <c r="N171" s="168">
        <v>2.0406420765027321E-2</v>
      </c>
      <c r="O171" s="170">
        <v>0.8</v>
      </c>
    </row>
    <row r="172" spans="1:15" x14ac:dyDescent="0.35">
      <c r="A172" s="125" t="s">
        <v>438</v>
      </c>
      <c r="B172" s="138" t="s">
        <v>305</v>
      </c>
      <c r="C172" s="138" t="s">
        <v>366</v>
      </c>
      <c r="D172" s="430" t="s">
        <v>306</v>
      </c>
      <c r="E172" s="191">
        <v>238</v>
      </c>
      <c r="F172" s="129">
        <f t="shared" si="8"/>
        <v>1.444087130635277E-2</v>
      </c>
      <c r="G172" s="170">
        <v>0.91</v>
      </c>
      <c r="I172" s="125" t="s">
        <v>438</v>
      </c>
      <c r="J172" s="138" t="s">
        <v>305</v>
      </c>
      <c r="K172" s="138" t="s">
        <v>366</v>
      </c>
      <c r="L172" s="430" t="s">
        <v>306</v>
      </c>
      <c r="M172" s="191">
        <v>238</v>
      </c>
      <c r="N172" s="168">
        <v>2.0321038251366118E-2</v>
      </c>
      <c r="O172" s="170">
        <v>0.91</v>
      </c>
    </row>
    <row r="173" spans="1:15" x14ac:dyDescent="0.35">
      <c r="A173" s="150"/>
      <c r="B173" s="144"/>
      <c r="C173" s="144"/>
      <c r="D173" s="145" t="s">
        <v>440</v>
      </c>
      <c r="E173" s="146">
        <f>SUM(E158:E172)</f>
        <v>13219</v>
      </c>
      <c r="F173" s="172">
        <f>SUM(F158:F172)</f>
        <v>0.80207511680116506</v>
      </c>
      <c r="G173" s="146" t="s">
        <v>441</v>
      </c>
      <c r="I173" s="150"/>
      <c r="J173" s="144"/>
      <c r="K173" s="144"/>
      <c r="L173" s="145" t="s">
        <v>440</v>
      </c>
      <c r="M173" s="146">
        <f>SUM(M158:M172)</f>
        <v>8450</v>
      </c>
      <c r="N173" s="172">
        <f>SUM(N158:N172)</f>
        <v>0.72148224043715847</v>
      </c>
      <c r="O173" s="146" t="s">
        <v>441</v>
      </c>
    </row>
    <row r="174" spans="1:15" x14ac:dyDescent="0.35">
      <c r="A174" s="150"/>
      <c r="B174" s="150"/>
      <c r="C174" s="151"/>
      <c r="D174" s="145" t="s">
        <v>442</v>
      </c>
      <c r="E174" s="146">
        <f>E175-E173</f>
        <v>3262</v>
      </c>
      <c r="F174" s="172">
        <f>F175-F173</f>
        <v>0.19792488319883494</v>
      </c>
      <c r="G174" s="151"/>
      <c r="I174" s="150"/>
      <c r="J174" s="150"/>
      <c r="K174" s="151"/>
      <c r="L174" s="145" t="s">
        <v>442</v>
      </c>
      <c r="M174" s="146">
        <f>M175-M173</f>
        <v>3262</v>
      </c>
      <c r="N174" s="172">
        <f>N175-N173</f>
        <v>0.27851775956284153</v>
      </c>
      <c r="O174" s="151"/>
    </row>
    <row r="175" spans="1:15" x14ac:dyDescent="0.35">
      <c r="A175" s="144"/>
      <c r="B175" s="143"/>
      <c r="C175" s="143"/>
      <c r="D175" s="142" t="s">
        <v>443</v>
      </c>
      <c r="E175" s="151">
        <v>16481</v>
      </c>
      <c r="F175" s="172">
        <v>1</v>
      </c>
      <c r="G175" s="173"/>
      <c r="I175" s="144"/>
      <c r="J175" s="143"/>
      <c r="K175" s="143"/>
      <c r="L175" s="142" t="s">
        <v>443</v>
      </c>
      <c r="M175" s="151">
        <v>11712</v>
      </c>
      <c r="N175" s="172">
        <v>1</v>
      </c>
      <c r="O175" s="173"/>
    </row>
    <row r="176" spans="1:15" ht="13.5" thickBot="1" x14ac:dyDescent="0.4">
      <c r="A176" s="174"/>
      <c r="B176" s="155"/>
      <c r="C176" s="155"/>
      <c r="D176" s="155" t="s">
        <v>444</v>
      </c>
      <c r="E176" s="156">
        <v>44</v>
      </c>
      <c r="F176" s="175"/>
      <c r="G176" s="176"/>
      <c r="I176" s="174"/>
      <c r="J176" s="155"/>
      <c r="K176" s="155"/>
      <c r="L176" s="155" t="s">
        <v>519</v>
      </c>
      <c r="M176" s="156">
        <v>44</v>
      </c>
      <c r="N176" s="175"/>
      <c r="O176" s="176"/>
    </row>
    <row r="177" spans="1:15" ht="13.5" thickBot="1" x14ac:dyDescent="0.4">
      <c r="A177" s="177"/>
      <c r="B177" s="178"/>
      <c r="C177" s="178"/>
      <c r="D177" s="431" t="s">
        <v>445</v>
      </c>
      <c r="E177" s="432">
        <f>E175/E176</f>
        <v>374.56818181818181</v>
      </c>
      <c r="F177" s="179"/>
      <c r="G177" s="180"/>
      <c r="I177" s="177"/>
      <c r="J177" s="178"/>
      <c r="K177" s="178"/>
      <c r="L177" s="160" t="s">
        <v>445</v>
      </c>
      <c r="M177" s="161">
        <f>M175/M176</f>
        <v>266.18181818181819</v>
      </c>
      <c r="N177" s="179"/>
      <c r="O177" s="180"/>
    </row>
    <row r="178" spans="1:15" ht="16" customHeight="1" thickBot="1" x14ac:dyDescent="0.4">
      <c r="A178" s="157"/>
      <c r="B178" s="158"/>
      <c r="C178" s="159"/>
      <c r="D178" s="431" t="s">
        <v>446</v>
      </c>
      <c r="E178" s="432">
        <v>277</v>
      </c>
      <c r="F178" s="159"/>
      <c r="G178" s="162"/>
      <c r="M178" s="123"/>
      <c r="N178" s="123"/>
      <c r="O178" s="123"/>
    </row>
    <row r="179" spans="1:15" ht="16" customHeight="1" x14ac:dyDescent="0.35">
      <c r="M179" s="123"/>
      <c r="N179" s="123"/>
      <c r="O179" s="123"/>
    </row>
    <row r="180" spans="1:15" ht="14.5" customHeight="1" x14ac:dyDescent="0.35">
      <c r="A180" s="771" t="s">
        <v>403</v>
      </c>
      <c r="B180" s="772" t="s">
        <v>509</v>
      </c>
      <c r="C180" s="772"/>
      <c r="D180" s="772"/>
      <c r="E180" s="772"/>
      <c r="F180" s="772"/>
      <c r="G180" s="772"/>
      <c r="I180" s="771" t="s">
        <v>403</v>
      </c>
      <c r="J180" s="772" t="s">
        <v>521</v>
      </c>
      <c r="K180" s="772"/>
      <c r="L180" s="772"/>
      <c r="M180" s="772"/>
      <c r="N180" s="772"/>
      <c r="O180" s="772"/>
    </row>
    <row r="181" spans="1:15" ht="30" customHeight="1" x14ac:dyDescent="0.35">
      <c r="A181" s="771"/>
      <c r="B181" s="124" t="s">
        <v>2</v>
      </c>
      <c r="C181" s="124" t="s">
        <v>405</v>
      </c>
      <c r="D181" s="124" t="s">
        <v>406</v>
      </c>
      <c r="E181" s="124" t="s">
        <v>407</v>
      </c>
      <c r="F181" s="124" t="s">
        <v>408</v>
      </c>
      <c r="G181" s="124" t="s">
        <v>409</v>
      </c>
      <c r="I181" s="771"/>
      <c r="J181" s="124" t="s">
        <v>2</v>
      </c>
      <c r="K181" s="124" t="s">
        <v>405</v>
      </c>
      <c r="L181" s="124" t="s">
        <v>406</v>
      </c>
      <c r="M181" s="124" t="s">
        <v>407</v>
      </c>
      <c r="N181" s="124" t="s">
        <v>408</v>
      </c>
      <c r="O181" s="124" t="s">
        <v>409</v>
      </c>
    </row>
    <row r="182" spans="1:15" x14ac:dyDescent="0.35">
      <c r="A182" s="125" t="s">
        <v>410</v>
      </c>
      <c r="B182" s="130" t="s">
        <v>171</v>
      </c>
      <c r="C182" s="127" t="s">
        <v>411</v>
      </c>
      <c r="D182" s="430" t="s">
        <v>412</v>
      </c>
      <c r="E182" s="191">
        <v>4783</v>
      </c>
      <c r="F182" s="129">
        <f>E182/$E$199</f>
        <v>0.32561780924501327</v>
      </c>
      <c r="G182" s="170">
        <v>1</v>
      </c>
      <c r="I182" s="125" t="s">
        <v>410</v>
      </c>
      <c r="J182" s="130" t="s">
        <v>277</v>
      </c>
      <c r="K182" s="127" t="s">
        <v>411</v>
      </c>
      <c r="L182" s="430" t="s">
        <v>460</v>
      </c>
      <c r="M182" s="191">
        <v>1210</v>
      </c>
      <c r="N182" s="168">
        <v>0.11652542372881355</v>
      </c>
      <c r="O182" s="170">
        <v>1</v>
      </c>
    </row>
    <row r="183" spans="1:15" x14ac:dyDescent="0.35">
      <c r="A183" s="125" t="s">
        <v>413</v>
      </c>
      <c r="B183" s="130" t="s">
        <v>277</v>
      </c>
      <c r="C183" s="127" t="s">
        <v>411</v>
      </c>
      <c r="D183" s="430" t="s">
        <v>460</v>
      </c>
      <c r="E183" s="191">
        <v>1210</v>
      </c>
      <c r="F183" s="129">
        <f t="shared" ref="F183:F196" si="9">E183/$E$199</f>
        <v>8.2374566001770039E-2</v>
      </c>
      <c r="G183" s="170">
        <v>0.98</v>
      </c>
      <c r="I183" s="125" t="s">
        <v>413</v>
      </c>
      <c r="J183" s="192" t="s">
        <v>329</v>
      </c>
      <c r="K183" s="133" t="s">
        <v>367</v>
      </c>
      <c r="L183" s="430" t="s">
        <v>330</v>
      </c>
      <c r="M183" s="191">
        <v>1057</v>
      </c>
      <c r="N183" s="168">
        <v>0.10179121725731895</v>
      </c>
      <c r="O183" s="170">
        <v>0.98</v>
      </c>
    </row>
    <row r="184" spans="1:15" x14ac:dyDescent="0.35">
      <c r="A184" s="125" t="s">
        <v>415</v>
      </c>
      <c r="B184" s="192" t="s">
        <v>329</v>
      </c>
      <c r="C184" s="133" t="s">
        <v>367</v>
      </c>
      <c r="D184" s="430" t="s">
        <v>330</v>
      </c>
      <c r="E184" s="191">
        <v>1057</v>
      </c>
      <c r="F184" s="129">
        <f t="shared" si="9"/>
        <v>7.1958608482537947E-2</v>
      </c>
      <c r="G184" s="170">
        <v>0.89</v>
      </c>
      <c r="I184" s="125" t="s">
        <v>415</v>
      </c>
      <c r="J184" s="130" t="s">
        <v>271</v>
      </c>
      <c r="K184" s="127" t="s">
        <v>411</v>
      </c>
      <c r="L184" s="430" t="s">
        <v>459</v>
      </c>
      <c r="M184" s="191">
        <v>929</v>
      </c>
      <c r="N184" s="168">
        <v>8.9464560862865944E-2</v>
      </c>
      <c r="O184" s="170">
        <v>0.89</v>
      </c>
    </row>
    <row r="185" spans="1:15" x14ac:dyDescent="0.35">
      <c r="A185" s="125" t="s">
        <v>417</v>
      </c>
      <c r="B185" s="130" t="s">
        <v>271</v>
      </c>
      <c r="C185" s="127" t="s">
        <v>411</v>
      </c>
      <c r="D185" s="430" t="s">
        <v>459</v>
      </c>
      <c r="E185" s="191">
        <v>929</v>
      </c>
      <c r="F185" s="129">
        <f t="shared" si="9"/>
        <v>6.3244604806317647E-2</v>
      </c>
      <c r="G185" s="170">
        <v>1</v>
      </c>
      <c r="I185" s="125" t="s">
        <v>417</v>
      </c>
      <c r="J185" s="181" t="s">
        <v>281</v>
      </c>
      <c r="K185" s="127" t="s">
        <v>411</v>
      </c>
      <c r="L185" s="436" t="s">
        <v>465</v>
      </c>
      <c r="M185" s="191">
        <v>712</v>
      </c>
      <c r="N185" s="168">
        <v>6.8567026194144842E-2</v>
      </c>
      <c r="O185" s="170">
        <v>1</v>
      </c>
    </row>
    <row r="186" spans="1:15" x14ac:dyDescent="0.35">
      <c r="A186" s="125" t="s">
        <v>418</v>
      </c>
      <c r="B186" s="181" t="s">
        <v>281</v>
      </c>
      <c r="C186" s="127" t="s">
        <v>411</v>
      </c>
      <c r="D186" s="436" t="s">
        <v>465</v>
      </c>
      <c r="E186" s="191">
        <v>712</v>
      </c>
      <c r="F186" s="129">
        <f t="shared" si="9"/>
        <v>4.8471645448975427E-2</v>
      </c>
      <c r="G186" s="170">
        <v>0.55000000000000004</v>
      </c>
      <c r="I186" s="125" t="s">
        <v>418</v>
      </c>
      <c r="J186" s="130" t="s">
        <v>237</v>
      </c>
      <c r="K186" s="127" t="s">
        <v>411</v>
      </c>
      <c r="L186" s="430" t="s">
        <v>461</v>
      </c>
      <c r="M186" s="191">
        <v>554</v>
      </c>
      <c r="N186" s="168">
        <v>5.335130970724191E-2</v>
      </c>
      <c r="O186" s="170">
        <v>0.55000000000000004</v>
      </c>
    </row>
    <row r="187" spans="1:15" x14ac:dyDescent="0.35">
      <c r="A187" s="125" t="s">
        <v>419</v>
      </c>
      <c r="B187" s="130" t="s">
        <v>237</v>
      </c>
      <c r="C187" s="127" t="s">
        <v>411</v>
      </c>
      <c r="D187" s="430" t="s">
        <v>461</v>
      </c>
      <c r="E187" s="191">
        <v>554</v>
      </c>
      <c r="F187" s="129">
        <f t="shared" si="9"/>
        <v>3.7715297161140991E-2</v>
      </c>
      <c r="G187" s="170">
        <v>1</v>
      </c>
      <c r="I187" s="125" t="s">
        <v>419</v>
      </c>
      <c r="J187" s="130" t="s">
        <v>171</v>
      </c>
      <c r="K187" s="127" t="s">
        <v>411</v>
      </c>
      <c r="L187" s="126" t="s">
        <v>412</v>
      </c>
      <c r="M187" s="204">
        <v>478</v>
      </c>
      <c r="N187" s="168">
        <v>4.603235747303544E-2</v>
      </c>
      <c r="O187" s="129">
        <v>1</v>
      </c>
    </row>
    <row r="188" spans="1:15" x14ac:dyDescent="0.35">
      <c r="A188" s="125" t="s">
        <v>421</v>
      </c>
      <c r="B188" s="130" t="s">
        <v>224</v>
      </c>
      <c r="C188" s="127" t="s">
        <v>411</v>
      </c>
      <c r="D188" s="430" t="s">
        <v>225</v>
      </c>
      <c r="E188" s="191">
        <v>424</v>
      </c>
      <c r="F188" s="129">
        <f t="shared" si="9"/>
        <v>2.8865137177479745E-2</v>
      </c>
      <c r="G188" s="170">
        <v>0.93</v>
      </c>
      <c r="H188" s="194"/>
      <c r="I188" s="125" t="s">
        <v>421</v>
      </c>
      <c r="J188" s="130" t="s">
        <v>224</v>
      </c>
      <c r="K188" s="127" t="s">
        <v>411</v>
      </c>
      <c r="L188" s="430" t="s">
        <v>225</v>
      </c>
      <c r="M188" s="191">
        <v>424</v>
      </c>
      <c r="N188" s="168">
        <v>4.0832049306625574E-2</v>
      </c>
      <c r="O188" s="170">
        <v>0.93</v>
      </c>
    </row>
    <row r="189" spans="1:15" x14ac:dyDescent="0.35">
      <c r="A189" s="125" t="s">
        <v>422</v>
      </c>
      <c r="B189" s="130" t="s">
        <v>273</v>
      </c>
      <c r="C189" s="127" t="s">
        <v>411</v>
      </c>
      <c r="D189" s="430" t="s">
        <v>274</v>
      </c>
      <c r="E189" s="191">
        <v>400</v>
      </c>
      <c r="F189" s="129">
        <f t="shared" si="9"/>
        <v>2.7231261488188441E-2</v>
      </c>
      <c r="G189" s="170">
        <v>0.91</v>
      </c>
      <c r="I189" s="125" t="s">
        <v>422</v>
      </c>
      <c r="J189" s="130" t="s">
        <v>273</v>
      </c>
      <c r="K189" s="127" t="s">
        <v>411</v>
      </c>
      <c r="L189" s="430" t="s">
        <v>274</v>
      </c>
      <c r="M189" s="191">
        <v>400</v>
      </c>
      <c r="N189" s="168">
        <v>3.8520801232665637E-2</v>
      </c>
      <c r="O189" s="170">
        <v>0.91</v>
      </c>
    </row>
    <row r="190" spans="1:15" x14ac:dyDescent="0.35">
      <c r="A190" s="125" t="s">
        <v>426</v>
      </c>
      <c r="B190" s="140" t="s">
        <v>291</v>
      </c>
      <c r="C190" s="141" t="s">
        <v>365</v>
      </c>
      <c r="D190" s="430" t="s">
        <v>290</v>
      </c>
      <c r="E190" s="191">
        <v>353</v>
      </c>
      <c r="F190" s="129">
        <f t="shared" si="9"/>
        <v>2.4031588263326298E-2</v>
      </c>
      <c r="G190" s="170">
        <v>0.68</v>
      </c>
      <c r="I190" s="125" t="s">
        <v>426</v>
      </c>
      <c r="J190" s="140" t="s">
        <v>291</v>
      </c>
      <c r="K190" s="141" t="s">
        <v>365</v>
      </c>
      <c r="L190" s="430" t="s">
        <v>290</v>
      </c>
      <c r="M190" s="191">
        <v>353</v>
      </c>
      <c r="N190" s="168">
        <v>3.3994607087827429E-2</v>
      </c>
      <c r="O190" s="170">
        <v>0.68</v>
      </c>
    </row>
    <row r="191" spans="1:15" x14ac:dyDescent="0.35">
      <c r="A191" s="125" t="s">
        <v>429</v>
      </c>
      <c r="B191" s="193" t="s">
        <v>360</v>
      </c>
      <c r="C191" s="193" t="s">
        <v>449</v>
      </c>
      <c r="D191" s="430" t="s">
        <v>361</v>
      </c>
      <c r="E191" s="191">
        <v>345</v>
      </c>
      <c r="F191" s="129">
        <f t="shared" si="9"/>
        <v>2.3486963033562531E-2</v>
      </c>
      <c r="G191" s="170">
        <v>0.86</v>
      </c>
      <c r="I191" s="125" t="s">
        <v>429</v>
      </c>
      <c r="J191" s="193" t="s">
        <v>360</v>
      </c>
      <c r="K191" s="193" t="s">
        <v>449</v>
      </c>
      <c r="L191" s="430" t="s">
        <v>361</v>
      </c>
      <c r="M191" s="191">
        <v>345</v>
      </c>
      <c r="N191" s="168">
        <v>3.3224191063174112E-2</v>
      </c>
      <c r="O191" s="170">
        <v>0.86</v>
      </c>
    </row>
    <row r="192" spans="1:15" x14ac:dyDescent="0.35">
      <c r="A192" s="125" t="s">
        <v>431</v>
      </c>
      <c r="B192" s="138" t="s">
        <v>310</v>
      </c>
      <c r="C192" s="138" t="s">
        <v>366</v>
      </c>
      <c r="D192" s="430" t="s">
        <v>311</v>
      </c>
      <c r="E192" s="191">
        <v>273</v>
      </c>
      <c r="F192" s="129">
        <f t="shared" si="9"/>
        <v>1.858533596568861E-2</v>
      </c>
      <c r="G192" s="170">
        <v>0.93</v>
      </c>
      <c r="I192" s="125" t="s">
        <v>431</v>
      </c>
      <c r="J192" s="138" t="s">
        <v>310</v>
      </c>
      <c r="K192" s="138" t="s">
        <v>366</v>
      </c>
      <c r="L192" s="430" t="s">
        <v>311</v>
      </c>
      <c r="M192" s="191">
        <v>273</v>
      </c>
      <c r="N192" s="168">
        <v>2.62904468412943E-2</v>
      </c>
      <c r="O192" s="170">
        <v>0.93</v>
      </c>
    </row>
    <row r="193" spans="1:15" x14ac:dyDescent="0.35">
      <c r="A193" s="125" t="s">
        <v>433</v>
      </c>
      <c r="B193" s="130" t="s">
        <v>254</v>
      </c>
      <c r="C193" s="127" t="s">
        <v>411</v>
      </c>
      <c r="D193" s="430" t="s">
        <v>463</v>
      </c>
      <c r="E193" s="191">
        <v>250</v>
      </c>
      <c r="F193" s="129">
        <f t="shared" si="9"/>
        <v>1.7019538430117775E-2</v>
      </c>
      <c r="G193" s="170">
        <v>0.91</v>
      </c>
      <c r="I193" s="125" t="s">
        <v>433</v>
      </c>
      <c r="J193" s="130" t="s">
        <v>254</v>
      </c>
      <c r="K193" s="127" t="s">
        <v>411</v>
      </c>
      <c r="L193" s="430" t="s">
        <v>463</v>
      </c>
      <c r="M193" s="191">
        <v>250</v>
      </c>
      <c r="N193" s="168">
        <v>2.4075500770416026E-2</v>
      </c>
      <c r="O193" s="170">
        <v>0.91</v>
      </c>
    </row>
    <row r="194" spans="1:15" x14ac:dyDescent="0.35">
      <c r="A194" s="125" t="s">
        <v>434</v>
      </c>
      <c r="B194" s="130" t="s">
        <v>258</v>
      </c>
      <c r="C194" s="127" t="s">
        <v>411</v>
      </c>
      <c r="D194" s="430" t="s">
        <v>464</v>
      </c>
      <c r="E194" s="191">
        <v>242</v>
      </c>
      <c r="F194" s="129">
        <f t="shared" si="9"/>
        <v>1.6474913200354005E-2</v>
      </c>
      <c r="G194" s="170">
        <v>0.84</v>
      </c>
      <c r="I194" s="125" t="s">
        <v>434</v>
      </c>
      <c r="J194" s="130" t="s">
        <v>258</v>
      </c>
      <c r="K194" s="127" t="s">
        <v>411</v>
      </c>
      <c r="L194" s="430" t="s">
        <v>464</v>
      </c>
      <c r="M194" s="191">
        <v>242</v>
      </c>
      <c r="N194" s="168">
        <v>2.3305084745762712E-2</v>
      </c>
      <c r="O194" s="170">
        <v>0.84</v>
      </c>
    </row>
    <row r="195" spans="1:15" x14ac:dyDescent="0.35">
      <c r="A195" s="125" t="s">
        <v>436</v>
      </c>
      <c r="B195" s="138" t="s">
        <v>305</v>
      </c>
      <c r="C195" s="138" t="s">
        <v>366</v>
      </c>
      <c r="D195" s="430" t="s">
        <v>306</v>
      </c>
      <c r="E195" s="191">
        <v>205</v>
      </c>
      <c r="F195" s="129">
        <f t="shared" si="9"/>
        <v>1.3956021512696575E-2</v>
      </c>
      <c r="G195" s="170">
        <v>0.84</v>
      </c>
      <c r="I195" s="125" t="s">
        <v>436</v>
      </c>
      <c r="J195" s="138" t="s">
        <v>305</v>
      </c>
      <c r="K195" s="138" t="s">
        <v>366</v>
      </c>
      <c r="L195" s="430" t="s">
        <v>306</v>
      </c>
      <c r="M195" s="191">
        <v>205</v>
      </c>
      <c r="N195" s="168">
        <v>1.974191063174114E-2</v>
      </c>
      <c r="O195" s="170">
        <v>0.84</v>
      </c>
    </row>
    <row r="196" spans="1:15" x14ac:dyDescent="0.35">
      <c r="A196" s="125" t="s">
        <v>438</v>
      </c>
      <c r="B196" s="130" t="s">
        <v>279</v>
      </c>
      <c r="C196" s="127" t="s">
        <v>411</v>
      </c>
      <c r="D196" s="430" t="s">
        <v>462</v>
      </c>
      <c r="E196" s="191">
        <v>199</v>
      </c>
      <c r="F196" s="129">
        <f t="shared" si="9"/>
        <v>1.3547552590373749E-2</v>
      </c>
      <c r="G196" s="170">
        <v>0.68</v>
      </c>
      <c r="I196" s="125" t="s">
        <v>438</v>
      </c>
      <c r="J196" s="130" t="s">
        <v>279</v>
      </c>
      <c r="K196" s="127" t="s">
        <v>411</v>
      </c>
      <c r="L196" s="430" t="s">
        <v>462</v>
      </c>
      <c r="M196" s="191">
        <v>199</v>
      </c>
      <c r="N196" s="168">
        <v>1.9164098613251156E-2</v>
      </c>
      <c r="O196" s="170">
        <v>0.68</v>
      </c>
    </row>
    <row r="197" spans="1:15" x14ac:dyDescent="0.35">
      <c r="A197" s="150"/>
      <c r="B197" s="144"/>
      <c r="C197" s="144"/>
      <c r="D197" s="145" t="s">
        <v>440</v>
      </c>
      <c r="E197" s="146">
        <f>SUM(E182:E196)</f>
        <v>11936</v>
      </c>
      <c r="F197" s="172">
        <f>SUM(F182:F196)</f>
        <v>0.81258084280754295</v>
      </c>
      <c r="G197" s="146" t="s">
        <v>441</v>
      </c>
      <c r="I197" s="150"/>
      <c r="J197" s="144"/>
      <c r="K197" s="144"/>
      <c r="L197" s="145" t="s">
        <v>440</v>
      </c>
      <c r="M197" s="146">
        <f>SUM(M182:M196)</f>
        <v>7631</v>
      </c>
      <c r="N197" s="172">
        <f>SUM(N182:N196)</f>
        <v>0.73488058551617874</v>
      </c>
      <c r="O197" s="146" t="s">
        <v>441</v>
      </c>
    </row>
    <row r="198" spans="1:15" x14ac:dyDescent="0.35">
      <c r="A198" s="150"/>
      <c r="B198" s="150"/>
      <c r="C198" s="151"/>
      <c r="D198" s="145" t="s">
        <v>442</v>
      </c>
      <c r="E198" s="146">
        <f>E199-E197</f>
        <v>2753</v>
      </c>
      <c r="F198" s="172">
        <f>F199-F197</f>
        <v>0.18741915719245705</v>
      </c>
      <c r="G198" s="151"/>
      <c r="I198" s="150"/>
      <c r="J198" s="150"/>
      <c r="K198" s="151"/>
      <c r="L198" s="145" t="s">
        <v>442</v>
      </c>
      <c r="M198" s="146">
        <f>M199-M197</f>
        <v>2753</v>
      </c>
      <c r="N198" s="172">
        <f>N199-N197</f>
        <v>0.26511941448382126</v>
      </c>
      <c r="O198" s="151"/>
    </row>
    <row r="199" spans="1:15" x14ac:dyDescent="0.35">
      <c r="A199" s="144"/>
      <c r="B199" s="143"/>
      <c r="C199" s="143"/>
      <c r="D199" s="142" t="s">
        <v>443</v>
      </c>
      <c r="E199" s="151">
        <v>14689</v>
      </c>
      <c r="F199" s="172">
        <v>1</v>
      </c>
      <c r="G199" s="173"/>
      <c r="I199" s="144"/>
      <c r="J199" s="143"/>
      <c r="K199" s="143"/>
      <c r="L199" s="142" t="s">
        <v>443</v>
      </c>
      <c r="M199" s="151">
        <v>10384</v>
      </c>
      <c r="N199" s="172">
        <v>1</v>
      </c>
      <c r="O199" s="173"/>
    </row>
    <row r="200" spans="1:15" ht="13.5" thickBot="1" x14ac:dyDescent="0.4">
      <c r="A200" s="174"/>
      <c r="B200" s="155"/>
      <c r="C200" s="155"/>
      <c r="D200" s="155" t="s">
        <v>444</v>
      </c>
      <c r="E200" s="156">
        <v>44</v>
      </c>
      <c r="F200" s="175"/>
      <c r="G200" s="176"/>
      <c r="I200" s="174"/>
      <c r="J200" s="155"/>
      <c r="K200" s="155"/>
      <c r="L200" s="155" t="s">
        <v>444</v>
      </c>
      <c r="M200" s="156">
        <v>44</v>
      </c>
      <c r="N200" s="175"/>
      <c r="O200" s="176"/>
    </row>
    <row r="201" spans="1:15" ht="13.5" thickBot="1" x14ac:dyDescent="0.4">
      <c r="A201" s="195"/>
      <c r="B201" s="160"/>
      <c r="C201" s="160"/>
      <c r="D201" s="431" t="s">
        <v>445</v>
      </c>
      <c r="E201" s="432">
        <f>E199/E200</f>
        <v>333.84090909090907</v>
      </c>
      <c r="F201" s="196"/>
      <c r="G201" s="197"/>
      <c r="I201" s="177"/>
      <c r="J201" s="178"/>
      <c r="K201" s="178"/>
      <c r="L201" s="160" t="s">
        <v>445</v>
      </c>
      <c r="M201" s="159">
        <f>M199/M200</f>
        <v>236</v>
      </c>
      <c r="N201" s="179"/>
      <c r="O201" s="180"/>
    </row>
    <row r="202" spans="1:15" ht="13.5" thickBot="1" x14ac:dyDescent="0.4">
      <c r="A202" s="157"/>
      <c r="B202" s="158"/>
      <c r="C202" s="159"/>
      <c r="D202" s="431" t="s">
        <v>446</v>
      </c>
      <c r="E202" s="432">
        <v>245.5</v>
      </c>
      <c r="F202" s="159"/>
      <c r="G202" s="162"/>
    </row>
    <row r="204" spans="1:15" x14ac:dyDescent="0.35">
      <c r="A204" s="771" t="s">
        <v>403</v>
      </c>
      <c r="B204" s="772" t="s">
        <v>510</v>
      </c>
      <c r="C204" s="772"/>
      <c r="D204" s="772"/>
      <c r="E204" s="772"/>
      <c r="F204" s="772"/>
      <c r="G204" s="772"/>
    </row>
    <row r="205" spans="1:15" ht="26" x14ac:dyDescent="0.35">
      <c r="A205" s="771"/>
      <c r="B205" s="124" t="s">
        <v>2</v>
      </c>
      <c r="C205" s="124" t="s">
        <v>405</v>
      </c>
      <c r="D205" s="124" t="s">
        <v>406</v>
      </c>
      <c r="E205" s="124" t="s">
        <v>407</v>
      </c>
      <c r="F205" s="124" t="s">
        <v>408</v>
      </c>
      <c r="G205" s="124" t="s">
        <v>409</v>
      </c>
    </row>
    <row r="206" spans="1:15" x14ac:dyDescent="0.35">
      <c r="A206" s="125" t="s">
        <v>410</v>
      </c>
      <c r="B206" s="130" t="s">
        <v>171</v>
      </c>
      <c r="C206" s="127" t="s">
        <v>411</v>
      </c>
      <c r="D206" s="437" t="s">
        <v>466</v>
      </c>
      <c r="E206" s="169">
        <v>3545</v>
      </c>
      <c r="F206" s="129">
        <f>E206/$E$223</f>
        <v>0.26372563606606159</v>
      </c>
      <c r="G206" s="198">
        <v>1</v>
      </c>
      <c r="H206" s="199"/>
    </row>
    <row r="207" spans="1:15" x14ac:dyDescent="0.35">
      <c r="A207" s="125" t="s">
        <v>413</v>
      </c>
      <c r="B207" s="130" t="s">
        <v>277</v>
      </c>
      <c r="C207" s="127" t="s">
        <v>411</v>
      </c>
      <c r="D207" s="437" t="s">
        <v>467</v>
      </c>
      <c r="E207" s="169">
        <v>1649</v>
      </c>
      <c r="F207" s="129">
        <f t="shared" ref="F207:F220" si="10">E207/$E$223</f>
        <v>0.12267519714328225</v>
      </c>
      <c r="G207" s="198">
        <v>0.98</v>
      </c>
      <c r="H207" s="199"/>
    </row>
    <row r="208" spans="1:15" x14ac:dyDescent="0.35">
      <c r="A208" s="125" t="s">
        <v>415</v>
      </c>
      <c r="B208" s="130" t="s">
        <v>271</v>
      </c>
      <c r="C208" s="127" t="s">
        <v>411</v>
      </c>
      <c r="D208" s="437" t="s">
        <v>468</v>
      </c>
      <c r="E208" s="169">
        <v>1630</v>
      </c>
      <c r="F208" s="129">
        <f t="shared" si="10"/>
        <v>0.12126171700639786</v>
      </c>
      <c r="G208" s="198">
        <v>0.95</v>
      </c>
      <c r="H208" s="199"/>
    </row>
    <row r="209" spans="1:8" x14ac:dyDescent="0.35">
      <c r="A209" s="125" t="s">
        <v>417</v>
      </c>
      <c r="B209" s="132" t="s">
        <v>329</v>
      </c>
      <c r="C209" s="133" t="s">
        <v>367</v>
      </c>
      <c r="D209" s="437" t="s">
        <v>469</v>
      </c>
      <c r="E209" s="169">
        <v>974</v>
      </c>
      <c r="F209" s="129">
        <f t="shared" si="10"/>
        <v>7.2459455438178846E-2</v>
      </c>
      <c r="G209" s="198">
        <v>0.95</v>
      </c>
      <c r="H209" s="199"/>
    </row>
    <row r="210" spans="1:8" x14ac:dyDescent="0.35">
      <c r="A210" s="125" t="s">
        <v>418</v>
      </c>
      <c r="B210" s="130" t="s">
        <v>237</v>
      </c>
      <c r="C210" s="127" t="s">
        <v>411</v>
      </c>
      <c r="D210" s="437" t="s">
        <v>470</v>
      </c>
      <c r="E210" s="169">
        <v>762</v>
      </c>
      <c r="F210" s="129">
        <f t="shared" si="10"/>
        <v>5.6687992858205624E-2</v>
      </c>
      <c r="G210" s="198">
        <v>0.98</v>
      </c>
      <c r="H210" s="199"/>
    </row>
    <row r="211" spans="1:8" x14ac:dyDescent="0.35">
      <c r="A211" s="125" t="s">
        <v>419</v>
      </c>
      <c r="B211" s="130" t="s">
        <v>224</v>
      </c>
      <c r="C211" s="127" t="s">
        <v>411</v>
      </c>
      <c r="D211" s="437" t="s">
        <v>471</v>
      </c>
      <c r="E211" s="169">
        <v>381</v>
      </c>
      <c r="F211" s="129">
        <f t="shared" si="10"/>
        <v>2.8343996429102812E-2</v>
      </c>
      <c r="G211" s="198">
        <v>0.93</v>
      </c>
      <c r="H211" s="199"/>
    </row>
    <row r="212" spans="1:8" x14ac:dyDescent="0.35">
      <c r="A212" s="125" t="s">
        <v>421</v>
      </c>
      <c r="B212" s="130" t="s">
        <v>254</v>
      </c>
      <c r="C212" s="127" t="s">
        <v>411</v>
      </c>
      <c r="D212" s="437" t="s">
        <v>472</v>
      </c>
      <c r="E212" s="169">
        <v>315</v>
      </c>
      <c r="F212" s="129">
        <f t="shared" si="10"/>
        <v>2.3434012795714925E-2</v>
      </c>
      <c r="G212" s="198">
        <v>0.77</v>
      </c>
      <c r="H212" s="199"/>
    </row>
    <row r="213" spans="1:8" x14ac:dyDescent="0.35">
      <c r="A213" s="125" t="s">
        <v>422</v>
      </c>
      <c r="B213" s="193" t="s">
        <v>360</v>
      </c>
      <c r="C213" s="193" t="s">
        <v>449</v>
      </c>
      <c r="D213" s="437" t="s">
        <v>473</v>
      </c>
      <c r="E213" s="169">
        <v>284</v>
      </c>
      <c r="F213" s="129">
        <f t="shared" si="10"/>
        <v>2.1127808361850915E-2</v>
      </c>
      <c r="G213" s="198">
        <v>0.86</v>
      </c>
      <c r="H213" s="199"/>
    </row>
    <row r="214" spans="1:8" x14ac:dyDescent="0.35">
      <c r="A214" s="125" t="s">
        <v>426</v>
      </c>
      <c r="B214" s="140" t="s">
        <v>291</v>
      </c>
      <c r="C214" s="141" t="s">
        <v>365</v>
      </c>
      <c r="D214" s="437" t="s">
        <v>474</v>
      </c>
      <c r="E214" s="169">
        <v>272</v>
      </c>
      <c r="F214" s="129">
        <f t="shared" si="10"/>
        <v>2.02350840648713E-2</v>
      </c>
      <c r="G214" s="198">
        <v>0.77</v>
      </c>
      <c r="H214" s="199"/>
    </row>
    <row r="215" spans="1:8" x14ac:dyDescent="0.35">
      <c r="A215" s="125" t="s">
        <v>429</v>
      </c>
      <c r="B215" s="130" t="s">
        <v>394</v>
      </c>
      <c r="C215" s="127" t="s">
        <v>411</v>
      </c>
      <c r="D215" s="437" t="s">
        <v>475</v>
      </c>
      <c r="E215" s="169">
        <v>237</v>
      </c>
      <c r="F215" s="129">
        <f t="shared" si="10"/>
        <v>1.7631304865347419E-2</v>
      </c>
      <c r="G215" s="198">
        <v>0.82</v>
      </c>
      <c r="H215" s="199"/>
    </row>
    <row r="216" spans="1:8" x14ac:dyDescent="0.35">
      <c r="A216" s="125" t="s">
        <v>431</v>
      </c>
      <c r="B216" s="138" t="s">
        <v>310</v>
      </c>
      <c r="C216" s="138" t="s">
        <v>366</v>
      </c>
      <c r="D216" s="437" t="s">
        <v>476</v>
      </c>
      <c r="E216" s="169">
        <v>221</v>
      </c>
      <c r="F216" s="129">
        <f t="shared" si="10"/>
        <v>1.6441005802707929E-2</v>
      </c>
      <c r="G216" s="198">
        <v>0.82</v>
      </c>
      <c r="H216" s="199"/>
    </row>
    <row r="217" spans="1:8" x14ac:dyDescent="0.35">
      <c r="A217" s="125" t="s">
        <v>433</v>
      </c>
      <c r="B217" s="130" t="s">
        <v>258</v>
      </c>
      <c r="C217" s="127" t="s">
        <v>411</v>
      </c>
      <c r="D217" s="437" t="s">
        <v>477</v>
      </c>
      <c r="E217" s="169">
        <v>219</v>
      </c>
      <c r="F217" s="129">
        <f t="shared" si="10"/>
        <v>1.6292218419877994E-2</v>
      </c>
      <c r="G217" s="198">
        <v>0.68</v>
      </c>
      <c r="H217" s="199"/>
    </row>
    <row r="218" spans="1:8" x14ac:dyDescent="0.35">
      <c r="A218" s="125" t="s">
        <v>434</v>
      </c>
      <c r="B218" s="130" t="s">
        <v>279</v>
      </c>
      <c r="C218" s="127" t="s">
        <v>411</v>
      </c>
      <c r="D218" s="437" t="s">
        <v>478</v>
      </c>
      <c r="E218" s="169">
        <v>205</v>
      </c>
      <c r="F218" s="129">
        <f t="shared" si="10"/>
        <v>1.5250706740068442E-2</v>
      </c>
      <c r="G218" s="198">
        <v>0.59</v>
      </c>
      <c r="H218" s="199"/>
    </row>
    <row r="219" spans="1:8" x14ac:dyDescent="0.35">
      <c r="A219" s="125" t="s">
        <v>436</v>
      </c>
      <c r="B219" s="200" t="s">
        <v>355</v>
      </c>
      <c r="C219" s="189" t="s">
        <v>479</v>
      </c>
      <c r="D219" s="437" t="s">
        <v>480</v>
      </c>
      <c r="E219" s="169">
        <v>190</v>
      </c>
      <c r="F219" s="129">
        <f t="shared" si="10"/>
        <v>1.4134801368843921E-2</v>
      </c>
      <c r="G219" s="198">
        <v>0.8</v>
      </c>
      <c r="H219" s="199"/>
    </row>
    <row r="220" spans="1:8" x14ac:dyDescent="0.35">
      <c r="A220" s="125" t="s">
        <v>438</v>
      </c>
      <c r="B220" s="201" t="s">
        <v>286</v>
      </c>
      <c r="C220" s="202" t="s">
        <v>364</v>
      </c>
      <c r="D220" s="437" t="s">
        <v>481</v>
      </c>
      <c r="E220" s="169">
        <v>176</v>
      </c>
      <c r="F220" s="129">
        <f t="shared" si="10"/>
        <v>1.3093289689034371E-2</v>
      </c>
      <c r="G220" s="198">
        <v>0.8</v>
      </c>
      <c r="H220" s="199"/>
    </row>
    <row r="221" spans="1:8" x14ac:dyDescent="0.35">
      <c r="A221" s="150"/>
      <c r="B221" s="144"/>
      <c r="C221" s="144"/>
      <c r="D221" s="145" t="s">
        <v>440</v>
      </c>
      <c r="E221" s="146">
        <f>SUM(E207:E220)</f>
        <v>7515</v>
      </c>
      <c r="F221" s="172">
        <f>SUM(F206:F220)</f>
        <v>0.82279422704954619</v>
      </c>
      <c r="G221" s="146" t="s">
        <v>441</v>
      </c>
    </row>
    <row r="222" spans="1:8" x14ac:dyDescent="0.35">
      <c r="A222" s="150"/>
      <c r="B222" s="150"/>
      <c r="C222" s="151"/>
      <c r="D222" s="145" t="s">
        <v>442</v>
      </c>
      <c r="E222" s="146">
        <f>E223-E221</f>
        <v>5927</v>
      </c>
      <c r="F222" s="172">
        <f>F223-F221</f>
        <v>0.17720577295045381</v>
      </c>
      <c r="G222" s="151"/>
    </row>
    <row r="223" spans="1:8" x14ac:dyDescent="0.35">
      <c r="A223" s="144"/>
      <c r="B223" s="143"/>
      <c r="C223" s="143"/>
      <c r="D223" s="142" t="s">
        <v>443</v>
      </c>
      <c r="E223" s="151">
        <v>13442</v>
      </c>
      <c r="F223" s="172">
        <v>1</v>
      </c>
      <c r="G223" s="173"/>
    </row>
    <row r="224" spans="1:8" ht="13.5" thickBot="1" x14ac:dyDescent="0.4">
      <c r="A224" s="174"/>
      <c r="B224" s="155"/>
      <c r="C224" s="155"/>
      <c r="D224" s="155" t="s">
        <v>444</v>
      </c>
      <c r="E224" s="156">
        <v>44</v>
      </c>
      <c r="F224" s="175"/>
      <c r="G224" s="176"/>
    </row>
    <row r="225" spans="1:7" ht="13.5" thickBot="1" x14ac:dyDescent="0.4">
      <c r="A225" s="195"/>
      <c r="B225" s="160"/>
      <c r="C225" s="160"/>
      <c r="D225" s="431" t="s">
        <v>445</v>
      </c>
      <c r="E225" s="432">
        <v>306</v>
      </c>
      <c r="F225" s="196"/>
      <c r="G225" s="197"/>
    </row>
    <row r="226" spans="1:7" ht="13.5" thickBot="1" x14ac:dyDescent="0.4">
      <c r="A226" s="157"/>
      <c r="B226" s="158"/>
      <c r="C226" s="159"/>
      <c r="D226" s="431" t="s">
        <v>446</v>
      </c>
      <c r="E226" s="432">
        <v>242.5</v>
      </c>
      <c r="F226" s="159"/>
      <c r="G226" s="162"/>
    </row>
  </sheetData>
  <mergeCells count="38">
    <mergeCell ref="A180:A181"/>
    <mergeCell ref="B180:G180"/>
    <mergeCell ref="A204:A205"/>
    <mergeCell ref="B204:G204"/>
    <mergeCell ref="A132:A133"/>
    <mergeCell ref="B132:G132"/>
    <mergeCell ref="A156:A157"/>
    <mergeCell ref="B156:G156"/>
    <mergeCell ref="I132:I133"/>
    <mergeCell ref="J132:O132"/>
    <mergeCell ref="A4:G4"/>
    <mergeCell ref="A5:G5"/>
    <mergeCell ref="A12:A13"/>
    <mergeCell ref="B12:G12"/>
    <mergeCell ref="A84:A85"/>
    <mergeCell ref="B84:G84"/>
    <mergeCell ref="A108:A109"/>
    <mergeCell ref="B108:G108"/>
    <mergeCell ref="A36:A37"/>
    <mergeCell ref="B36:G36"/>
    <mergeCell ref="A60:A61"/>
    <mergeCell ref="B60:G60"/>
    <mergeCell ref="I156:I157"/>
    <mergeCell ref="J156:O156"/>
    <mergeCell ref="I180:I181"/>
    <mergeCell ref="J180:O180"/>
    <mergeCell ref="I4:O4"/>
    <mergeCell ref="I5:O5"/>
    <mergeCell ref="I12:I13"/>
    <mergeCell ref="J12:O12"/>
    <mergeCell ref="I36:I37"/>
    <mergeCell ref="J36:O36"/>
    <mergeCell ref="I60:I61"/>
    <mergeCell ref="J60:O60"/>
    <mergeCell ref="I84:I85"/>
    <mergeCell ref="J84:O84"/>
    <mergeCell ref="I108:I109"/>
    <mergeCell ref="J108:O108"/>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AG77"/>
  <sheetViews>
    <sheetView zoomScale="80" zoomScaleNormal="80" workbookViewId="0">
      <pane xSplit="7" ySplit="5" topLeftCell="H6" activePane="bottomRight" state="frozen"/>
      <selection pane="topRight" activeCell="H1" sqref="H1"/>
      <selection pane="bottomLeft" activeCell="A6" sqref="A6"/>
      <selection pane="bottomRight" activeCell="F23" sqref="F23"/>
    </sheetView>
  </sheetViews>
  <sheetFormatPr defaultColWidth="8.6328125" defaultRowHeight="10.5" x14ac:dyDescent="0.35"/>
  <cols>
    <col min="1" max="1" width="15.453125" style="32" customWidth="1"/>
    <col min="2" max="2" width="4.6328125" style="33" customWidth="1"/>
    <col min="3" max="3" width="16.81640625" style="34" customWidth="1"/>
    <col min="4" max="4" width="7.453125" style="33" customWidth="1"/>
    <col min="5" max="5" width="4.81640625" style="33" customWidth="1"/>
    <col min="6" max="6" width="24" style="34" customWidth="1"/>
    <col min="7" max="7" width="7.36328125" style="33" customWidth="1"/>
    <col min="8" max="8" width="9.26953125" style="33" customWidth="1"/>
    <col min="9" max="9" width="5" style="33" bestFit="1" customWidth="1"/>
    <col min="10" max="10" width="6.453125" style="33" bestFit="1" customWidth="1"/>
    <col min="11" max="11" width="5" style="33" bestFit="1" customWidth="1"/>
    <col min="12" max="12" width="9" style="33" bestFit="1" customWidth="1"/>
    <col min="13" max="13" width="5" style="33" bestFit="1" customWidth="1"/>
    <col min="14" max="14" width="6.453125" style="33" bestFit="1" customWidth="1"/>
    <col min="15" max="15" width="5" style="33" bestFit="1" customWidth="1"/>
    <col min="16" max="16" width="9" style="33" bestFit="1" customWidth="1"/>
    <col min="17" max="17" width="5" style="33" bestFit="1" customWidth="1"/>
    <col min="18" max="18" width="6.453125" style="33" bestFit="1" customWidth="1"/>
    <col min="19" max="19" width="5" style="33" bestFit="1" customWidth="1"/>
    <col min="20" max="20" width="2" style="35" customWidth="1"/>
    <col min="21" max="21" width="5" style="33" bestFit="1" customWidth="1"/>
    <col min="22" max="22" width="6.26953125" style="82" bestFit="1" customWidth="1"/>
    <col min="23" max="24" width="5" style="33" bestFit="1" customWidth="1"/>
    <col min="25" max="25" width="6.26953125" style="82" bestFit="1" customWidth="1"/>
    <col min="26" max="26" width="5" style="33" bestFit="1" customWidth="1"/>
    <col min="27" max="27" width="5.90625" style="33" customWidth="1"/>
    <col min="28" max="28" width="7.1796875" style="82" customWidth="1"/>
    <col min="29" max="29" width="5.7265625" style="33" customWidth="1"/>
    <col min="30" max="32" width="3.36328125" style="36" customWidth="1"/>
    <col min="33" max="16384" width="8.6328125" style="34"/>
  </cols>
  <sheetData>
    <row r="1" spans="1:33" ht="17" x14ac:dyDescent="0.35">
      <c r="A1" s="626" t="s">
        <v>507</v>
      </c>
    </row>
    <row r="2" spans="1:33" ht="13.5" thickBot="1" x14ac:dyDescent="0.4">
      <c r="A2" s="111" t="s">
        <v>506</v>
      </c>
    </row>
    <row r="3" spans="1:33" ht="11" thickBot="1" x14ac:dyDescent="0.4">
      <c r="H3" s="785" t="s">
        <v>152</v>
      </c>
      <c r="I3" s="786"/>
      <c r="J3" s="786"/>
      <c r="K3" s="786"/>
      <c r="L3" s="786"/>
      <c r="M3" s="786"/>
      <c r="N3" s="786"/>
      <c r="O3" s="786"/>
      <c r="P3" s="786"/>
      <c r="Q3" s="786"/>
      <c r="R3" s="786"/>
      <c r="S3" s="787"/>
      <c r="U3" s="788" t="s">
        <v>153</v>
      </c>
      <c r="V3" s="789"/>
      <c r="W3" s="789"/>
      <c r="X3" s="789"/>
      <c r="Y3" s="789"/>
      <c r="Z3" s="789"/>
      <c r="AA3" s="789"/>
      <c r="AB3" s="789"/>
      <c r="AC3" s="790"/>
    </row>
    <row r="4" spans="1:33" s="32" customFormat="1" ht="31" customHeight="1" x14ac:dyDescent="0.35">
      <c r="A4" s="778" t="s">
        <v>154</v>
      </c>
      <c r="B4" s="791" t="s">
        <v>155</v>
      </c>
      <c r="C4" s="791" t="s">
        <v>156</v>
      </c>
      <c r="D4" s="791" t="s">
        <v>601</v>
      </c>
      <c r="E4" s="791" t="s">
        <v>157</v>
      </c>
      <c r="F4" s="791" t="s">
        <v>156</v>
      </c>
      <c r="G4" s="793" t="s">
        <v>158</v>
      </c>
      <c r="H4" s="795" t="s">
        <v>159</v>
      </c>
      <c r="I4" s="778"/>
      <c r="J4" s="778"/>
      <c r="K4" s="778"/>
      <c r="L4" s="778" t="s">
        <v>160</v>
      </c>
      <c r="M4" s="778"/>
      <c r="N4" s="778"/>
      <c r="O4" s="778"/>
      <c r="P4" s="778" t="s">
        <v>161</v>
      </c>
      <c r="Q4" s="778"/>
      <c r="R4" s="778"/>
      <c r="S4" s="779"/>
      <c r="T4" s="37"/>
      <c r="U4" s="780" t="s">
        <v>159</v>
      </c>
      <c r="V4" s="781"/>
      <c r="W4" s="782"/>
      <c r="X4" s="780" t="s">
        <v>160</v>
      </c>
      <c r="Y4" s="781"/>
      <c r="Z4" s="782"/>
      <c r="AA4" s="780" t="s">
        <v>161</v>
      </c>
      <c r="AB4" s="781"/>
      <c r="AC4" s="782"/>
      <c r="AD4" s="37"/>
      <c r="AE4" s="37"/>
      <c r="AF4" s="37"/>
    </row>
    <row r="5" spans="1:33" s="32" customFormat="1" ht="21.5" thickBot="1" x14ac:dyDescent="0.4">
      <c r="A5" s="778"/>
      <c r="B5" s="792"/>
      <c r="C5" s="792"/>
      <c r="D5" s="792"/>
      <c r="E5" s="792"/>
      <c r="F5" s="792"/>
      <c r="G5" s="794"/>
      <c r="H5" s="493" t="s">
        <v>162</v>
      </c>
      <c r="I5" s="494" t="s">
        <v>163</v>
      </c>
      <c r="J5" s="494" t="s">
        <v>164</v>
      </c>
      <c r="K5" s="494" t="s">
        <v>165</v>
      </c>
      <c r="L5" s="495" t="s">
        <v>162</v>
      </c>
      <c r="M5" s="494" t="s">
        <v>163</v>
      </c>
      <c r="N5" s="494" t="s">
        <v>164</v>
      </c>
      <c r="O5" s="494" t="s">
        <v>165</v>
      </c>
      <c r="P5" s="496" t="s">
        <v>162</v>
      </c>
      <c r="Q5" s="494" t="s">
        <v>163</v>
      </c>
      <c r="R5" s="494" t="s">
        <v>164</v>
      </c>
      <c r="S5" s="497" t="s">
        <v>165</v>
      </c>
      <c r="T5" s="37"/>
      <c r="U5" s="612" t="s">
        <v>163</v>
      </c>
      <c r="V5" s="613" t="s">
        <v>164</v>
      </c>
      <c r="W5" s="614" t="s">
        <v>165</v>
      </c>
      <c r="X5" s="612" t="s">
        <v>163</v>
      </c>
      <c r="Y5" s="613" t="s">
        <v>164</v>
      </c>
      <c r="Z5" s="614" t="s">
        <v>165</v>
      </c>
      <c r="AA5" s="612" t="s">
        <v>163</v>
      </c>
      <c r="AB5" s="613" t="s">
        <v>164</v>
      </c>
      <c r="AC5" s="614" t="s">
        <v>165</v>
      </c>
      <c r="AD5" s="783"/>
      <c r="AE5" s="783"/>
      <c r="AF5" s="784"/>
      <c r="AG5" s="675"/>
    </row>
    <row r="6" spans="1:33" ht="21" x14ac:dyDescent="0.35">
      <c r="A6" s="38" t="s">
        <v>169</v>
      </c>
      <c r="B6" s="470" t="s">
        <v>371</v>
      </c>
      <c r="C6" s="47" t="s">
        <v>170</v>
      </c>
      <c r="D6" s="471">
        <v>0.32500000000000001</v>
      </c>
      <c r="E6" s="470" t="s">
        <v>171</v>
      </c>
      <c r="F6" s="47" t="s">
        <v>172</v>
      </c>
      <c r="G6" s="39">
        <v>0.32300000000000001</v>
      </c>
      <c r="H6" s="489">
        <v>4</v>
      </c>
      <c r="I6" s="418">
        <v>50</v>
      </c>
      <c r="J6" s="418">
        <v>75</v>
      </c>
      <c r="K6" s="418">
        <v>100</v>
      </c>
      <c r="L6" s="490">
        <v>3</v>
      </c>
      <c r="M6" s="418">
        <v>30</v>
      </c>
      <c r="N6" s="418">
        <v>40</v>
      </c>
      <c r="O6" s="418">
        <v>50</v>
      </c>
      <c r="P6" s="491">
        <v>2</v>
      </c>
      <c r="Q6" s="418">
        <v>20</v>
      </c>
      <c r="R6" s="418">
        <v>25</v>
      </c>
      <c r="S6" s="492">
        <v>30</v>
      </c>
      <c r="T6" s="41"/>
      <c r="U6" s="419">
        <f t="shared" ref="U6:W7" si="0">I6/(I6+M6+Q6)</f>
        <v>0.5</v>
      </c>
      <c r="V6" s="420">
        <f t="shared" si="0"/>
        <v>0.5357142857142857</v>
      </c>
      <c r="W6" s="421">
        <f t="shared" si="0"/>
        <v>0.55555555555555558</v>
      </c>
      <c r="X6" s="419">
        <f>M6/(I6+M6+Q6)</f>
        <v>0.3</v>
      </c>
      <c r="Y6" s="420">
        <f t="shared" ref="Y6" si="1">N6/(J6+N6+R6)</f>
        <v>0.2857142857142857</v>
      </c>
      <c r="Z6" s="421">
        <f>O6/(K6+O6+S6)</f>
        <v>0.27777777777777779</v>
      </c>
      <c r="AA6" s="419">
        <f>Q6/(I6+M6+Q6)</f>
        <v>0.2</v>
      </c>
      <c r="AB6" s="420">
        <f t="shared" ref="AB6:AC6" si="2">R6/(J6+N6+R6)</f>
        <v>0.17857142857142858</v>
      </c>
      <c r="AC6" s="421">
        <f t="shared" si="2"/>
        <v>0.16666666666666666</v>
      </c>
      <c r="AD6" s="45"/>
      <c r="AE6" s="45"/>
      <c r="AF6" s="45"/>
    </row>
    <row r="7" spans="1:33" ht="10.5" customHeight="1" x14ac:dyDescent="0.35">
      <c r="A7" s="800" t="s">
        <v>175</v>
      </c>
      <c r="B7" s="801" t="s">
        <v>176</v>
      </c>
      <c r="C7" s="804" t="s">
        <v>177</v>
      </c>
      <c r="D7" s="807">
        <v>0.02</v>
      </c>
      <c r="E7" s="470" t="s">
        <v>178</v>
      </c>
      <c r="F7" s="47" t="s">
        <v>179</v>
      </c>
      <c r="G7" s="39">
        <v>1.2999999999999999E-2</v>
      </c>
      <c r="H7" s="810">
        <v>4</v>
      </c>
      <c r="I7" s="797">
        <v>50</v>
      </c>
      <c r="J7" s="797">
        <v>75</v>
      </c>
      <c r="K7" s="797">
        <v>100</v>
      </c>
      <c r="L7" s="796">
        <v>2</v>
      </c>
      <c r="M7" s="797">
        <v>20</v>
      </c>
      <c r="N7" s="797">
        <v>25</v>
      </c>
      <c r="O7" s="797">
        <v>30</v>
      </c>
      <c r="P7" s="796">
        <v>2</v>
      </c>
      <c r="Q7" s="797">
        <v>20</v>
      </c>
      <c r="R7" s="797">
        <v>25</v>
      </c>
      <c r="S7" s="823">
        <v>30</v>
      </c>
      <c r="T7" s="826"/>
      <c r="U7" s="820">
        <f t="shared" si="0"/>
        <v>0.55555555555555558</v>
      </c>
      <c r="V7" s="811">
        <f t="shared" si="0"/>
        <v>0.6</v>
      </c>
      <c r="W7" s="814">
        <f t="shared" si="0"/>
        <v>0.625</v>
      </c>
      <c r="X7" s="820">
        <f>M7/(I7+M7+Q7)</f>
        <v>0.22222222222222221</v>
      </c>
      <c r="Y7" s="811">
        <f>N7/(J7+N7+R7)</f>
        <v>0.2</v>
      </c>
      <c r="Z7" s="814">
        <f>O7/(K7+O7+S7)</f>
        <v>0.1875</v>
      </c>
      <c r="AA7" s="820">
        <f>Q7/(I7+M7+Q7)</f>
        <v>0.22222222222222221</v>
      </c>
      <c r="AB7" s="811">
        <f>R7/(J7+N7+R7)</f>
        <v>0.2</v>
      </c>
      <c r="AC7" s="814">
        <f>S7/(K7+O7+S7)</f>
        <v>0.1875</v>
      </c>
      <c r="AD7" s="45"/>
      <c r="AE7" s="45"/>
      <c r="AF7" s="45"/>
    </row>
    <row r="8" spans="1:33" x14ac:dyDescent="0.35">
      <c r="A8" s="800"/>
      <c r="B8" s="802"/>
      <c r="C8" s="805"/>
      <c r="D8" s="808"/>
      <c r="E8" s="472" t="s">
        <v>182</v>
      </c>
      <c r="F8" s="47" t="s">
        <v>183</v>
      </c>
      <c r="G8" s="39">
        <v>3.0000000000000001E-3</v>
      </c>
      <c r="H8" s="810"/>
      <c r="I8" s="798"/>
      <c r="J8" s="798"/>
      <c r="K8" s="798"/>
      <c r="L8" s="796"/>
      <c r="M8" s="798"/>
      <c r="N8" s="798"/>
      <c r="O8" s="798"/>
      <c r="P8" s="796"/>
      <c r="Q8" s="798"/>
      <c r="R8" s="798"/>
      <c r="S8" s="824"/>
      <c r="T8" s="826"/>
      <c r="U8" s="821"/>
      <c r="V8" s="812"/>
      <c r="W8" s="815"/>
      <c r="X8" s="821"/>
      <c r="Y8" s="812"/>
      <c r="Z8" s="815"/>
      <c r="AA8" s="821"/>
      <c r="AB8" s="812"/>
      <c r="AC8" s="815"/>
      <c r="AD8" s="45"/>
      <c r="AE8" s="45"/>
      <c r="AF8" s="45"/>
    </row>
    <row r="9" spans="1:33" ht="21" x14ac:dyDescent="0.35">
      <c r="A9" s="800"/>
      <c r="B9" s="802"/>
      <c r="C9" s="805"/>
      <c r="D9" s="808"/>
      <c r="E9" s="472" t="s">
        <v>186</v>
      </c>
      <c r="F9" s="47" t="s">
        <v>187</v>
      </c>
      <c r="G9" s="39">
        <v>1E-3</v>
      </c>
      <c r="H9" s="810"/>
      <c r="I9" s="798"/>
      <c r="J9" s="798"/>
      <c r="K9" s="798"/>
      <c r="L9" s="796"/>
      <c r="M9" s="798"/>
      <c r="N9" s="798"/>
      <c r="O9" s="798"/>
      <c r="P9" s="796"/>
      <c r="Q9" s="798"/>
      <c r="R9" s="798"/>
      <c r="S9" s="824"/>
      <c r="T9" s="826"/>
      <c r="U9" s="821"/>
      <c r="V9" s="812"/>
      <c r="W9" s="815"/>
      <c r="X9" s="821"/>
      <c r="Y9" s="812"/>
      <c r="Z9" s="815"/>
      <c r="AA9" s="821"/>
      <c r="AB9" s="812"/>
      <c r="AC9" s="815"/>
      <c r="AD9" s="45"/>
      <c r="AE9" s="45"/>
      <c r="AF9" s="45"/>
    </row>
    <row r="10" spans="1:33" x14ac:dyDescent="0.35">
      <c r="A10" s="800"/>
      <c r="B10" s="803"/>
      <c r="C10" s="806"/>
      <c r="D10" s="809"/>
      <c r="E10" s="472" t="s">
        <v>190</v>
      </c>
      <c r="F10" s="47" t="s">
        <v>191</v>
      </c>
      <c r="G10" s="51">
        <v>3.0000000000000001E-5</v>
      </c>
      <c r="H10" s="810"/>
      <c r="I10" s="799"/>
      <c r="J10" s="799"/>
      <c r="K10" s="799"/>
      <c r="L10" s="796"/>
      <c r="M10" s="799"/>
      <c r="N10" s="799"/>
      <c r="O10" s="799"/>
      <c r="P10" s="796"/>
      <c r="Q10" s="799"/>
      <c r="R10" s="799"/>
      <c r="S10" s="825"/>
      <c r="T10" s="826"/>
      <c r="U10" s="822"/>
      <c r="V10" s="813"/>
      <c r="W10" s="816"/>
      <c r="X10" s="822"/>
      <c r="Y10" s="813"/>
      <c r="Z10" s="816"/>
      <c r="AA10" s="822"/>
      <c r="AB10" s="813"/>
      <c r="AC10" s="816"/>
      <c r="AD10" s="45"/>
      <c r="AE10" s="45"/>
      <c r="AF10" s="45"/>
    </row>
    <row r="11" spans="1:33" x14ac:dyDescent="0.35">
      <c r="A11" s="800" t="s">
        <v>194</v>
      </c>
      <c r="B11" s="801" t="s">
        <v>195</v>
      </c>
      <c r="C11" s="817" t="s">
        <v>196</v>
      </c>
      <c r="D11" s="807">
        <v>0.01</v>
      </c>
      <c r="E11" s="472" t="s">
        <v>197</v>
      </c>
      <c r="F11" s="47" t="s">
        <v>198</v>
      </c>
      <c r="G11" s="53">
        <v>1.1999999999999999E-3</v>
      </c>
      <c r="H11" s="810">
        <v>4</v>
      </c>
      <c r="I11" s="797">
        <v>50</v>
      </c>
      <c r="J11" s="797">
        <v>75</v>
      </c>
      <c r="K11" s="797">
        <v>100</v>
      </c>
      <c r="L11" s="796">
        <v>2</v>
      </c>
      <c r="M11" s="797">
        <v>20</v>
      </c>
      <c r="N11" s="797">
        <v>25</v>
      </c>
      <c r="O11" s="797">
        <v>30</v>
      </c>
      <c r="P11" s="829">
        <v>1</v>
      </c>
      <c r="Q11" s="797">
        <v>5</v>
      </c>
      <c r="R11" s="797">
        <v>12.5</v>
      </c>
      <c r="S11" s="823">
        <v>20</v>
      </c>
      <c r="T11" s="41"/>
      <c r="U11" s="820">
        <f>I11/(I11+M11+Q11)</f>
        <v>0.66666666666666663</v>
      </c>
      <c r="V11" s="811">
        <f>J11/(J11+N11+R11)</f>
        <v>0.66666666666666663</v>
      </c>
      <c r="W11" s="814">
        <f>K11/(K11+O11+S11)</f>
        <v>0.66666666666666663</v>
      </c>
      <c r="X11" s="820">
        <f>M11/(I11+M11+Q11)</f>
        <v>0.26666666666666666</v>
      </c>
      <c r="Y11" s="811">
        <f>N11/(J11+N11+R11)</f>
        <v>0.22222222222222221</v>
      </c>
      <c r="Z11" s="814">
        <f>O11/(K11+O11+S11)</f>
        <v>0.2</v>
      </c>
      <c r="AA11" s="820">
        <f>Q11/(I11+M11+Q11)</f>
        <v>6.6666666666666666E-2</v>
      </c>
      <c r="AB11" s="811">
        <f>R11/(J11+N11+R11)</f>
        <v>0.1111111111111111</v>
      </c>
      <c r="AC11" s="814">
        <f>S11/(K11+O11+S11)</f>
        <v>0.13333333333333333</v>
      </c>
      <c r="AD11" s="45"/>
      <c r="AE11" s="45"/>
      <c r="AF11" s="45"/>
    </row>
    <row r="12" spans="1:33" x14ac:dyDescent="0.35">
      <c r="A12" s="800"/>
      <c r="B12" s="802"/>
      <c r="C12" s="818"/>
      <c r="D12" s="808"/>
      <c r="E12" s="472" t="s">
        <v>199</v>
      </c>
      <c r="F12" s="47" t="s">
        <v>200</v>
      </c>
      <c r="G12" s="53">
        <v>1E-4</v>
      </c>
      <c r="H12" s="810"/>
      <c r="I12" s="798"/>
      <c r="J12" s="798"/>
      <c r="K12" s="798"/>
      <c r="L12" s="796"/>
      <c r="M12" s="798"/>
      <c r="N12" s="798"/>
      <c r="O12" s="798"/>
      <c r="P12" s="829"/>
      <c r="Q12" s="798"/>
      <c r="R12" s="798"/>
      <c r="S12" s="824"/>
      <c r="T12" s="41"/>
      <c r="U12" s="821"/>
      <c r="V12" s="812"/>
      <c r="W12" s="815"/>
      <c r="X12" s="821"/>
      <c r="Y12" s="812"/>
      <c r="Z12" s="815"/>
      <c r="AA12" s="821"/>
      <c r="AB12" s="812"/>
      <c r="AC12" s="815"/>
      <c r="AD12" s="45"/>
      <c r="AE12" s="45"/>
      <c r="AF12" s="45"/>
    </row>
    <row r="13" spans="1:33" x14ac:dyDescent="0.35">
      <c r="A13" s="800"/>
      <c r="B13" s="802"/>
      <c r="C13" s="818"/>
      <c r="D13" s="808"/>
      <c r="E13" s="472" t="s">
        <v>201</v>
      </c>
      <c r="F13" s="47" t="s">
        <v>202</v>
      </c>
      <c r="G13" s="53">
        <v>2.5000000000000001E-3</v>
      </c>
      <c r="H13" s="810"/>
      <c r="I13" s="798"/>
      <c r="J13" s="798"/>
      <c r="K13" s="798"/>
      <c r="L13" s="796"/>
      <c r="M13" s="798"/>
      <c r="N13" s="798"/>
      <c r="O13" s="798"/>
      <c r="P13" s="829"/>
      <c r="Q13" s="798"/>
      <c r="R13" s="798"/>
      <c r="S13" s="824"/>
      <c r="T13" s="41"/>
      <c r="U13" s="821"/>
      <c r="V13" s="812"/>
      <c r="W13" s="815"/>
      <c r="X13" s="821"/>
      <c r="Y13" s="812"/>
      <c r="Z13" s="815"/>
      <c r="AA13" s="821"/>
      <c r="AB13" s="812"/>
      <c r="AC13" s="815"/>
      <c r="AD13" s="45"/>
      <c r="AE13" s="45"/>
      <c r="AF13" s="45"/>
    </row>
    <row r="14" spans="1:33" ht="21" x14ac:dyDescent="0.35">
      <c r="A14" s="800"/>
      <c r="B14" s="803"/>
      <c r="C14" s="819"/>
      <c r="D14" s="809"/>
      <c r="E14" s="472" t="s">
        <v>203</v>
      </c>
      <c r="F14" s="47" t="s">
        <v>204</v>
      </c>
      <c r="G14" s="53">
        <v>3.0999999999999999E-3</v>
      </c>
      <c r="H14" s="810"/>
      <c r="I14" s="799"/>
      <c r="J14" s="799"/>
      <c r="K14" s="799"/>
      <c r="L14" s="796"/>
      <c r="M14" s="799"/>
      <c r="N14" s="799"/>
      <c r="O14" s="799"/>
      <c r="P14" s="829"/>
      <c r="Q14" s="799"/>
      <c r="R14" s="799"/>
      <c r="S14" s="825"/>
      <c r="T14" s="41"/>
      <c r="U14" s="822"/>
      <c r="V14" s="813"/>
      <c r="W14" s="816"/>
      <c r="X14" s="822"/>
      <c r="Y14" s="813"/>
      <c r="Z14" s="816"/>
      <c r="AA14" s="822"/>
      <c r="AB14" s="813"/>
      <c r="AC14" s="816"/>
      <c r="AD14" s="45"/>
      <c r="AE14" s="45"/>
      <c r="AF14" s="45"/>
    </row>
    <row r="15" spans="1:33" x14ac:dyDescent="0.35">
      <c r="A15" s="800" t="s">
        <v>205</v>
      </c>
      <c r="B15" s="801" t="s">
        <v>206</v>
      </c>
      <c r="C15" s="804" t="s">
        <v>207</v>
      </c>
      <c r="D15" s="827">
        <v>0.01</v>
      </c>
      <c r="E15" s="470" t="s">
        <v>208</v>
      </c>
      <c r="F15" s="47" t="s">
        <v>209</v>
      </c>
      <c r="G15" s="39">
        <v>6.0000000000000001E-3</v>
      </c>
      <c r="H15" s="810">
        <v>4</v>
      </c>
      <c r="I15" s="797">
        <v>50</v>
      </c>
      <c r="J15" s="797">
        <v>75</v>
      </c>
      <c r="K15" s="797">
        <v>100</v>
      </c>
      <c r="L15" s="829">
        <v>1</v>
      </c>
      <c r="M15" s="797">
        <v>5</v>
      </c>
      <c r="N15" s="797">
        <v>12.5</v>
      </c>
      <c r="O15" s="797">
        <v>20</v>
      </c>
      <c r="P15" s="829">
        <v>1</v>
      </c>
      <c r="Q15" s="797">
        <v>5</v>
      </c>
      <c r="R15" s="797">
        <v>12.5</v>
      </c>
      <c r="S15" s="823">
        <v>20</v>
      </c>
      <c r="T15" s="41"/>
      <c r="U15" s="820">
        <f>I15/(I15+M15+Q15)</f>
        <v>0.83333333333333337</v>
      </c>
      <c r="V15" s="811">
        <f>J15/(J15+N15+R15)</f>
        <v>0.75</v>
      </c>
      <c r="W15" s="814">
        <f>K15/(K15+O15+S15)</f>
        <v>0.7142857142857143</v>
      </c>
      <c r="X15" s="820">
        <f t="shared" ref="X15:Z15" si="3">M15/(I15+M15+Q15)</f>
        <v>8.3333333333333329E-2</v>
      </c>
      <c r="Y15" s="811">
        <f t="shared" si="3"/>
        <v>0.125</v>
      </c>
      <c r="Z15" s="814">
        <f t="shared" si="3"/>
        <v>0.14285714285714285</v>
      </c>
      <c r="AA15" s="820">
        <f t="shared" ref="AA15:AC15" si="4">Q15/(I15+M15+Q15)</f>
        <v>8.3333333333333329E-2</v>
      </c>
      <c r="AB15" s="811">
        <f t="shared" si="4"/>
        <v>0.125</v>
      </c>
      <c r="AC15" s="814">
        <f t="shared" si="4"/>
        <v>0.14285714285714285</v>
      </c>
      <c r="AD15" s="45"/>
      <c r="AE15" s="45"/>
      <c r="AF15" s="45"/>
    </row>
    <row r="16" spans="1:33" ht="21" x14ac:dyDescent="0.35">
      <c r="A16" s="800"/>
      <c r="B16" s="803"/>
      <c r="C16" s="806"/>
      <c r="D16" s="828"/>
      <c r="E16" s="472" t="s">
        <v>210</v>
      </c>
      <c r="F16" s="47" t="s">
        <v>211</v>
      </c>
      <c r="G16" s="54">
        <v>0</v>
      </c>
      <c r="H16" s="810"/>
      <c r="I16" s="799"/>
      <c r="J16" s="799"/>
      <c r="K16" s="799"/>
      <c r="L16" s="829"/>
      <c r="M16" s="799"/>
      <c r="N16" s="799"/>
      <c r="O16" s="799"/>
      <c r="P16" s="829"/>
      <c r="Q16" s="799"/>
      <c r="R16" s="799"/>
      <c r="S16" s="825"/>
      <c r="T16" s="41"/>
      <c r="U16" s="822"/>
      <c r="V16" s="813"/>
      <c r="W16" s="816"/>
      <c r="X16" s="822"/>
      <c r="Y16" s="813"/>
      <c r="Z16" s="816"/>
      <c r="AA16" s="822"/>
      <c r="AB16" s="813"/>
      <c r="AC16" s="816"/>
      <c r="AD16" s="45"/>
    </row>
    <row r="17" spans="1:33" x14ac:dyDescent="0.35">
      <c r="A17" s="800" t="s">
        <v>212</v>
      </c>
      <c r="B17" s="801" t="s">
        <v>213</v>
      </c>
      <c r="C17" s="804" t="s">
        <v>214</v>
      </c>
      <c r="D17" s="807">
        <v>8.0000000000000002E-3</v>
      </c>
      <c r="E17" s="470" t="s">
        <v>215</v>
      </c>
      <c r="F17" s="47" t="s">
        <v>216</v>
      </c>
      <c r="G17" s="54">
        <v>0</v>
      </c>
      <c r="H17" s="810">
        <v>4</v>
      </c>
      <c r="I17" s="797">
        <v>50</v>
      </c>
      <c r="J17" s="797">
        <v>75</v>
      </c>
      <c r="K17" s="797">
        <v>100</v>
      </c>
      <c r="L17" s="796">
        <v>2</v>
      </c>
      <c r="M17" s="797">
        <v>20</v>
      </c>
      <c r="N17" s="797">
        <v>25</v>
      </c>
      <c r="O17" s="797">
        <v>30</v>
      </c>
      <c r="P17" s="796">
        <v>2</v>
      </c>
      <c r="Q17" s="797">
        <v>20</v>
      </c>
      <c r="R17" s="797">
        <v>25</v>
      </c>
      <c r="S17" s="823">
        <v>30</v>
      </c>
      <c r="T17" s="41"/>
      <c r="U17" s="820">
        <f>I17/(I17+M17+Q17)</f>
        <v>0.55555555555555558</v>
      </c>
      <c r="V17" s="811">
        <f t="shared" ref="U17:W67" si="5">J17/(J17+N17+R17)</f>
        <v>0.6</v>
      </c>
      <c r="W17" s="814">
        <f t="shared" si="5"/>
        <v>0.625</v>
      </c>
      <c r="X17" s="820">
        <f t="shared" ref="X17:Z67" si="6">M17/(I17+M17+Q17)</f>
        <v>0.22222222222222221</v>
      </c>
      <c r="Y17" s="811">
        <f t="shared" si="6"/>
        <v>0.2</v>
      </c>
      <c r="Z17" s="814">
        <f t="shared" si="6"/>
        <v>0.1875</v>
      </c>
      <c r="AA17" s="820">
        <f t="shared" ref="AA17:AC67" si="7">Q17/(I17+M17+Q17)</f>
        <v>0.22222222222222221</v>
      </c>
      <c r="AB17" s="811">
        <f t="shared" si="7"/>
        <v>0.2</v>
      </c>
      <c r="AC17" s="814">
        <f t="shared" si="7"/>
        <v>0.1875</v>
      </c>
      <c r="AD17" s="45"/>
      <c r="AE17" s="45"/>
      <c r="AF17" s="45"/>
    </row>
    <row r="18" spans="1:33" x14ac:dyDescent="0.35">
      <c r="A18" s="800"/>
      <c r="B18" s="802"/>
      <c r="C18" s="805"/>
      <c r="D18" s="808"/>
      <c r="E18" s="472" t="s">
        <v>217</v>
      </c>
      <c r="F18" s="47" t="s">
        <v>218</v>
      </c>
      <c r="G18" s="39">
        <v>4.0000000000000001E-3</v>
      </c>
      <c r="H18" s="810"/>
      <c r="I18" s="798"/>
      <c r="J18" s="798"/>
      <c r="K18" s="798"/>
      <c r="L18" s="796"/>
      <c r="M18" s="798"/>
      <c r="N18" s="798"/>
      <c r="O18" s="798"/>
      <c r="P18" s="796"/>
      <c r="Q18" s="798"/>
      <c r="R18" s="798"/>
      <c r="S18" s="824"/>
      <c r="T18" s="41"/>
      <c r="U18" s="821"/>
      <c r="V18" s="812"/>
      <c r="W18" s="815"/>
      <c r="X18" s="821"/>
      <c r="Y18" s="812"/>
      <c r="Z18" s="815"/>
      <c r="AA18" s="821"/>
      <c r="AB18" s="812"/>
      <c r="AC18" s="815"/>
      <c r="AD18" s="45"/>
    </row>
    <row r="19" spans="1:33" x14ac:dyDescent="0.35">
      <c r="A19" s="800"/>
      <c r="B19" s="803"/>
      <c r="C19" s="806"/>
      <c r="D19" s="809"/>
      <c r="E19" s="472" t="s">
        <v>219</v>
      </c>
      <c r="F19" s="47" t="s">
        <v>220</v>
      </c>
      <c r="G19" s="39">
        <v>4.0000000000000001E-3</v>
      </c>
      <c r="H19" s="810"/>
      <c r="I19" s="799"/>
      <c r="J19" s="799"/>
      <c r="K19" s="799"/>
      <c r="L19" s="796"/>
      <c r="M19" s="799"/>
      <c r="N19" s="799"/>
      <c r="O19" s="799"/>
      <c r="P19" s="796"/>
      <c r="Q19" s="799"/>
      <c r="R19" s="799"/>
      <c r="S19" s="825"/>
      <c r="T19" s="41"/>
      <c r="U19" s="822"/>
      <c r="V19" s="813"/>
      <c r="W19" s="816"/>
      <c r="X19" s="822"/>
      <c r="Y19" s="813"/>
      <c r="Z19" s="816"/>
      <c r="AA19" s="822"/>
      <c r="AB19" s="813"/>
      <c r="AC19" s="816"/>
      <c r="AD19" s="45"/>
    </row>
    <row r="20" spans="1:33" x14ac:dyDescent="0.35">
      <c r="A20" s="800" t="s">
        <v>221</v>
      </c>
      <c r="B20" s="801" t="s">
        <v>222</v>
      </c>
      <c r="C20" s="817" t="s">
        <v>223</v>
      </c>
      <c r="D20" s="807">
        <v>6.6000000000000003E-2</v>
      </c>
      <c r="E20" s="470" t="s">
        <v>224</v>
      </c>
      <c r="F20" s="47" t="s">
        <v>225</v>
      </c>
      <c r="G20" s="39">
        <v>3.5000000000000003E-2</v>
      </c>
      <c r="H20" s="830">
        <v>3</v>
      </c>
      <c r="I20" s="797">
        <v>30</v>
      </c>
      <c r="J20" s="797">
        <v>40</v>
      </c>
      <c r="K20" s="797">
        <v>50</v>
      </c>
      <c r="L20" s="831">
        <v>3</v>
      </c>
      <c r="M20" s="797">
        <v>30</v>
      </c>
      <c r="N20" s="797">
        <v>40</v>
      </c>
      <c r="O20" s="797">
        <v>50</v>
      </c>
      <c r="P20" s="831">
        <v>3</v>
      </c>
      <c r="Q20" s="797">
        <v>30</v>
      </c>
      <c r="R20" s="797">
        <v>40</v>
      </c>
      <c r="S20" s="823">
        <v>50</v>
      </c>
      <c r="T20" s="41"/>
      <c r="U20" s="820">
        <f>I20/(I20+M20+Q20)</f>
        <v>0.33333333333333331</v>
      </c>
      <c r="V20" s="811">
        <f>J20/(J20+N20+R20)</f>
        <v>0.33333333333333331</v>
      </c>
      <c r="W20" s="814">
        <f>K20/(K20+O20+S20)</f>
        <v>0.33333333333333331</v>
      </c>
      <c r="X20" s="820">
        <f t="shared" si="6"/>
        <v>0.33333333333333331</v>
      </c>
      <c r="Y20" s="811">
        <f t="shared" si="6"/>
        <v>0.33333333333333331</v>
      </c>
      <c r="Z20" s="814">
        <f t="shared" si="6"/>
        <v>0.33333333333333331</v>
      </c>
      <c r="AA20" s="820">
        <f t="shared" si="7"/>
        <v>0.33333333333333331</v>
      </c>
      <c r="AB20" s="811">
        <f t="shared" si="7"/>
        <v>0.33333333333333331</v>
      </c>
      <c r="AC20" s="814">
        <f t="shared" si="7"/>
        <v>0.33333333333333331</v>
      </c>
      <c r="AD20" s="45"/>
      <c r="AE20" s="45"/>
      <c r="AF20" s="45"/>
    </row>
    <row r="21" spans="1:33" x14ac:dyDescent="0.35">
      <c r="A21" s="800"/>
      <c r="B21" s="802"/>
      <c r="C21" s="818"/>
      <c r="D21" s="808"/>
      <c r="E21" s="472" t="s">
        <v>226</v>
      </c>
      <c r="F21" s="47" t="s">
        <v>227</v>
      </c>
      <c r="G21" s="39">
        <v>1E-3</v>
      </c>
      <c r="H21" s="830"/>
      <c r="I21" s="799"/>
      <c r="J21" s="799"/>
      <c r="K21" s="799"/>
      <c r="L21" s="831"/>
      <c r="M21" s="799"/>
      <c r="N21" s="799"/>
      <c r="O21" s="799"/>
      <c r="P21" s="831"/>
      <c r="Q21" s="799"/>
      <c r="R21" s="799"/>
      <c r="S21" s="825"/>
      <c r="T21" s="41"/>
      <c r="U21" s="822"/>
      <c r="V21" s="813"/>
      <c r="W21" s="816"/>
      <c r="X21" s="822"/>
      <c r="Y21" s="813"/>
      <c r="Z21" s="816"/>
      <c r="AA21" s="822"/>
      <c r="AB21" s="813"/>
      <c r="AC21" s="816"/>
      <c r="AD21" s="45"/>
    </row>
    <row r="22" spans="1:33" x14ac:dyDescent="0.35">
      <c r="A22" s="800"/>
      <c r="B22" s="802"/>
      <c r="C22" s="818"/>
      <c r="D22" s="808"/>
      <c r="E22" s="472" t="s">
        <v>228</v>
      </c>
      <c r="F22" s="47" t="s">
        <v>229</v>
      </c>
      <c r="G22" s="54">
        <v>0</v>
      </c>
      <c r="H22" s="482"/>
      <c r="I22" s="55"/>
      <c r="J22" s="55"/>
      <c r="K22" s="55"/>
      <c r="L22" s="55"/>
      <c r="M22" s="55"/>
      <c r="N22" s="55"/>
      <c r="O22" s="55"/>
      <c r="P22" s="55"/>
      <c r="Q22" s="55"/>
      <c r="R22" s="55"/>
      <c r="S22" s="483"/>
      <c r="T22" s="41"/>
      <c r="U22" s="56"/>
      <c r="V22" s="57"/>
      <c r="W22" s="58"/>
      <c r="X22" s="56"/>
      <c r="Y22" s="57"/>
      <c r="Z22" s="58"/>
      <c r="AA22" s="56"/>
      <c r="AB22" s="57"/>
      <c r="AC22" s="58"/>
      <c r="AD22" s="45"/>
    </row>
    <row r="23" spans="1:33" ht="21" x14ac:dyDescent="0.35">
      <c r="A23" s="800"/>
      <c r="B23" s="802"/>
      <c r="C23" s="818"/>
      <c r="D23" s="808"/>
      <c r="E23" s="472" t="s">
        <v>230</v>
      </c>
      <c r="F23" s="47" t="s">
        <v>231</v>
      </c>
      <c r="G23" s="54">
        <v>0</v>
      </c>
      <c r="H23" s="482"/>
      <c r="I23" s="55"/>
      <c r="J23" s="55"/>
      <c r="K23" s="55"/>
      <c r="L23" s="55"/>
      <c r="M23" s="55"/>
      <c r="N23" s="55"/>
      <c r="O23" s="55"/>
      <c r="P23" s="55"/>
      <c r="Q23" s="55"/>
      <c r="R23" s="55"/>
      <c r="S23" s="483"/>
      <c r="T23" s="41"/>
      <c r="U23" s="56"/>
      <c r="V23" s="57"/>
      <c r="W23" s="58"/>
      <c r="X23" s="56"/>
      <c r="Y23" s="57"/>
      <c r="Z23" s="58"/>
      <c r="AA23" s="56"/>
      <c r="AB23" s="57"/>
      <c r="AC23" s="58"/>
    </row>
    <row r="24" spans="1:33" x14ac:dyDescent="0.35">
      <c r="A24" s="800"/>
      <c r="B24" s="803"/>
      <c r="C24" s="819"/>
      <c r="D24" s="809"/>
      <c r="E24" s="472" t="s">
        <v>232</v>
      </c>
      <c r="F24" s="47" t="s">
        <v>233</v>
      </c>
      <c r="G24" s="54">
        <v>0</v>
      </c>
      <c r="H24" s="482"/>
      <c r="I24" s="55"/>
      <c r="J24" s="55"/>
      <c r="K24" s="55"/>
      <c r="L24" s="55"/>
      <c r="M24" s="55"/>
      <c r="N24" s="55"/>
      <c r="O24" s="55"/>
      <c r="P24" s="55"/>
      <c r="Q24" s="55"/>
      <c r="R24" s="55"/>
      <c r="S24" s="483"/>
      <c r="T24" s="41"/>
      <c r="U24" s="56"/>
      <c r="V24" s="57"/>
      <c r="W24" s="58"/>
      <c r="X24" s="56"/>
      <c r="Y24" s="57"/>
      <c r="Z24" s="58"/>
      <c r="AA24" s="56"/>
      <c r="AB24" s="57"/>
      <c r="AC24" s="58"/>
    </row>
    <row r="25" spans="1:33" x14ac:dyDescent="0.35">
      <c r="A25" s="800" t="s">
        <v>234</v>
      </c>
      <c r="B25" s="801" t="s">
        <v>235</v>
      </c>
      <c r="C25" s="804" t="s">
        <v>236</v>
      </c>
      <c r="D25" s="807">
        <v>3.6999999999999998E-2</v>
      </c>
      <c r="E25" s="470" t="s">
        <v>237</v>
      </c>
      <c r="F25" s="59" t="s">
        <v>238</v>
      </c>
      <c r="G25" s="39">
        <v>3.5999999999999997E-2</v>
      </c>
      <c r="H25" s="832">
        <v>1</v>
      </c>
      <c r="I25" s="797">
        <v>5</v>
      </c>
      <c r="J25" s="797">
        <v>12.5</v>
      </c>
      <c r="K25" s="797">
        <v>20</v>
      </c>
      <c r="L25" s="837">
        <v>0</v>
      </c>
      <c r="M25" s="833">
        <v>0</v>
      </c>
      <c r="N25" s="833">
        <v>0</v>
      </c>
      <c r="O25" s="833">
        <v>0</v>
      </c>
      <c r="P25" s="838">
        <v>4</v>
      </c>
      <c r="Q25" s="833">
        <v>70</v>
      </c>
      <c r="R25" s="833">
        <v>85</v>
      </c>
      <c r="S25" s="835">
        <v>100</v>
      </c>
      <c r="T25" s="60"/>
      <c r="U25" s="820">
        <f t="shared" si="5"/>
        <v>6.6666666666666666E-2</v>
      </c>
      <c r="V25" s="811">
        <f t="shared" si="5"/>
        <v>0.12820512820512819</v>
      </c>
      <c r="W25" s="814">
        <f t="shared" si="5"/>
        <v>0.16666666666666666</v>
      </c>
      <c r="X25" s="820">
        <f t="shared" si="6"/>
        <v>0</v>
      </c>
      <c r="Y25" s="811">
        <f t="shared" si="6"/>
        <v>0</v>
      </c>
      <c r="Z25" s="814">
        <f t="shared" si="6"/>
        <v>0</v>
      </c>
      <c r="AA25" s="820">
        <f t="shared" si="7"/>
        <v>0.93333333333333335</v>
      </c>
      <c r="AB25" s="811">
        <f t="shared" si="7"/>
        <v>0.87179487179487181</v>
      </c>
      <c r="AC25" s="814">
        <f t="shared" si="7"/>
        <v>0.83333333333333337</v>
      </c>
      <c r="AD25" s="45"/>
      <c r="AE25" s="45"/>
      <c r="AF25" s="45"/>
    </row>
    <row r="26" spans="1:33" x14ac:dyDescent="0.35">
      <c r="A26" s="800"/>
      <c r="B26" s="802"/>
      <c r="C26" s="805"/>
      <c r="D26" s="808"/>
      <c r="E26" s="470" t="s">
        <v>239</v>
      </c>
      <c r="F26" s="47" t="s">
        <v>240</v>
      </c>
      <c r="G26" s="39">
        <v>1E-3</v>
      </c>
      <c r="H26" s="832"/>
      <c r="I26" s="799"/>
      <c r="J26" s="799"/>
      <c r="K26" s="799"/>
      <c r="L26" s="837"/>
      <c r="M26" s="834"/>
      <c r="N26" s="834"/>
      <c r="O26" s="834"/>
      <c r="P26" s="838"/>
      <c r="Q26" s="834"/>
      <c r="R26" s="834"/>
      <c r="S26" s="836"/>
      <c r="T26" s="41"/>
      <c r="U26" s="822"/>
      <c r="V26" s="813"/>
      <c r="W26" s="816"/>
      <c r="X26" s="822"/>
      <c r="Y26" s="813"/>
      <c r="Z26" s="816"/>
      <c r="AA26" s="822"/>
      <c r="AB26" s="813"/>
      <c r="AC26" s="816"/>
    </row>
    <row r="27" spans="1:33" x14ac:dyDescent="0.35">
      <c r="A27" s="800"/>
      <c r="B27" s="802"/>
      <c r="C27" s="805"/>
      <c r="D27" s="808"/>
      <c r="E27" s="472" t="s">
        <v>241</v>
      </c>
      <c r="F27" s="47" t="s">
        <v>242</v>
      </c>
      <c r="G27" s="53">
        <v>2.9999999999999997E-4</v>
      </c>
      <c r="H27" s="482"/>
      <c r="I27" s="55"/>
      <c r="J27" s="55"/>
      <c r="K27" s="55"/>
      <c r="L27" s="55"/>
      <c r="M27" s="55"/>
      <c r="N27" s="55"/>
      <c r="O27" s="55"/>
      <c r="P27" s="55"/>
      <c r="Q27" s="55"/>
      <c r="R27" s="55"/>
      <c r="S27" s="483"/>
      <c r="T27" s="41"/>
      <c r="U27" s="56"/>
      <c r="V27" s="57"/>
      <c r="W27" s="58"/>
      <c r="X27" s="56"/>
      <c r="Y27" s="57"/>
      <c r="Z27" s="58"/>
      <c r="AA27" s="56"/>
      <c r="AB27" s="57"/>
      <c r="AC27" s="58"/>
    </row>
    <row r="28" spans="1:33" x14ac:dyDescent="0.35">
      <c r="A28" s="800"/>
      <c r="B28" s="802"/>
      <c r="C28" s="805"/>
      <c r="D28" s="808"/>
      <c r="E28" s="472" t="s">
        <v>243</v>
      </c>
      <c r="F28" s="47" t="s">
        <v>244</v>
      </c>
      <c r="G28" s="53">
        <v>5.9999999999999995E-4</v>
      </c>
      <c r="H28" s="482"/>
      <c r="I28" s="55"/>
      <c r="J28" s="55"/>
      <c r="K28" s="55"/>
      <c r="L28" s="55"/>
      <c r="M28" s="55"/>
      <c r="N28" s="55"/>
      <c r="O28" s="55"/>
      <c r="P28" s="55"/>
      <c r="Q28" s="55"/>
      <c r="R28" s="55"/>
      <c r="S28" s="483"/>
      <c r="T28" s="41"/>
      <c r="U28" s="56"/>
      <c r="V28" s="57"/>
      <c r="W28" s="58"/>
      <c r="X28" s="56"/>
      <c r="Y28" s="57"/>
      <c r="Z28" s="58"/>
      <c r="AA28" s="56"/>
      <c r="AB28" s="57"/>
      <c r="AC28" s="58"/>
    </row>
    <row r="29" spans="1:33" ht="21" x14ac:dyDescent="0.35">
      <c r="A29" s="800"/>
      <c r="B29" s="802"/>
      <c r="C29" s="805"/>
      <c r="D29" s="808"/>
      <c r="E29" s="472" t="s">
        <v>245</v>
      </c>
      <c r="F29" s="47" t="s">
        <v>246</v>
      </c>
      <c r="G29" s="51">
        <v>3.0000000000000001E-5</v>
      </c>
      <c r="H29" s="482"/>
      <c r="I29" s="55"/>
      <c r="J29" s="55"/>
      <c r="K29" s="55"/>
      <c r="L29" s="55"/>
      <c r="M29" s="55"/>
      <c r="N29" s="55"/>
      <c r="O29" s="55"/>
      <c r="P29" s="55"/>
      <c r="Q29" s="55"/>
      <c r="R29" s="55"/>
      <c r="S29" s="483"/>
      <c r="T29" s="41"/>
      <c r="U29" s="56"/>
      <c r="V29" s="57"/>
      <c r="W29" s="58"/>
      <c r="X29" s="56"/>
      <c r="Y29" s="57"/>
      <c r="Z29" s="58"/>
      <c r="AA29" s="56"/>
      <c r="AB29" s="57"/>
      <c r="AC29" s="58"/>
    </row>
    <row r="30" spans="1:33" x14ac:dyDescent="0.35">
      <c r="A30" s="800"/>
      <c r="B30" s="802"/>
      <c r="C30" s="805"/>
      <c r="D30" s="808"/>
      <c r="E30" s="472" t="s">
        <v>247</v>
      </c>
      <c r="F30" s="47" t="s">
        <v>248</v>
      </c>
      <c r="G30" s="51">
        <v>1.0000000000000001E-5</v>
      </c>
      <c r="H30" s="482"/>
      <c r="I30" s="55"/>
      <c r="J30" s="55"/>
      <c r="K30" s="55"/>
      <c r="L30" s="55"/>
      <c r="M30" s="55"/>
      <c r="N30" s="55"/>
      <c r="O30" s="55"/>
      <c r="P30" s="55"/>
      <c r="Q30" s="55"/>
      <c r="R30" s="55"/>
      <c r="S30" s="483"/>
      <c r="T30" s="41"/>
      <c r="U30" s="56"/>
      <c r="V30" s="57"/>
      <c r="W30" s="58"/>
      <c r="X30" s="56"/>
      <c r="Y30" s="57"/>
      <c r="Z30" s="58"/>
      <c r="AA30" s="56"/>
      <c r="AB30" s="57"/>
      <c r="AC30" s="58"/>
    </row>
    <row r="31" spans="1:33" x14ac:dyDescent="0.35">
      <c r="A31" s="800"/>
      <c r="B31" s="803"/>
      <c r="C31" s="806"/>
      <c r="D31" s="809"/>
      <c r="E31" s="472" t="s">
        <v>249</v>
      </c>
      <c r="F31" s="47" t="s">
        <v>250</v>
      </c>
      <c r="G31" s="54">
        <v>0</v>
      </c>
      <c r="H31" s="482"/>
      <c r="I31" s="55"/>
      <c r="J31" s="55"/>
      <c r="K31" s="55"/>
      <c r="L31" s="55"/>
      <c r="M31" s="55"/>
      <c r="N31" s="55"/>
      <c r="O31" s="55"/>
      <c r="P31" s="55"/>
      <c r="Q31" s="55"/>
      <c r="R31" s="55"/>
      <c r="S31" s="483"/>
      <c r="T31" s="41"/>
      <c r="U31" s="56"/>
      <c r="V31" s="57"/>
      <c r="W31" s="58"/>
      <c r="X31" s="56"/>
      <c r="Y31" s="57"/>
      <c r="Z31" s="58"/>
      <c r="AA31" s="56"/>
      <c r="AB31" s="57"/>
      <c r="AC31" s="58"/>
    </row>
    <row r="32" spans="1:33" ht="21" x14ac:dyDescent="0.35">
      <c r="A32" s="800" t="s">
        <v>251</v>
      </c>
      <c r="B32" s="801" t="s">
        <v>252</v>
      </c>
      <c r="C32" s="817" t="s">
        <v>253</v>
      </c>
      <c r="D32" s="807">
        <v>3.1E-2</v>
      </c>
      <c r="E32" s="472" t="s">
        <v>254</v>
      </c>
      <c r="F32" s="47" t="s">
        <v>255</v>
      </c>
      <c r="G32" s="39">
        <v>1.6E-2</v>
      </c>
      <c r="H32" s="832">
        <v>1</v>
      </c>
      <c r="I32" s="797">
        <v>5</v>
      </c>
      <c r="J32" s="797">
        <v>12.5</v>
      </c>
      <c r="K32" s="797">
        <v>20</v>
      </c>
      <c r="L32" s="831">
        <v>3</v>
      </c>
      <c r="M32" s="797">
        <v>30</v>
      </c>
      <c r="N32" s="797">
        <v>40</v>
      </c>
      <c r="O32" s="797">
        <v>50</v>
      </c>
      <c r="P32" s="838">
        <v>4</v>
      </c>
      <c r="Q32" s="797">
        <v>50</v>
      </c>
      <c r="R32" s="797">
        <v>75</v>
      </c>
      <c r="S32" s="823">
        <v>100</v>
      </c>
      <c r="T32" s="41"/>
      <c r="U32" s="820">
        <f t="shared" si="5"/>
        <v>5.8823529411764705E-2</v>
      </c>
      <c r="V32" s="811">
        <f t="shared" si="5"/>
        <v>9.8039215686274508E-2</v>
      </c>
      <c r="W32" s="814">
        <f t="shared" si="5"/>
        <v>0.11764705882352941</v>
      </c>
      <c r="X32" s="820">
        <f t="shared" si="6"/>
        <v>0.35294117647058826</v>
      </c>
      <c r="Y32" s="811">
        <f t="shared" si="6"/>
        <v>0.31372549019607843</v>
      </c>
      <c r="Z32" s="814">
        <f t="shared" si="6"/>
        <v>0.29411764705882354</v>
      </c>
      <c r="AA32" s="820">
        <f t="shared" si="7"/>
        <v>0.58823529411764708</v>
      </c>
      <c r="AB32" s="811">
        <f t="shared" si="7"/>
        <v>0.58823529411764708</v>
      </c>
      <c r="AC32" s="814">
        <f t="shared" si="7"/>
        <v>0.58823529411764708</v>
      </c>
      <c r="AD32" s="45"/>
      <c r="AE32" s="45"/>
      <c r="AF32" s="45"/>
      <c r="AG32" s="61"/>
    </row>
    <row r="33" spans="1:33" ht="21" x14ac:dyDescent="0.35">
      <c r="A33" s="800"/>
      <c r="B33" s="802"/>
      <c r="C33" s="818"/>
      <c r="D33" s="808"/>
      <c r="E33" s="472" t="s">
        <v>256</v>
      </c>
      <c r="F33" s="47" t="s">
        <v>257</v>
      </c>
      <c r="G33" s="39">
        <v>5.0000000000000001E-3</v>
      </c>
      <c r="H33" s="832"/>
      <c r="I33" s="798"/>
      <c r="J33" s="798"/>
      <c r="K33" s="798"/>
      <c r="L33" s="831"/>
      <c r="M33" s="798"/>
      <c r="N33" s="798"/>
      <c r="O33" s="798"/>
      <c r="P33" s="838"/>
      <c r="Q33" s="798"/>
      <c r="R33" s="798"/>
      <c r="S33" s="824"/>
      <c r="T33" s="41"/>
      <c r="U33" s="821"/>
      <c r="V33" s="812"/>
      <c r="W33" s="815"/>
      <c r="X33" s="821"/>
      <c r="Y33" s="812"/>
      <c r="Z33" s="815"/>
      <c r="AA33" s="821"/>
      <c r="AB33" s="812"/>
      <c r="AC33" s="815"/>
      <c r="AD33" s="45"/>
      <c r="AE33" s="45"/>
      <c r="AF33" s="45"/>
      <c r="AG33" s="62"/>
    </row>
    <row r="34" spans="1:33" x14ac:dyDescent="0.35">
      <c r="A34" s="800"/>
      <c r="B34" s="802"/>
      <c r="C34" s="818"/>
      <c r="D34" s="808"/>
      <c r="E34" s="472" t="s">
        <v>258</v>
      </c>
      <c r="F34" s="47" t="s">
        <v>259</v>
      </c>
      <c r="G34" s="39">
        <v>1.4999999999999999E-2</v>
      </c>
      <c r="H34" s="832"/>
      <c r="I34" s="798"/>
      <c r="J34" s="798"/>
      <c r="K34" s="798"/>
      <c r="L34" s="831"/>
      <c r="M34" s="798"/>
      <c r="N34" s="798"/>
      <c r="O34" s="798"/>
      <c r="P34" s="838"/>
      <c r="Q34" s="798"/>
      <c r="R34" s="798"/>
      <c r="S34" s="824"/>
      <c r="T34" s="41"/>
      <c r="U34" s="821"/>
      <c r="V34" s="812"/>
      <c r="W34" s="815"/>
      <c r="X34" s="821"/>
      <c r="Y34" s="812"/>
      <c r="Z34" s="815"/>
      <c r="AA34" s="821"/>
      <c r="AB34" s="812"/>
      <c r="AC34" s="815"/>
      <c r="AD34" s="45"/>
      <c r="AE34" s="45"/>
      <c r="AF34" s="45"/>
      <c r="AG34" s="62"/>
    </row>
    <row r="35" spans="1:33" x14ac:dyDescent="0.35">
      <c r="A35" s="800"/>
      <c r="B35" s="802"/>
      <c r="C35" s="818"/>
      <c r="D35" s="808"/>
      <c r="E35" s="472" t="s">
        <v>260</v>
      </c>
      <c r="F35" s="47" t="s">
        <v>261</v>
      </c>
      <c r="G35" s="53">
        <v>1.1999999999999999E-3</v>
      </c>
      <c r="H35" s="832"/>
      <c r="I35" s="798"/>
      <c r="J35" s="798"/>
      <c r="K35" s="798"/>
      <c r="L35" s="831"/>
      <c r="M35" s="798"/>
      <c r="N35" s="798"/>
      <c r="O35" s="798"/>
      <c r="P35" s="838"/>
      <c r="Q35" s="798"/>
      <c r="R35" s="798"/>
      <c r="S35" s="824"/>
      <c r="T35" s="41"/>
      <c r="U35" s="821"/>
      <c r="V35" s="812"/>
      <c r="W35" s="815"/>
      <c r="X35" s="821"/>
      <c r="Y35" s="812"/>
      <c r="Z35" s="815"/>
      <c r="AA35" s="821"/>
      <c r="AB35" s="812"/>
      <c r="AC35" s="815"/>
      <c r="AD35" s="45"/>
      <c r="AE35" s="45"/>
      <c r="AF35" s="45"/>
      <c r="AG35" s="62"/>
    </row>
    <row r="36" spans="1:33" x14ac:dyDescent="0.35">
      <c r="A36" s="800"/>
      <c r="B36" s="802"/>
      <c r="C36" s="818"/>
      <c r="D36" s="808"/>
      <c r="E36" s="472" t="s">
        <v>262</v>
      </c>
      <c r="F36" s="47" t="s">
        <v>263</v>
      </c>
      <c r="G36" s="53">
        <v>1E-4</v>
      </c>
      <c r="H36" s="832"/>
      <c r="I36" s="798"/>
      <c r="J36" s="798"/>
      <c r="K36" s="798"/>
      <c r="L36" s="831"/>
      <c r="M36" s="798"/>
      <c r="N36" s="798"/>
      <c r="O36" s="798"/>
      <c r="P36" s="838"/>
      <c r="Q36" s="798"/>
      <c r="R36" s="798"/>
      <c r="S36" s="824"/>
      <c r="T36" s="41"/>
      <c r="U36" s="821"/>
      <c r="V36" s="812"/>
      <c r="W36" s="815"/>
      <c r="X36" s="821"/>
      <c r="Y36" s="812"/>
      <c r="Z36" s="815"/>
      <c r="AA36" s="821"/>
      <c r="AB36" s="812"/>
      <c r="AC36" s="815"/>
      <c r="AD36" s="45"/>
      <c r="AE36" s="45"/>
      <c r="AF36" s="45"/>
      <c r="AG36" s="62"/>
    </row>
    <row r="37" spans="1:33" x14ac:dyDescent="0.35">
      <c r="A37" s="800"/>
      <c r="B37" s="803"/>
      <c r="C37" s="819"/>
      <c r="D37" s="809"/>
      <c r="E37" s="472" t="s">
        <v>264</v>
      </c>
      <c r="F37" s="47" t="s">
        <v>265</v>
      </c>
      <c r="G37" s="53">
        <v>4.0000000000000002E-4</v>
      </c>
      <c r="H37" s="832"/>
      <c r="I37" s="799"/>
      <c r="J37" s="799"/>
      <c r="K37" s="799"/>
      <c r="L37" s="831"/>
      <c r="M37" s="799"/>
      <c r="N37" s="799"/>
      <c r="O37" s="799"/>
      <c r="P37" s="838"/>
      <c r="Q37" s="799"/>
      <c r="R37" s="799"/>
      <c r="S37" s="825"/>
      <c r="T37" s="41"/>
      <c r="U37" s="822"/>
      <c r="V37" s="813"/>
      <c r="W37" s="816"/>
      <c r="X37" s="822"/>
      <c r="Y37" s="813"/>
      <c r="Z37" s="816"/>
      <c r="AA37" s="822"/>
      <c r="AB37" s="813"/>
      <c r="AC37" s="816"/>
      <c r="AD37" s="45"/>
      <c r="AE37" s="45"/>
      <c r="AF37" s="45"/>
      <c r="AG37" s="62"/>
    </row>
    <row r="38" spans="1:33" ht="21" customHeight="1" x14ac:dyDescent="0.35">
      <c r="A38" s="800" t="s">
        <v>266</v>
      </c>
      <c r="B38" s="801" t="s">
        <v>267</v>
      </c>
      <c r="C38" s="804" t="s">
        <v>268</v>
      </c>
      <c r="D38" s="807">
        <v>0.16</v>
      </c>
      <c r="E38" s="472" t="s">
        <v>269</v>
      </c>
      <c r="F38" s="47" t="s">
        <v>270</v>
      </c>
      <c r="G38" s="39">
        <v>4.0000000000000001E-3</v>
      </c>
      <c r="H38" s="830">
        <v>3</v>
      </c>
      <c r="I38" s="797">
        <v>30</v>
      </c>
      <c r="J38" s="797">
        <v>40</v>
      </c>
      <c r="K38" s="797">
        <v>50</v>
      </c>
      <c r="L38" s="831">
        <v>3</v>
      </c>
      <c r="M38" s="797">
        <v>30</v>
      </c>
      <c r="N38" s="797">
        <v>40</v>
      </c>
      <c r="O38" s="797">
        <v>50</v>
      </c>
      <c r="P38" s="831">
        <v>3</v>
      </c>
      <c r="Q38" s="797">
        <v>30</v>
      </c>
      <c r="R38" s="797">
        <v>40</v>
      </c>
      <c r="S38" s="823">
        <v>50</v>
      </c>
      <c r="T38" s="41"/>
      <c r="U38" s="820">
        <f t="shared" si="5"/>
        <v>0.33333333333333331</v>
      </c>
      <c r="V38" s="811">
        <f t="shared" si="5"/>
        <v>0.33333333333333331</v>
      </c>
      <c r="W38" s="814">
        <f t="shared" si="5"/>
        <v>0.33333333333333331</v>
      </c>
      <c r="X38" s="820">
        <f t="shared" si="6"/>
        <v>0.33333333333333331</v>
      </c>
      <c r="Y38" s="811">
        <f t="shared" si="6"/>
        <v>0.33333333333333331</v>
      </c>
      <c r="Z38" s="814">
        <f t="shared" si="6"/>
        <v>0.33333333333333331</v>
      </c>
      <c r="AA38" s="820">
        <f t="shared" si="7"/>
        <v>0.33333333333333331</v>
      </c>
      <c r="AB38" s="811">
        <f t="shared" si="7"/>
        <v>0.33333333333333331</v>
      </c>
      <c r="AC38" s="814">
        <f t="shared" si="7"/>
        <v>0.33333333333333331</v>
      </c>
      <c r="AD38" s="45"/>
      <c r="AE38" s="45"/>
      <c r="AF38" s="45"/>
    </row>
    <row r="39" spans="1:33" ht="21" x14ac:dyDescent="0.35">
      <c r="A39" s="800"/>
      <c r="B39" s="802"/>
      <c r="C39" s="805"/>
      <c r="D39" s="808"/>
      <c r="E39" s="472" t="s">
        <v>271</v>
      </c>
      <c r="F39" s="47" t="s">
        <v>272</v>
      </c>
      <c r="G39" s="39">
        <v>8.1000000000000003E-2</v>
      </c>
      <c r="H39" s="830"/>
      <c r="I39" s="798"/>
      <c r="J39" s="798"/>
      <c r="K39" s="798"/>
      <c r="L39" s="831"/>
      <c r="M39" s="798"/>
      <c r="N39" s="798"/>
      <c r="O39" s="798"/>
      <c r="P39" s="831"/>
      <c r="Q39" s="798"/>
      <c r="R39" s="798"/>
      <c r="S39" s="824"/>
      <c r="T39" s="41"/>
      <c r="U39" s="821"/>
      <c r="V39" s="812"/>
      <c r="W39" s="815"/>
      <c r="X39" s="821"/>
      <c r="Y39" s="812"/>
      <c r="Z39" s="815"/>
      <c r="AA39" s="821"/>
      <c r="AB39" s="812"/>
      <c r="AC39" s="815"/>
      <c r="AD39" s="45"/>
      <c r="AE39" s="45"/>
      <c r="AF39" s="45"/>
    </row>
    <row r="40" spans="1:33" ht="21" x14ac:dyDescent="0.35">
      <c r="A40" s="800"/>
      <c r="B40" s="802"/>
      <c r="C40" s="805"/>
      <c r="D40" s="808"/>
      <c r="E40" s="472" t="s">
        <v>273</v>
      </c>
      <c r="F40" s="47" t="s">
        <v>274</v>
      </c>
      <c r="G40" s="39">
        <v>2.4E-2</v>
      </c>
      <c r="H40" s="830"/>
      <c r="I40" s="799"/>
      <c r="J40" s="799"/>
      <c r="K40" s="799"/>
      <c r="L40" s="831"/>
      <c r="M40" s="799"/>
      <c r="N40" s="799"/>
      <c r="O40" s="799"/>
      <c r="P40" s="831"/>
      <c r="Q40" s="799"/>
      <c r="R40" s="799"/>
      <c r="S40" s="825"/>
      <c r="T40" s="41"/>
      <c r="U40" s="822"/>
      <c r="V40" s="813"/>
      <c r="W40" s="816"/>
      <c r="X40" s="822"/>
      <c r="Y40" s="813"/>
      <c r="Z40" s="816"/>
      <c r="AA40" s="822"/>
      <c r="AB40" s="813"/>
      <c r="AC40" s="816"/>
      <c r="AD40" s="45"/>
      <c r="AE40" s="45"/>
      <c r="AF40" s="45"/>
    </row>
    <row r="41" spans="1:33" x14ac:dyDescent="0.35">
      <c r="A41" s="800"/>
      <c r="B41" s="802"/>
      <c r="C41" s="805"/>
      <c r="D41" s="808"/>
      <c r="E41" s="209" t="s">
        <v>275</v>
      </c>
      <c r="F41" s="65" t="s">
        <v>276</v>
      </c>
      <c r="G41" s="64">
        <v>5.0000000000000001E-3</v>
      </c>
      <c r="H41" s="480">
        <v>4</v>
      </c>
      <c r="I41" s="40">
        <v>50</v>
      </c>
      <c r="J41" s="40">
        <v>75</v>
      </c>
      <c r="K41" s="40">
        <v>100</v>
      </c>
      <c r="L41" s="423">
        <v>1</v>
      </c>
      <c r="M41" s="40">
        <v>5</v>
      </c>
      <c r="N41" s="40">
        <v>12.5</v>
      </c>
      <c r="O41" s="40">
        <v>20</v>
      </c>
      <c r="P41" s="423">
        <v>1</v>
      </c>
      <c r="Q41" s="40">
        <v>5</v>
      </c>
      <c r="R41" s="40">
        <v>12.5</v>
      </c>
      <c r="S41" s="481">
        <v>20</v>
      </c>
      <c r="T41" s="41"/>
      <c r="U41" s="42">
        <f t="shared" si="5"/>
        <v>0.83333333333333337</v>
      </c>
      <c r="V41" s="43">
        <f t="shared" si="5"/>
        <v>0.75</v>
      </c>
      <c r="W41" s="44">
        <f t="shared" si="5"/>
        <v>0.7142857142857143</v>
      </c>
      <c r="X41" s="42">
        <f t="shared" si="6"/>
        <v>8.3333333333333329E-2</v>
      </c>
      <c r="Y41" s="43">
        <f t="shared" si="6"/>
        <v>0.125</v>
      </c>
      <c r="Z41" s="44">
        <f t="shared" si="6"/>
        <v>0.14285714285714285</v>
      </c>
      <c r="AA41" s="42">
        <f t="shared" si="7"/>
        <v>8.3333333333333329E-2</v>
      </c>
      <c r="AB41" s="43">
        <f t="shared" si="7"/>
        <v>0.125</v>
      </c>
      <c r="AC41" s="44">
        <f t="shared" si="7"/>
        <v>0.14285714285714285</v>
      </c>
      <c r="AD41" s="45"/>
      <c r="AE41" s="45"/>
      <c r="AF41" s="45"/>
    </row>
    <row r="42" spans="1:33" ht="21" x14ac:dyDescent="0.35">
      <c r="A42" s="800"/>
      <c r="B42" s="802"/>
      <c r="C42" s="805"/>
      <c r="D42" s="808"/>
      <c r="E42" s="209" t="s">
        <v>277</v>
      </c>
      <c r="F42" s="65" t="s">
        <v>278</v>
      </c>
      <c r="G42" s="64">
        <v>8.5999999999999993E-2</v>
      </c>
      <c r="H42" s="480">
        <v>4</v>
      </c>
      <c r="I42" s="40">
        <v>50</v>
      </c>
      <c r="J42" s="40">
        <v>75</v>
      </c>
      <c r="K42" s="40">
        <v>100</v>
      </c>
      <c r="L42" s="424">
        <v>2</v>
      </c>
      <c r="M42" s="40">
        <v>20</v>
      </c>
      <c r="N42" s="40">
        <v>25</v>
      </c>
      <c r="O42" s="40">
        <v>30</v>
      </c>
      <c r="P42" s="424">
        <v>2</v>
      </c>
      <c r="Q42" s="40">
        <v>20</v>
      </c>
      <c r="R42" s="40">
        <v>25</v>
      </c>
      <c r="S42" s="481">
        <v>30</v>
      </c>
      <c r="T42" s="41"/>
      <c r="U42" s="42">
        <f t="shared" si="5"/>
        <v>0.55555555555555558</v>
      </c>
      <c r="V42" s="43">
        <f t="shared" si="5"/>
        <v>0.6</v>
      </c>
      <c r="W42" s="44">
        <f t="shared" si="5"/>
        <v>0.625</v>
      </c>
      <c r="X42" s="42">
        <f t="shared" si="6"/>
        <v>0.22222222222222221</v>
      </c>
      <c r="Y42" s="43">
        <f t="shared" si="6"/>
        <v>0.2</v>
      </c>
      <c r="Z42" s="44">
        <f t="shared" si="6"/>
        <v>0.1875</v>
      </c>
      <c r="AA42" s="42">
        <f t="shared" si="7"/>
        <v>0.22222222222222221</v>
      </c>
      <c r="AB42" s="43">
        <f t="shared" si="7"/>
        <v>0.2</v>
      </c>
      <c r="AC42" s="44">
        <f t="shared" si="7"/>
        <v>0.1875</v>
      </c>
      <c r="AD42" s="45"/>
      <c r="AE42" s="45"/>
      <c r="AF42" s="45"/>
    </row>
    <row r="43" spans="1:33" x14ac:dyDescent="0.35">
      <c r="A43" s="800"/>
      <c r="B43" s="802"/>
      <c r="C43" s="805"/>
      <c r="D43" s="808"/>
      <c r="E43" s="209" t="s">
        <v>279</v>
      </c>
      <c r="F43" s="65" t="s">
        <v>280</v>
      </c>
      <c r="G43" s="64">
        <v>1.4999999999999999E-2</v>
      </c>
      <c r="H43" s="484">
        <v>1</v>
      </c>
      <c r="I43" s="40">
        <v>5</v>
      </c>
      <c r="J43" s="40">
        <v>12.5</v>
      </c>
      <c r="K43" s="40">
        <v>20</v>
      </c>
      <c r="L43" s="422">
        <v>4</v>
      </c>
      <c r="M43" s="40">
        <v>50</v>
      </c>
      <c r="N43" s="40">
        <v>75</v>
      </c>
      <c r="O43" s="40">
        <v>100</v>
      </c>
      <c r="P43" s="425">
        <v>3</v>
      </c>
      <c r="Q43" s="40">
        <v>30</v>
      </c>
      <c r="R43" s="40">
        <v>40</v>
      </c>
      <c r="S43" s="481">
        <v>50</v>
      </c>
      <c r="T43" s="60"/>
      <c r="U43" s="42">
        <f t="shared" si="5"/>
        <v>5.8823529411764705E-2</v>
      </c>
      <c r="V43" s="43">
        <f t="shared" si="5"/>
        <v>9.8039215686274508E-2</v>
      </c>
      <c r="W43" s="44">
        <f t="shared" si="5"/>
        <v>0.11764705882352941</v>
      </c>
      <c r="X43" s="42">
        <f t="shared" si="6"/>
        <v>0.58823529411764708</v>
      </c>
      <c r="Y43" s="43">
        <f t="shared" si="6"/>
        <v>0.58823529411764708</v>
      </c>
      <c r="Z43" s="44">
        <f t="shared" si="6"/>
        <v>0.58823529411764708</v>
      </c>
      <c r="AA43" s="42">
        <f t="shared" si="7"/>
        <v>0.35294117647058826</v>
      </c>
      <c r="AB43" s="43">
        <f t="shared" si="7"/>
        <v>0.31372549019607843</v>
      </c>
      <c r="AC43" s="44">
        <f t="shared" si="7"/>
        <v>0.29411764705882354</v>
      </c>
      <c r="AD43" s="45"/>
      <c r="AE43" s="45"/>
      <c r="AF43" s="45"/>
    </row>
    <row r="44" spans="1:33" x14ac:dyDescent="0.35">
      <c r="A44" s="800"/>
      <c r="B44" s="803"/>
      <c r="C44" s="806"/>
      <c r="D44" s="809"/>
      <c r="E44" s="209" t="s">
        <v>281</v>
      </c>
      <c r="F44" s="65" t="s">
        <v>282</v>
      </c>
      <c r="G44" s="64">
        <v>2.5000000000000001E-2</v>
      </c>
      <c r="H44" s="480">
        <v>4</v>
      </c>
      <c r="I44" s="40">
        <v>50</v>
      </c>
      <c r="J44" s="40">
        <v>75</v>
      </c>
      <c r="K44" s="40">
        <v>100</v>
      </c>
      <c r="L44" s="423">
        <v>1</v>
      </c>
      <c r="M44" s="40">
        <v>5</v>
      </c>
      <c r="N44" s="40">
        <v>12.5</v>
      </c>
      <c r="O44" s="40">
        <v>20</v>
      </c>
      <c r="P44" s="423">
        <v>1</v>
      </c>
      <c r="Q44" s="40">
        <v>5</v>
      </c>
      <c r="R44" s="40">
        <v>12.5</v>
      </c>
      <c r="S44" s="481">
        <v>20</v>
      </c>
      <c r="T44" s="41"/>
      <c r="U44" s="42">
        <f t="shared" si="5"/>
        <v>0.83333333333333337</v>
      </c>
      <c r="V44" s="43">
        <f t="shared" si="5"/>
        <v>0.75</v>
      </c>
      <c r="W44" s="44">
        <f t="shared" si="5"/>
        <v>0.7142857142857143</v>
      </c>
      <c r="X44" s="42">
        <f t="shared" si="6"/>
        <v>8.3333333333333329E-2</v>
      </c>
      <c r="Y44" s="43">
        <f t="shared" si="6"/>
        <v>0.125</v>
      </c>
      <c r="Z44" s="44">
        <f t="shared" si="6"/>
        <v>0.14285714285714285</v>
      </c>
      <c r="AA44" s="42">
        <f t="shared" si="7"/>
        <v>8.3333333333333329E-2</v>
      </c>
      <c r="AB44" s="43">
        <f t="shared" si="7"/>
        <v>0.125</v>
      </c>
      <c r="AC44" s="44">
        <f t="shared" si="7"/>
        <v>0.14285714285714285</v>
      </c>
      <c r="AD44" s="45"/>
      <c r="AE44" s="45"/>
      <c r="AF44" s="45"/>
    </row>
    <row r="45" spans="1:33" ht="21" x14ac:dyDescent="0.35">
      <c r="A45" s="66" t="s">
        <v>283</v>
      </c>
      <c r="B45" s="470" t="s">
        <v>284</v>
      </c>
      <c r="C45" s="47" t="s">
        <v>285</v>
      </c>
      <c r="D45" s="471">
        <v>0.01</v>
      </c>
      <c r="E45" s="470" t="s">
        <v>286</v>
      </c>
      <c r="F45" s="47" t="s">
        <v>287</v>
      </c>
      <c r="G45" s="39">
        <v>1.0999999999999999E-2</v>
      </c>
      <c r="H45" s="485">
        <v>2</v>
      </c>
      <c r="I45" s="40">
        <v>20</v>
      </c>
      <c r="J45" s="40">
        <v>25</v>
      </c>
      <c r="K45" s="40">
        <v>30</v>
      </c>
      <c r="L45" s="423">
        <v>1</v>
      </c>
      <c r="M45" s="40">
        <v>5</v>
      </c>
      <c r="N45" s="40">
        <v>12.5</v>
      </c>
      <c r="O45" s="40">
        <v>20</v>
      </c>
      <c r="P45" s="422">
        <v>4</v>
      </c>
      <c r="Q45" s="40">
        <v>50</v>
      </c>
      <c r="R45" s="40">
        <v>75</v>
      </c>
      <c r="S45" s="481">
        <v>100</v>
      </c>
      <c r="T45" s="60"/>
      <c r="U45" s="42">
        <f t="shared" si="5"/>
        <v>0.26666666666666666</v>
      </c>
      <c r="V45" s="43">
        <f t="shared" si="5"/>
        <v>0.22222222222222221</v>
      </c>
      <c r="W45" s="44">
        <f t="shared" si="5"/>
        <v>0.2</v>
      </c>
      <c r="X45" s="42">
        <f t="shared" si="6"/>
        <v>6.6666666666666666E-2</v>
      </c>
      <c r="Y45" s="43">
        <f t="shared" si="6"/>
        <v>0.1111111111111111</v>
      </c>
      <c r="Z45" s="44">
        <f t="shared" si="6"/>
        <v>0.13333333333333333</v>
      </c>
      <c r="AA45" s="42">
        <f t="shared" si="7"/>
        <v>0.66666666666666663</v>
      </c>
      <c r="AB45" s="43">
        <f t="shared" si="7"/>
        <v>0.66666666666666663</v>
      </c>
      <c r="AC45" s="44">
        <f t="shared" si="7"/>
        <v>0.66666666666666663</v>
      </c>
      <c r="AD45" s="45"/>
      <c r="AE45" s="45"/>
      <c r="AF45" s="45"/>
    </row>
    <row r="46" spans="1:33" x14ac:dyDescent="0.35">
      <c r="A46" s="839" t="s">
        <v>288</v>
      </c>
      <c r="B46" s="840" t="s">
        <v>289</v>
      </c>
      <c r="C46" s="841" t="s">
        <v>290</v>
      </c>
      <c r="D46" s="842">
        <v>1.4999999999999999E-2</v>
      </c>
      <c r="E46" s="470" t="s">
        <v>291</v>
      </c>
      <c r="F46" s="59" t="s">
        <v>290</v>
      </c>
      <c r="G46" s="39">
        <v>2.1000000000000001E-2</v>
      </c>
      <c r="H46" s="480">
        <v>4</v>
      </c>
      <c r="I46" s="40">
        <v>50</v>
      </c>
      <c r="J46" s="40">
        <v>75</v>
      </c>
      <c r="K46" s="40">
        <v>100</v>
      </c>
      <c r="L46" s="424">
        <v>2</v>
      </c>
      <c r="M46" s="40">
        <v>20</v>
      </c>
      <c r="N46" s="40">
        <v>25</v>
      </c>
      <c r="O46" s="40">
        <v>30</v>
      </c>
      <c r="P46" s="424">
        <v>2</v>
      </c>
      <c r="Q46" s="40">
        <v>20</v>
      </c>
      <c r="R46" s="40">
        <v>25</v>
      </c>
      <c r="S46" s="481">
        <v>30</v>
      </c>
      <c r="T46" s="41"/>
      <c r="U46" s="42">
        <f t="shared" si="5"/>
        <v>0.55555555555555558</v>
      </c>
      <c r="V46" s="43">
        <f t="shared" si="5"/>
        <v>0.6</v>
      </c>
      <c r="W46" s="44">
        <f t="shared" si="5"/>
        <v>0.625</v>
      </c>
      <c r="X46" s="42">
        <f t="shared" si="6"/>
        <v>0.22222222222222221</v>
      </c>
      <c r="Y46" s="43">
        <f t="shared" si="6"/>
        <v>0.2</v>
      </c>
      <c r="Z46" s="44">
        <f t="shared" si="6"/>
        <v>0.1875</v>
      </c>
      <c r="AA46" s="42">
        <f t="shared" si="7"/>
        <v>0.22222222222222221</v>
      </c>
      <c r="AB46" s="43">
        <f t="shared" si="7"/>
        <v>0.2</v>
      </c>
      <c r="AC46" s="44">
        <f t="shared" si="7"/>
        <v>0.1875</v>
      </c>
      <c r="AD46" s="45"/>
      <c r="AE46" s="45"/>
      <c r="AF46" s="45"/>
    </row>
    <row r="47" spans="1:33" x14ac:dyDescent="0.35">
      <c r="A47" s="839"/>
      <c r="B47" s="840"/>
      <c r="C47" s="841"/>
      <c r="D47" s="842"/>
      <c r="E47" s="472" t="s">
        <v>292</v>
      </c>
      <c r="F47" s="47" t="s">
        <v>293</v>
      </c>
      <c r="G47" s="54">
        <v>0</v>
      </c>
      <c r="H47" s="482"/>
      <c r="I47" s="55"/>
      <c r="J47" s="55"/>
      <c r="K47" s="55"/>
      <c r="L47" s="55"/>
      <c r="M47" s="55"/>
      <c r="N47" s="55"/>
      <c r="O47" s="55"/>
      <c r="P47" s="55"/>
      <c r="Q47" s="55"/>
      <c r="R47" s="55"/>
      <c r="S47" s="483"/>
      <c r="T47" s="41"/>
      <c r="U47" s="56"/>
      <c r="V47" s="57"/>
      <c r="W47" s="58"/>
      <c r="X47" s="56"/>
      <c r="Y47" s="57"/>
      <c r="Z47" s="58"/>
      <c r="AA47" s="56"/>
      <c r="AB47" s="57"/>
      <c r="AC47" s="58"/>
      <c r="AD47" s="45"/>
      <c r="AE47" s="45"/>
      <c r="AF47" s="45"/>
    </row>
    <row r="48" spans="1:33" x14ac:dyDescent="0.35">
      <c r="A48" s="839"/>
      <c r="B48" s="840"/>
      <c r="C48" s="841"/>
      <c r="D48" s="842"/>
      <c r="E48" s="472" t="s">
        <v>294</v>
      </c>
      <c r="F48" s="47" t="s">
        <v>295</v>
      </c>
      <c r="G48" s="51">
        <v>1.0000000000000001E-5</v>
      </c>
      <c r="H48" s="486">
        <v>4</v>
      </c>
      <c r="I48" s="40">
        <v>50</v>
      </c>
      <c r="J48" s="40">
        <v>75</v>
      </c>
      <c r="K48" s="40">
        <v>100</v>
      </c>
      <c r="L48" s="424">
        <v>2</v>
      </c>
      <c r="M48" s="40">
        <v>20</v>
      </c>
      <c r="N48" s="40">
        <v>25</v>
      </c>
      <c r="O48" s="40">
        <v>30</v>
      </c>
      <c r="P48" s="424">
        <v>2</v>
      </c>
      <c r="Q48" s="40">
        <v>20</v>
      </c>
      <c r="R48" s="40">
        <v>25</v>
      </c>
      <c r="S48" s="481">
        <v>30</v>
      </c>
      <c r="T48" s="41"/>
      <c r="U48" s="42">
        <f t="shared" si="5"/>
        <v>0.55555555555555558</v>
      </c>
      <c r="V48" s="43">
        <f t="shared" si="5"/>
        <v>0.6</v>
      </c>
      <c r="W48" s="44">
        <f t="shared" si="5"/>
        <v>0.625</v>
      </c>
      <c r="X48" s="42">
        <f t="shared" si="6"/>
        <v>0.22222222222222221</v>
      </c>
      <c r="Y48" s="43">
        <f t="shared" si="6"/>
        <v>0.2</v>
      </c>
      <c r="Z48" s="44">
        <f t="shared" si="6"/>
        <v>0.1875</v>
      </c>
      <c r="AA48" s="42">
        <f t="shared" si="7"/>
        <v>0.22222222222222221</v>
      </c>
      <c r="AB48" s="43">
        <f t="shared" si="7"/>
        <v>0.2</v>
      </c>
      <c r="AC48" s="44">
        <f t="shared" si="7"/>
        <v>0.1875</v>
      </c>
      <c r="AD48" s="45"/>
      <c r="AE48" s="45"/>
      <c r="AF48" s="45"/>
    </row>
    <row r="49" spans="1:32" ht="31.5" x14ac:dyDescent="0.35">
      <c r="A49" s="67" t="s">
        <v>296</v>
      </c>
      <c r="B49" s="470" t="s">
        <v>297</v>
      </c>
      <c r="C49" s="473" t="s">
        <v>298</v>
      </c>
      <c r="D49" s="471">
        <v>0.01</v>
      </c>
      <c r="E49" s="470" t="s">
        <v>299</v>
      </c>
      <c r="F49" s="474" t="s">
        <v>300</v>
      </c>
      <c r="G49" s="39">
        <v>8.9999999999999993E-3</v>
      </c>
      <c r="H49" s="486" t="s">
        <v>301</v>
      </c>
      <c r="I49" s="40">
        <v>50</v>
      </c>
      <c r="J49" s="40">
        <v>75</v>
      </c>
      <c r="K49" s="40">
        <v>100</v>
      </c>
      <c r="L49" s="423">
        <v>1</v>
      </c>
      <c r="M49" s="40">
        <v>5</v>
      </c>
      <c r="N49" s="40">
        <v>12.5</v>
      </c>
      <c r="O49" s="40">
        <v>20</v>
      </c>
      <c r="P49" s="423">
        <v>1</v>
      </c>
      <c r="Q49" s="40">
        <v>5</v>
      </c>
      <c r="R49" s="40">
        <v>12.5</v>
      </c>
      <c r="S49" s="481">
        <v>20</v>
      </c>
      <c r="T49" s="41"/>
      <c r="U49" s="42">
        <f t="shared" si="5"/>
        <v>0.83333333333333337</v>
      </c>
      <c r="V49" s="43">
        <f t="shared" si="5"/>
        <v>0.75</v>
      </c>
      <c r="W49" s="44">
        <f t="shared" si="5"/>
        <v>0.7142857142857143</v>
      </c>
      <c r="X49" s="42">
        <f t="shared" si="6"/>
        <v>8.3333333333333329E-2</v>
      </c>
      <c r="Y49" s="43">
        <f t="shared" si="6"/>
        <v>0.125</v>
      </c>
      <c r="Z49" s="44">
        <f t="shared" si="6"/>
        <v>0.14285714285714285</v>
      </c>
      <c r="AA49" s="42">
        <f t="shared" si="7"/>
        <v>8.3333333333333329E-2</v>
      </c>
      <c r="AB49" s="43">
        <f t="shared" si="7"/>
        <v>0.125</v>
      </c>
      <c r="AC49" s="44">
        <f t="shared" si="7"/>
        <v>0.14285714285714285</v>
      </c>
      <c r="AD49" s="45"/>
      <c r="AE49" s="45"/>
      <c r="AF49" s="45"/>
    </row>
    <row r="50" spans="1:32" ht="21" x14ac:dyDescent="0.35">
      <c r="A50" s="68" t="s">
        <v>302</v>
      </c>
      <c r="B50" s="470" t="s">
        <v>303</v>
      </c>
      <c r="C50" s="47" t="s">
        <v>304</v>
      </c>
      <c r="D50" s="471">
        <v>1.4E-2</v>
      </c>
      <c r="E50" s="470" t="s">
        <v>305</v>
      </c>
      <c r="F50" s="47" t="s">
        <v>306</v>
      </c>
      <c r="G50" s="39">
        <v>1.4E-2</v>
      </c>
      <c r="H50" s="486">
        <v>4</v>
      </c>
      <c r="I50" s="40">
        <v>50</v>
      </c>
      <c r="J50" s="40">
        <v>75</v>
      </c>
      <c r="K50" s="40">
        <v>100</v>
      </c>
      <c r="L50" s="423">
        <v>1</v>
      </c>
      <c r="M50" s="40">
        <v>5</v>
      </c>
      <c r="N50" s="40">
        <v>12.5</v>
      </c>
      <c r="O50" s="40">
        <v>20</v>
      </c>
      <c r="P50" s="423">
        <v>1</v>
      </c>
      <c r="Q50" s="40">
        <v>5</v>
      </c>
      <c r="R50" s="40">
        <v>12.5</v>
      </c>
      <c r="S50" s="481">
        <v>20</v>
      </c>
      <c r="T50" s="41"/>
      <c r="U50" s="42">
        <f t="shared" si="5"/>
        <v>0.83333333333333337</v>
      </c>
      <c r="V50" s="43">
        <f t="shared" si="5"/>
        <v>0.75</v>
      </c>
      <c r="W50" s="44">
        <f t="shared" si="5"/>
        <v>0.7142857142857143</v>
      </c>
      <c r="X50" s="42">
        <f t="shared" si="6"/>
        <v>8.3333333333333329E-2</v>
      </c>
      <c r="Y50" s="43">
        <f t="shared" si="6"/>
        <v>0.125</v>
      </c>
      <c r="Z50" s="44">
        <f t="shared" si="6"/>
        <v>0.14285714285714285</v>
      </c>
      <c r="AA50" s="42">
        <f t="shared" si="7"/>
        <v>8.3333333333333329E-2</v>
      </c>
      <c r="AB50" s="43">
        <f t="shared" si="7"/>
        <v>0.125</v>
      </c>
      <c r="AC50" s="44">
        <f t="shared" si="7"/>
        <v>0.14285714285714285</v>
      </c>
      <c r="AD50" s="45"/>
      <c r="AE50" s="45"/>
      <c r="AF50" s="45"/>
    </row>
    <row r="51" spans="1:32" ht="21" x14ac:dyDescent="0.35">
      <c r="A51" s="68" t="s">
        <v>307</v>
      </c>
      <c r="B51" s="470" t="s">
        <v>308</v>
      </c>
      <c r="C51" s="59" t="s">
        <v>309</v>
      </c>
      <c r="D51" s="471">
        <v>1.7000000000000001E-2</v>
      </c>
      <c r="E51" s="470" t="s">
        <v>310</v>
      </c>
      <c r="F51" s="59" t="s">
        <v>311</v>
      </c>
      <c r="G51" s="39">
        <v>1.9E-2</v>
      </c>
      <c r="H51" s="486">
        <v>4</v>
      </c>
      <c r="I51" s="40">
        <v>50</v>
      </c>
      <c r="J51" s="40">
        <v>75</v>
      </c>
      <c r="K51" s="40">
        <v>100</v>
      </c>
      <c r="L51" s="423">
        <v>1</v>
      </c>
      <c r="M51" s="40">
        <v>5</v>
      </c>
      <c r="N51" s="40">
        <v>12.5</v>
      </c>
      <c r="O51" s="40">
        <v>20</v>
      </c>
      <c r="P51" s="423">
        <v>1</v>
      </c>
      <c r="Q51" s="40">
        <v>5</v>
      </c>
      <c r="R51" s="40">
        <v>12.5</v>
      </c>
      <c r="S51" s="481">
        <v>20</v>
      </c>
      <c r="T51" s="41"/>
      <c r="U51" s="42">
        <f t="shared" si="5"/>
        <v>0.83333333333333337</v>
      </c>
      <c r="V51" s="43">
        <f t="shared" si="5"/>
        <v>0.75</v>
      </c>
      <c r="W51" s="44">
        <f t="shared" si="5"/>
        <v>0.7142857142857143</v>
      </c>
      <c r="X51" s="42">
        <f t="shared" si="6"/>
        <v>8.3333333333333329E-2</v>
      </c>
      <c r="Y51" s="43">
        <f t="shared" si="6"/>
        <v>0.125</v>
      </c>
      <c r="Z51" s="44">
        <f t="shared" si="6"/>
        <v>0.14285714285714285</v>
      </c>
      <c r="AA51" s="42">
        <f t="shared" si="7"/>
        <v>8.3333333333333329E-2</v>
      </c>
      <c r="AB51" s="43">
        <f t="shared" si="7"/>
        <v>0.125</v>
      </c>
      <c r="AC51" s="44">
        <f t="shared" si="7"/>
        <v>0.14285714285714285</v>
      </c>
      <c r="AD51" s="45"/>
      <c r="AE51" s="45"/>
      <c r="AF51" s="45"/>
    </row>
    <row r="52" spans="1:32" x14ac:dyDescent="0.35">
      <c r="A52" s="843" t="s">
        <v>312</v>
      </c>
      <c r="B52" s="801" t="s">
        <v>313</v>
      </c>
      <c r="C52" s="844" t="s">
        <v>314</v>
      </c>
      <c r="D52" s="807">
        <v>0.01</v>
      </c>
      <c r="E52" s="470" t="s">
        <v>315</v>
      </c>
      <c r="F52" s="59" t="s">
        <v>316</v>
      </c>
      <c r="G52" s="39">
        <v>8.0000000000000002E-3</v>
      </c>
      <c r="H52" s="846" t="s">
        <v>301</v>
      </c>
      <c r="I52" s="797">
        <v>50</v>
      </c>
      <c r="J52" s="797">
        <v>75</v>
      </c>
      <c r="K52" s="797">
        <v>100</v>
      </c>
      <c r="L52" s="829">
        <v>1</v>
      </c>
      <c r="M52" s="797">
        <v>5</v>
      </c>
      <c r="N52" s="797">
        <v>12.5</v>
      </c>
      <c r="O52" s="797">
        <v>20</v>
      </c>
      <c r="P52" s="796">
        <v>2</v>
      </c>
      <c r="Q52" s="797">
        <v>20</v>
      </c>
      <c r="R52" s="797">
        <v>25</v>
      </c>
      <c r="S52" s="823">
        <v>30</v>
      </c>
      <c r="T52" s="848"/>
      <c r="U52" s="820">
        <f t="shared" si="5"/>
        <v>0.66666666666666663</v>
      </c>
      <c r="V52" s="811">
        <f t="shared" si="5"/>
        <v>0.66666666666666663</v>
      </c>
      <c r="W52" s="814">
        <f>K52/(K52+O52+S52)</f>
        <v>0.66666666666666663</v>
      </c>
      <c r="X52" s="820">
        <f t="shared" si="6"/>
        <v>6.6666666666666666E-2</v>
      </c>
      <c r="Y52" s="811">
        <f t="shared" si="6"/>
        <v>0.1111111111111111</v>
      </c>
      <c r="Z52" s="814">
        <f t="shared" si="6"/>
        <v>0.13333333333333333</v>
      </c>
      <c r="AA52" s="820">
        <f t="shared" si="7"/>
        <v>0.26666666666666666</v>
      </c>
      <c r="AB52" s="811">
        <f t="shared" si="7"/>
        <v>0.22222222222222221</v>
      </c>
      <c r="AC52" s="814">
        <f t="shared" si="7"/>
        <v>0.2</v>
      </c>
      <c r="AD52" s="45"/>
      <c r="AE52" s="45"/>
      <c r="AF52" s="45"/>
    </row>
    <row r="53" spans="1:32" x14ac:dyDescent="0.35">
      <c r="A53" s="843"/>
      <c r="B53" s="803"/>
      <c r="C53" s="845"/>
      <c r="D53" s="809"/>
      <c r="E53" s="470" t="s">
        <v>317</v>
      </c>
      <c r="F53" s="47" t="s">
        <v>318</v>
      </c>
      <c r="G53" s="39">
        <v>1E-3</v>
      </c>
      <c r="H53" s="846"/>
      <c r="I53" s="799"/>
      <c r="J53" s="799"/>
      <c r="K53" s="799"/>
      <c r="L53" s="829"/>
      <c r="M53" s="799"/>
      <c r="N53" s="799"/>
      <c r="O53" s="799"/>
      <c r="P53" s="796"/>
      <c r="Q53" s="799"/>
      <c r="R53" s="799"/>
      <c r="S53" s="825"/>
      <c r="T53" s="848"/>
      <c r="U53" s="822"/>
      <c r="V53" s="813"/>
      <c r="W53" s="816"/>
      <c r="X53" s="822"/>
      <c r="Y53" s="813"/>
      <c r="Z53" s="816"/>
      <c r="AA53" s="822"/>
      <c r="AB53" s="813"/>
      <c r="AC53" s="816"/>
      <c r="AD53" s="45"/>
      <c r="AE53" s="45"/>
      <c r="AF53" s="45"/>
    </row>
    <row r="54" spans="1:32" ht="21" x14ac:dyDescent="0.35">
      <c r="A54" s="68" t="s">
        <v>319</v>
      </c>
      <c r="B54" s="475" t="s">
        <v>320</v>
      </c>
      <c r="C54" s="473" t="s">
        <v>321</v>
      </c>
      <c r="D54" s="471">
        <v>0.01</v>
      </c>
      <c r="E54" s="470" t="s">
        <v>322</v>
      </c>
      <c r="F54" s="47" t="s">
        <v>323</v>
      </c>
      <c r="G54" s="39">
        <v>1.2999999999999999E-2</v>
      </c>
      <c r="H54" s="480" t="s">
        <v>301</v>
      </c>
      <c r="I54" s="40">
        <v>50</v>
      </c>
      <c r="J54" s="40">
        <v>75</v>
      </c>
      <c r="K54" s="40">
        <v>100</v>
      </c>
      <c r="L54" s="40">
        <v>0</v>
      </c>
      <c r="M54" s="40">
        <v>0</v>
      </c>
      <c r="N54" s="40">
        <v>2.5</v>
      </c>
      <c r="O54" s="40">
        <v>5</v>
      </c>
      <c r="P54" s="424">
        <v>2</v>
      </c>
      <c r="Q54" s="40">
        <v>20</v>
      </c>
      <c r="R54" s="40">
        <v>25</v>
      </c>
      <c r="S54" s="481">
        <v>30</v>
      </c>
      <c r="T54" s="60"/>
      <c r="U54" s="42">
        <f t="shared" si="5"/>
        <v>0.7142857142857143</v>
      </c>
      <c r="V54" s="43">
        <f t="shared" si="5"/>
        <v>0.73170731707317072</v>
      </c>
      <c r="W54" s="44">
        <f t="shared" si="5"/>
        <v>0.7407407407407407</v>
      </c>
      <c r="X54" s="42">
        <f t="shared" si="6"/>
        <v>0</v>
      </c>
      <c r="Y54" s="43">
        <f t="shared" si="6"/>
        <v>2.4390243902439025E-2</v>
      </c>
      <c r="Z54" s="44">
        <f t="shared" si="6"/>
        <v>3.7037037037037035E-2</v>
      </c>
      <c r="AA54" s="42">
        <f t="shared" si="7"/>
        <v>0.2857142857142857</v>
      </c>
      <c r="AB54" s="43">
        <f t="shared" si="7"/>
        <v>0.24390243902439024</v>
      </c>
      <c r="AC54" s="44">
        <f t="shared" si="7"/>
        <v>0.22222222222222221</v>
      </c>
      <c r="AD54" s="45"/>
      <c r="AE54" s="45"/>
      <c r="AF54" s="45"/>
    </row>
    <row r="55" spans="1:32" x14ac:dyDescent="0.35">
      <c r="A55" s="847" t="s">
        <v>324</v>
      </c>
      <c r="B55" s="801" t="s">
        <v>325</v>
      </c>
      <c r="C55" s="804" t="s">
        <v>326</v>
      </c>
      <c r="D55" s="807">
        <v>5.2999999999999999E-2</v>
      </c>
      <c r="E55" s="472" t="s">
        <v>327</v>
      </c>
      <c r="F55" s="47" t="s">
        <v>328</v>
      </c>
      <c r="G55" s="39">
        <v>7.0000000000000001E-3</v>
      </c>
      <c r="H55" s="810">
        <v>4</v>
      </c>
      <c r="I55" s="797">
        <v>50</v>
      </c>
      <c r="J55" s="797">
        <v>75</v>
      </c>
      <c r="K55" s="797">
        <v>100</v>
      </c>
      <c r="L55" s="829">
        <v>1</v>
      </c>
      <c r="M55" s="797">
        <v>5</v>
      </c>
      <c r="N55" s="797">
        <v>12.5</v>
      </c>
      <c r="O55" s="797">
        <v>20</v>
      </c>
      <c r="P55" s="829">
        <v>1</v>
      </c>
      <c r="Q55" s="797">
        <v>5</v>
      </c>
      <c r="R55" s="797">
        <v>12.5</v>
      </c>
      <c r="S55" s="823">
        <v>20</v>
      </c>
      <c r="T55" s="41"/>
      <c r="U55" s="820">
        <f t="shared" si="5"/>
        <v>0.83333333333333337</v>
      </c>
      <c r="V55" s="811">
        <f t="shared" si="5"/>
        <v>0.75</v>
      </c>
      <c r="W55" s="814">
        <f t="shared" si="5"/>
        <v>0.7142857142857143</v>
      </c>
      <c r="X55" s="820">
        <f t="shared" si="6"/>
        <v>8.3333333333333329E-2</v>
      </c>
      <c r="Y55" s="811">
        <f t="shared" si="6"/>
        <v>0.125</v>
      </c>
      <c r="Z55" s="814">
        <f t="shared" si="6"/>
        <v>0.14285714285714285</v>
      </c>
      <c r="AA55" s="820">
        <f t="shared" si="7"/>
        <v>8.3333333333333329E-2</v>
      </c>
      <c r="AB55" s="811">
        <f t="shared" si="7"/>
        <v>0.125</v>
      </c>
      <c r="AC55" s="814">
        <f t="shared" si="7"/>
        <v>0.14285714285714285</v>
      </c>
      <c r="AD55" s="45"/>
      <c r="AE55" s="45"/>
      <c r="AF55" s="45"/>
    </row>
    <row r="56" spans="1:32" x14ac:dyDescent="0.35">
      <c r="A56" s="847"/>
      <c r="B56" s="802"/>
      <c r="C56" s="805"/>
      <c r="D56" s="808"/>
      <c r="E56" s="472" t="s">
        <v>329</v>
      </c>
      <c r="F56" s="47" t="s">
        <v>330</v>
      </c>
      <c r="G56" s="39">
        <v>6.2E-2</v>
      </c>
      <c r="H56" s="810"/>
      <c r="I56" s="798"/>
      <c r="J56" s="798"/>
      <c r="K56" s="798"/>
      <c r="L56" s="829"/>
      <c r="M56" s="798"/>
      <c r="N56" s="798"/>
      <c r="O56" s="798"/>
      <c r="P56" s="829"/>
      <c r="Q56" s="798"/>
      <c r="R56" s="798"/>
      <c r="S56" s="824"/>
      <c r="T56" s="41"/>
      <c r="U56" s="821"/>
      <c r="V56" s="812"/>
      <c r="W56" s="815"/>
      <c r="X56" s="821"/>
      <c r="Y56" s="812"/>
      <c r="Z56" s="815"/>
      <c r="AA56" s="821"/>
      <c r="AB56" s="812"/>
      <c r="AC56" s="815"/>
      <c r="AD56" s="45"/>
      <c r="AE56" s="45"/>
      <c r="AF56" s="45"/>
    </row>
    <row r="57" spans="1:32" x14ac:dyDescent="0.35">
      <c r="A57" s="847"/>
      <c r="B57" s="802"/>
      <c r="C57" s="805"/>
      <c r="D57" s="808"/>
      <c r="E57" s="472" t="s">
        <v>331</v>
      </c>
      <c r="F57" s="59" t="s">
        <v>332</v>
      </c>
      <c r="G57" s="39">
        <v>1E-3</v>
      </c>
      <c r="H57" s="810"/>
      <c r="I57" s="798"/>
      <c r="J57" s="798"/>
      <c r="K57" s="798"/>
      <c r="L57" s="829"/>
      <c r="M57" s="798"/>
      <c r="N57" s="798"/>
      <c r="O57" s="798"/>
      <c r="P57" s="829"/>
      <c r="Q57" s="798"/>
      <c r="R57" s="798"/>
      <c r="S57" s="824"/>
      <c r="T57" s="41"/>
      <c r="U57" s="821"/>
      <c r="V57" s="812"/>
      <c r="W57" s="815"/>
      <c r="X57" s="821"/>
      <c r="Y57" s="812"/>
      <c r="Z57" s="815"/>
      <c r="AA57" s="821"/>
      <c r="AB57" s="812"/>
      <c r="AC57" s="815"/>
      <c r="AD57" s="45"/>
      <c r="AE57" s="45"/>
      <c r="AF57" s="45"/>
    </row>
    <row r="58" spans="1:32" x14ac:dyDescent="0.35">
      <c r="A58" s="847"/>
      <c r="B58" s="803"/>
      <c r="C58" s="806"/>
      <c r="D58" s="809"/>
      <c r="E58" s="472" t="s">
        <v>333</v>
      </c>
      <c r="F58" s="47" t="s">
        <v>334</v>
      </c>
      <c r="G58" s="39">
        <v>2E-3</v>
      </c>
      <c r="H58" s="810"/>
      <c r="I58" s="799"/>
      <c r="J58" s="799"/>
      <c r="K58" s="799"/>
      <c r="L58" s="829"/>
      <c r="M58" s="799"/>
      <c r="N58" s="799"/>
      <c r="O58" s="799"/>
      <c r="P58" s="829"/>
      <c r="Q58" s="799"/>
      <c r="R58" s="799"/>
      <c r="S58" s="825"/>
      <c r="T58" s="41"/>
      <c r="U58" s="822"/>
      <c r="V58" s="813"/>
      <c r="W58" s="816"/>
      <c r="X58" s="822"/>
      <c r="Y58" s="813"/>
      <c r="Z58" s="816"/>
      <c r="AA58" s="822"/>
      <c r="AB58" s="813"/>
      <c r="AC58" s="816"/>
      <c r="AD58" s="45"/>
      <c r="AE58" s="45"/>
      <c r="AF58" s="45"/>
    </row>
    <row r="59" spans="1:32" x14ac:dyDescent="0.35">
      <c r="A59" s="847" t="s">
        <v>335</v>
      </c>
      <c r="B59" s="849" t="s">
        <v>336</v>
      </c>
      <c r="C59" s="817" t="s">
        <v>337</v>
      </c>
      <c r="D59" s="807">
        <v>0.01</v>
      </c>
      <c r="E59" s="472" t="s">
        <v>338</v>
      </c>
      <c r="F59" s="47" t="s">
        <v>339</v>
      </c>
      <c r="G59" s="39">
        <v>2E-3</v>
      </c>
      <c r="H59" s="810">
        <v>4</v>
      </c>
      <c r="I59" s="797">
        <v>50</v>
      </c>
      <c r="J59" s="797">
        <v>75</v>
      </c>
      <c r="K59" s="797">
        <v>100</v>
      </c>
      <c r="L59" s="796">
        <v>2</v>
      </c>
      <c r="M59" s="797">
        <v>20</v>
      </c>
      <c r="N59" s="797">
        <v>25</v>
      </c>
      <c r="O59" s="797">
        <v>30</v>
      </c>
      <c r="P59" s="796">
        <v>2</v>
      </c>
      <c r="Q59" s="797">
        <v>20</v>
      </c>
      <c r="R59" s="797">
        <v>25</v>
      </c>
      <c r="S59" s="823">
        <v>30</v>
      </c>
      <c r="T59" s="41"/>
      <c r="U59" s="820">
        <f t="shared" si="5"/>
        <v>0.55555555555555558</v>
      </c>
      <c r="V59" s="811">
        <f t="shared" si="5"/>
        <v>0.6</v>
      </c>
      <c r="W59" s="814">
        <f t="shared" si="5"/>
        <v>0.625</v>
      </c>
      <c r="X59" s="820">
        <f t="shared" si="6"/>
        <v>0.22222222222222221</v>
      </c>
      <c r="Y59" s="811">
        <f t="shared" si="6"/>
        <v>0.2</v>
      </c>
      <c r="Z59" s="814">
        <f t="shared" si="6"/>
        <v>0.1875</v>
      </c>
      <c r="AA59" s="820">
        <f t="shared" si="7"/>
        <v>0.22222222222222221</v>
      </c>
      <c r="AB59" s="811">
        <f t="shared" si="7"/>
        <v>0.2</v>
      </c>
      <c r="AC59" s="814">
        <f t="shared" si="7"/>
        <v>0.1875</v>
      </c>
      <c r="AD59" s="45"/>
      <c r="AE59" s="45"/>
      <c r="AF59" s="45"/>
    </row>
    <row r="60" spans="1:32" x14ac:dyDescent="0.35">
      <c r="A60" s="847"/>
      <c r="B60" s="850"/>
      <c r="C60" s="818"/>
      <c r="D60" s="808"/>
      <c r="E60" s="472" t="s">
        <v>340</v>
      </c>
      <c r="F60" s="47" t="s">
        <v>341</v>
      </c>
      <c r="G60" s="53">
        <v>2.0000000000000001E-4</v>
      </c>
      <c r="H60" s="810"/>
      <c r="I60" s="798"/>
      <c r="J60" s="798"/>
      <c r="K60" s="798"/>
      <c r="L60" s="796"/>
      <c r="M60" s="798"/>
      <c r="N60" s="798"/>
      <c r="O60" s="798"/>
      <c r="P60" s="796"/>
      <c r="Q60" s="798"/>
      <c r="R60" s="798"/>
      <c r="S60" s="824"/>
      <c r="T60" s="41"/>
      <c r="U60" s="821"/>
      <c r="V60" s="812"/>
      <c r="W60" s="815"/>
      <c r="X60" s="821"/>
      <c r="Y60" s="812"/>
      <c r="Z60" s="815"/>
      <c r="AA60" s="821"/>
      <c r="AB60" s="812"/>
      <c r="AC60" s="815"/>
      <c r="AD60" s="45"/>
      <c r="AE60" s="45"/>
      <c r="AF60" s="45"/>
    </row>
    <row r="61" spans="1:32" x14ac:dyDescent="0.35">
      <c r="A61" s="847"/>
      <c r="B61" s="850"/>
      <c r="C61" s="818"/>
      <c r="D61" s="808"/>
      <c r="E61" s="472" t="s">
        <v>342</v>
      </c>
      <c r="F61" s="47" t="s">
        <v>343</v>
      </c>
      <c r="G61" s="53">
        <v>2.9999999999999997E-4</v>
      </c>
      <c r="H61" s="810"/>
      <c r="I61" s="798"/>
      <c r="J61" s="798"/>
      <c r="K61" s="798"/>
      <c r="L61" s="796"/>
      <c r="M61" s="798"/>
      <c r="N61" s="798"/>
      <c r="O61" s="798"/>
      <c r="P61" s="796"/>
      <c r="Q61" s="798"/>
      <c r="R61" s="798"/>
      <c r="S61" s="824"/>
      <c r="T61" s="41"/>
      <c r="U61" s="821"/>
      <c r="V61" s="812"/>
      <c r="W61" s="815"/>
      <c r="X61" s="821"/>
      <c r="Y61" s="812"/>
      <c r="Z61" s="815"/>
      <c r="AA61" s="821"/>
      <c r="AB61" s="812"/>
      <c r="AC61" s="815"/>
      <c r="AD61" s="45"/>
      <c r="AE61" s="45"/>
      <c r="AF61" s="45"/>
    </row>
    <row r="62" spans="1:32" x14ac:dyDescent="0.35">
      <c r="A62" s="847"/>
      <c r="B62" s="850"/>
      <c r="C62" s="818"/>
      <c r="D62" s="808"/>
      <c r="E62" s="472" t="s">
        <v>344</v>
      </c>
      <c r="F62" s="47" t="s">
        <v>345</v>
      </c>
      <c r="G62" s="39">
        <v>1E-3</v>
      </c>
      <c r="H62" s="810"/>
      <c r="I62" s="798"/>
      <c r="J62" s="798"/>
      <c r="K62" s="798"/>
      <c r="L62" s="796"/>
      <c r="M62" s="798"/>
      <c r="N62" s="798"/>
      <c r="O62" s="798"/>
      <c r="P62" s="796"/>
      <c r="Q62" s="798"/>
      <c r="R62" s="798"/>
      <c r="S62" s="824"/>
      <c r="T62" s="41"/>
      <c r="U62" s="821"/>
      <c r="V62" s="812"/>
      <c r="W62" s="815"/>
      <c r="X62" s="821"/>
      <c r="Y62" s="812"/>
      <c r="Z62" s="815"/>
      <c r="AA62" s="821"/>
      <c r="AB62" s="812"/>
      <c r="AC62" s="815"/>
      <c r="AD62" s="45"/>
      <c r="AE62" s="45"/>
      <c r="AF62" s="45"/>
    </row>
    <row r="63" spans="1:32" ht="21" x14ac:dyDescent="0.35">
      <c r="A63" s="847"/>
      <c r="B63" s="850"/>
      <c r="C63" s="818"/>
      <c r="D63" s="808"/>
      <c r="E63" s="472" t="s">
        <v>346</v>
      </c>
      <c r="F63" s="47" t="s">
        <v>347</v>
      </c>
      <c r="G63" s="39">
        <v>1E-3</v>
      </c>
      <c r="H63" s="810"/>
      <c r="I63" s="798"/>
      <c r="J63" s="798"/>
      <c r="K63" s="798"/>
      <c r="L63" s="796"/>
      <c r="M63" s="798"/>
      <c r="N63" s="798"/>
      <c r="O63" s="798"/>
      <c r="P63" s="796"/>
      <c r="Q63" s="798"/>
      <c r="R63" s="798"/>
      <c r="S63" s="824"/>
      <c r="T63" s="41"/>
      <c r="U63" s="821"/>
      <c r="V63" s="812"/>
      <c r="W63" s="815"/>
      <c r="X63" s="821"/>
      <c r="Y63" s="812"/>
      <c r="Z63" s="815"/>
      <c r="AA63" s="821"/>
      <c r="AB63" s="812"/>
      <c r="AC63" s="815"/>
      <c r="AD63" s="45"/>
      <c r="AE63" s="45"/>
      <c r="AF63" s="45"/>
    </row>
    <row r="64" spans="1:32" x14ac:dyDescent="0.35">
      <c r="A64" s="847"/>
      <c r="B64" s="850"/>
      <c r="C64" s="818"/>
      <c r="D64" s="808"/>
      <c r="E64" s="472" t="s">
        <v>348</v>
      </c>
      <c r="F64" s="47" t="s">
        <v>349</v>
      </c>
      <c r="G64" s="53">
        <v>1E-4</v>
      </c>
      <c r="H64" s="810"/>
      <c r="I64" s="798"/>
      <c r="J64" s="798"/>
      <c r="K64" s="798"/>
      <c r="L64" s="796"/>
      <c r="M64" s="798"/>
      <c r="N64" s="798"/>
      <c r="O64" s="798"/>
      <c r="P64" s="796"/>
      <c r="Q64" s="798"/>
      <c r="R64" s="798"/>
      <c r="S64" s="824"/>
      <c r="T64" s="41"/>
      <c r="U64" s="821"/>
      <c r="V64" s="812"/>
      <c r="W64" s="815"/>
      <c r="X64" s="821"/>
      <c r="Y64" s="812"/>
      <c r="Z64" s="815"/>
      <c r="AA64" s="821"/>
      <c r="AB64" s="812"/>
      <c r="AC64" s="815"/>
      <c r="AD64" s="45"/>
      <c r="AE64" s="45"/>
      <c r="AF64" s="45"/>
    </row>
    <row r="65" spans="1:32" x14ac:dyDescent="0.35">
      <c r="A65" s="847"/>
      <c r="B65" s="851"/>
      <c r="C65" s="819"/>
      <c r="D65" s="809"/>
      <c r="E65" s="472" t="s">
        <v>350</v>
      </c>
      <c r="F65" s="47" t="s">
        <v>351</v>
      </c>
      <c r="G65" s="53">
        <v>4.0000000000000002E-4</v>
      </c>
      <c r="H65" s="810"/>
      <c r="I65" s="799"/>
      <c r="J65" s="799"/>
      <c r="K65" s="799"/>
      <c r="L65" s="796"/>
      <c r="M65" s="799"/>
      <c r="N65" s="799"/>
      <c r="O65" s="799"/>
      <c r="P65" s="796"/>
      <c r="Q65" s="799"/>
      <c r="R65" s="799"/>
      <c r="S65" s="825"/>
      <c r="T65" s="41"/>
      <c r="U65" s="822"/>
      <c r="V65" s="813"/>
      <c r="W65" s="816"/>
      <c r="X65" s="822"/>
      <c r="Y65" s="813"/>
      <c r="Z65" s="816"/>
      <c r="AA65" s="822"/>
      <c r="AB65" s="813"/>
      <c r="AC65" s="816"/>
      <c r="AD65" s="45"/>
      <c r="AE65" s="45"/>
      <c r="AF65" s="45"/>
    </row>
    <row r="66" spans="1:32" ht="31.5" x14ac:dyDescent="0.35">
      <c r="A66" s="69" t="s">
        <v>352</v>
      </c>
      <c r="B66" s="470" t="s">
        <v>353</v>
      </c>
      <c r="C66" s="47" t="s">
        <v>354</v>
      </c>
      <c r="D66" s="471">
        <v>0.01</v>
      </c>
      <c r="E66" s="209" t="s">
        <v>355</v>
      </c>
      <c r="F66" s="65" t="s">
        <v>356</v>
      </c>
      <c r="G66" s="64">
        <v>8.9999999999999993E-3</v>
      </c>
      <c r="H66" s="480">
        <v>4</v>
      </c>
      <c r="I66" s="40">
        <v>50</v>
      </c>
      <c r="J66" s="40">
        <v>75</v>
      </c>
      <c r="K66" s="40">
        <v>100</v>
      </c>
      <c r="L66" s="424">
        <v>2</v>
      </c>
      <c r="M66" s="40">
        <v>20</v>
      </c>
      <c r="N66" s="40">
        <v>25</v>
      </c>
      <c r="O66" s="40">
        <v>30</v>
      </c>
      <c r="P66" s="424">
        <v>2</v>
      </c>
      <c r="Q66" s="40">
        <v>20</v>
      </c>
      <c r="R66" s="40">
        <v>25</v>
      </c>
      <c r="S66" s="481">
        <v>30</v>
      </c>
      <c r="T66" s="41"/>
      <c r="U66" s="42">
        <f t="shared" si="5"/>
        <v>0.55555555555555558</v>
      </c>
      <c r="V66" s="43">
        <f t="shared" si="5"/>
        <v>0.6</v>
      </c>
      <c r="W66" s="44">
        <f t="shared" si="5"/>
        <v>0.625</v>
      </c>
      <c r="X66" s="42">
        <f t="shared" si="6"/>
        <v>0.22222222222222221</v>
      </c>
      <c r="Y66" s="43">
        <f t="shared" si="6"/>
        <v>0.2</v>
      </c>
      <c r="Z66" s="44">
        <f t="shared" si="6"/>
        <v>0.1875</v>
      </c>
      <c r="AA66" s="42">
        <f t="shared" si="7"/>
        <v>0.22222222222222221</v>
      </c>
      <c r="AB66" s="43">
        <f t="shared" si="7"/>
        <v>0.2</v>
      </c>
      <c r="AC66" s="44">
        <f t="shared" si="7"/>
        <v>0.1875</v>
      </c>
      <c r="AD66" s="45"/>
      <c r="AE66" s="45"/>
      <c r="AF66" s="45"/>
    </row>
    <row r="67" spans="1:32" ht="21.5" thickBot="1" x14ac:dyDescent="0.4">
      <c r="A67" s="70" t="s">
        <v>357</v>
      </c>
      <c r="B67" s="476" t="s">
        <v>358</v>
      </c>
      <c r="C67" s="477" t="s">
        <v>359</v>
      </c>
      <c r="D67" s="478">
        <v>1.4E-2</v>
      </c>
      <c r="E67" s="476" t="s">
        <v>360</v>
      </c>
      <c r="F67" s="71" t="s">
        <v>361</v>
      </c>
      <c r="G67" s="479">
        <v>2.4E-2</v>
      </c>
      <c r="H67" s="487">
        <v>4</v>
      </c>
      <c r="I67" s="426">
        <v>70</v>
      </c>
      <c r="J67" s="426">
        <v>85</v>
      </c>
      <c r="K67" s="426">
        <v>100</v>
      </c>
      <c r="L67" s="72">
        <v>0</v>
      </c>
      <c r="M67" s="426">
        <v>0</v>
      </c>
      <c r="N67" s="426">
        <v>0</v>
      </c>
      <c r="O67" s="426">
        <v>0</v>
      </c>
      <c r="P67" s="73">
        <v>1</v>
      </c>
      <c r="Q67" s="417">
        <v>5</v>
      </c>
      <c r="R67" s="417">
        <v>12.5</v>
      </c>
      <c r="S67" s="488">
        <v>20</v>
      </c>
      <c r="T67" s="60"/>
      <c r="U67" s="74">
        <f t="shared" si="5"/>
        <v>0.93333333333333335</v>
      </c>
      <c r="V67" s="75">
        <f t="shared" si="5"/>
        <v>0.87179487179487181</v>
      </c>
      <c r="W67" s="76">
        <f t="shared" si="5"/>
        <v>0.83333333333333337</v>
      </c>
      <c r="X67" s="74">
        <f t="shared" si="6"/>
        <v>0</v>
      </c>
      <c r="Y67" s="75">
        <f t="shared" si="6"/>
        <v>0</v>
      </c>
      <c r="Z67" s="76">
        <f t="shared" si="6"/>
        <v>0</v>
      </c>
      <c r="AA67" s="74">
        <f t="shared" si="7"/>
        <v>6.6666666666666666E-2</v>
      </c>
      <c r="AB67" s="75">
        <f t="shared" si="7"/>
        <v>0.12820512820512819</v>
      </c>
      <c r="AC67" s="76">
        <f t="shared" si="7"/>
        <v>0.16666666666666666</v>
      </c>
      <c r="AD67" s="45"/>
      <c r="AE67" s="45"/>
      <c r="AF67" s="45"/>
    </row>
    <row r="68" spans="1:32" s="81" customFormat="1" ht="11" thickBot="1" x14ac:dyDescent="0.4">
      <c r="A68" s="77"/>
      <c r="B68" s="78"/>
      <c r="C68" s="79"/>
      <c r="D68" s="78"/>
      <c r="E68" s="78"/>
      <c r="F68" s="80"/>
      <c r="G68" s="503" t="s">
        <v>362</v>
      </c>
      <c r="H68" s="504"/>
      <c r="I68" s="505">
        <f>AVERAGE(I6:I67)</f>
        <v>42.6</v>
      </c>
      <c r="J68" s="506">
        <f t="shared" ref="J68:S68" si="8">AVERAGE(J6:J67)</f>
        <v>63.1</v>
      </c>
      <c r="K68" s="505">
        <f t="shared" si="8"/>
        <v>83.6</v>
      </c>
      <c r="L68" s="505"/>
      <c r="M68" s="505">
        <f t="shared" si="8"/>
        <v>15</v>
      </c>
      <c r="N68" s="506">
        <f t="shared" si="8"/>
        <v>22</v>
      </c>
      <c r="O68" s="505">
        <f t="shared" si="8"/>
        <v>29</v>
      </c>
      <c r="P68" s="505"/>
      <c r="Q68" s="505">
        <f t="shared" si="8"/>
        <v>20.2</v>
      </c>
      <c r="R68" s="506">
        <f>AVERAGE(R6:R67)</f>
        <v>28.7</v>
      </c>
      <c r="S68" s="507">
        <f t="shared" si="8"/>
        <v>37.200000000000003</v>
      </c>
      <c r="T68" s="41"/>
      <c r="U68" s="508">
        <f t="shared" ref="U68:W68" si="9">I68/(I68+M68+Q68)</f>
        <v>0.54755784061696666</v>
      </c>
      <c r="V68" s="509">
        <f t="shared" si="9"/>
        <v>0.55448154657293502</v>
      </c>
      <c r="W68" s="510">
        <f t="shared" si="9"/>
        <v>0.5580774365821094</v>
      </c>
      <c r="X68" s="508">
        <f t="shared" ref="X68:Z68" si="10">M68/(I68+M68+Q68)</f>
        <v>0.19280205655526994</v>
      </c>
      <c r="Y68" s="509">
        <f t="shared" si="10"/>
        <v>0.19332161687170474</v>
      </c>
      <c r="Z68" s="511">
        <f t="shared" si="10"/>
        <v>0.19359145527369825</v>
      </c>
      <c r="AA68" s="512">
        <f t="shared" ref="AA68" si="11">Q68/(I68+M68+Q68)</f>
        <v>0.25964010282776351</v>
      </c>
      <c r="AB68" s="509">
        <f>R68/(J68+N68+R68)</f>
        <v>0.25219683655536029</v>
      </c>
      <c r="AC68" s="511">
        <f t="shared" ref="AC68" si="12">S68/(K68+O68+S68)</f>
        <v>0.24833110814419226</v>
      </c>
      <c r="AD68" s="45"/>
      <c r="AE68" s="45"/>
      <c r="AF68" s="45"/>
    </row>
    <row r="71" spans="1:32" ht="10.5" customHeight="1" x14ac:dyDescent="0.35">
      <c r="H71" s="502" t="s">
        <v>166</v>
      </c>
      <c r="I71" s="852" t="s">
        <v>167</v>
      </c>
      <c r="J71" s="852"/>
      <c r="K71" s="852"/>
      <c r="L71" s="863" t="s">
        <v>168</v>
      </c>
      <c r="M71" s="864"/>
      <c r="N71" s="864"/>
      <c r="O71" s="864"/>
      <c r="P71" s="865"/>
      <c r="Q71" s="498"/>
      <c r="R71" s="498"/>
      <c r="S71" s="498"/>
      <c r="T71" s="499"/>
    </row>
    <row r="72" spans="1:32" ht="10.5" customHeight="1" x14ac:dyDescent="0.35">
      <c r="H72" s="46">
        <v>0</v>
      </c>
      <c r="I72" s="853" t="s">
        <v>173</v>
      </c>
      <c r="J72" s="853"/>
      <c r="K72" s="853"/>
      <c r="L72" s="858" t="s">
        <v>174</v>
      </c>
      <c r="M72" s="858"/>
      <c r="N72" s="858"/>
      <c r="O72" s="858"/>
      <c r="P72" s="858"/>
      <c r="Q72" s="500"/>
      <c r="R72" s="500"/>
      <c r="S72" s="500"/>
      <c r="T72" s="499"/>
    </row>
    <row r="73" spans="1:32" ht="10.5" customHeight="1" x14ac:dyDescent="0.35">
      <c r="H73" s="48">
        <v>1</v>
      </c>
      <c r="I73" s="854" t="s">
        <v>180</v>
      </c>
      <c r="J73" s="854"/>
      <c r="K73" s="854"/>
      <c r="L73" s="859" t="s">
        <v>181</v>
      </c>
      <c r="M73" s="859"/>
      <c r="N73" s="859"/>
      <c r="O73" s="859"/>
      <c r="P73" s="859"/>
      <c r="Q73" s="500"/>
      <c r="R73" s="500"/>
      <c r="S73" s="500"/>
      <c r="T73" s="499"/>
    </row>
    <row r="74" spans="1:32" ht="10.5" customHeight="1" x14ac:dyDescent="0.35">
      <c r="H74" s="49">
        <v>2</v>
      </c>
      <c r="I74" s="855" t="s">
        <v>184</v>
      </c>
      <c r="J74" s="855"/>
      <c r="K74" s="855"/>
      <c r="L74" s="860" t="s">
        <v>185</v>
      </c>
      <c r="M74" s="860"/>
      <c r="N74" s="860"/>
      <c r="O74" s="860"/>
      <c r="P74" s="860"/>
      <c r="Q74" s="500"/>
      <c r="R74" s="500"/>
      <c r="S74" s="500"/>
      <c r="T74" s="499"/>
    </row>
    <row r="75" spans="1:32" ht="10.5" customHeight="1" x14ac:dyDescent="0.35">
      <c r="H75" s="50">
        <v>3</v>
      </c>
      <c r="I75" s="856" t="s">
        <v>188</v>
      </c>
      <c r="J75" s="856"/>
      <c r="K75" s="856"/>
      <c r="L75" s="861" t="s">
        <v>189</v>
      </c>
      <c r="M75" s="861"/>
      <c r="N75" s="861"/>
      <c r="O75" s="861"/>
      <c r="P75" s="861"/>
      <c r="Q75" s="500"/>
      <c r="R75" s="500"/>
      <c r="S75" s="500"/>
      <c r="T75" s="499"/>
    </row>
    <row r="76" spans="1:32" ht="10.5" customHeight="1" x14ac:dyDescent="0.35">
      <c r="H76" s="52">
        <v>4</v>
      </c>
      <c r="I76" s="857" t="s">
        <v>192</v>
      </c>
      <c r="J76" s="857"/>
      <c r="K76" s="857"/>
      <c r="L76" s="862" t="s">
        <v>193</v>
      </c>
      <c r="M76" s="862"/>
      <c r="N76" s="862"/>
      <c r="O76" s="862"/>
      <c r="P76" s="862"/>
      <c r="Q76" s="500"/>
      <c r="R76" s="500"/>
      <c r="S76" s="500"/>
      <c r="T76" s="499"/>
    </row>
    <row r="77" spans="1:32" x14ac:dyDescent="0.35">
      <c r="J77" s="501"/>
      <c r="K77" s="501"/>
      <c r="L77" s="501"/>
      <c r="M77" s="501"/>
      <c r="N77" s="501"/>
      <c r="O77" s="501"/>
      <c r="P77" s="501"/>
      <c r="Q77" s="501"/>
      <c r="R77" s="501"/>
      <c r="S77" s="501"/>
      <c r="T77" s="499"/>
    </row>
  </sheetData>
  <mergeCells count="309">
    <mergeCell ref="I71:K71"/>
    <mergeCell ref="I72:K72"/>
    <mergeCell ref="I73:K73"/>
    <mergeCell ref="I74:K74"/>
    <mergeCell ref="I75:K75"/>
    <mergeCell ref="I76:K76"/>
    <mergeCell ref="L72:P72"/>
    <mergeCell ref="L73:P73"/>
    <mergeCell ref="L74:P74"/>
    <mergeCell ref="L75:P75"/>
    <mergeCell ref="L76:P76"/>
    <mergeCell ref="L71:P71"/>
    <mergeCell ref="R59:R65"/>
    <mergeCell ref="S59:S65"/>
    <mergeCell ref="U59:U65"/>
    <mergeCell ref="AB55:AB58"/>
    <mergeCell ref="AC55:AC58"/>
    <mergeCell ref="W55:W58"/>
    <mergeCell ref="X55:X58"/>
    <mergeCell ref="Y55:Y58"/>
    <mergeCell ref="Z55:Z58"/>
    <mergeCell ref="AA55:AA58"/>
    <mergeCell ref="AB59:AB65"/>
    <mergeCell ref="AC59:AC65"/>
    <mergeCell ref="V59:V65"/>
    <mergeCell ref="W59:W65"/>
    <mergeCell ref="X59:X65"/>
    <mergeCell ref="Y59:Y65"/>
    <mergeCell ref="Z59:Z65"/>
    <mergeCell ref="AA59:AA65"/>
    <mergeCell ref="A59:A65"/>
    <mergeCell ref="B59:B65"/>
    <mergeCell ref="C59:C65"/>
    <mergeCell ref="D59:D65"/>
    <mergeCell ref="H59:H65"/>
    <mergeCell ref="R55:R58"/>
    <mergeCell ref="S55:S58"/>
    <mergeCell ref="U55:U58"/>
    <mergeCell ref="V55:V58"/>
    <mergeCell ref="L55:L58"/>
    <mergeCell ref="M55:M58"/>
    <mergeCell ref="N55:N58"/>
    <mergeCell ref="O55:O58"/>
    <mergeCell ref="P55:P58"/>
    <mergeCell ref="Q55:Q58"/>
    <mergeCell ref="I59:I65"/>
    <mergeCell ref="J59:J65"/>
    <mergeCell ref="K59:K65"/>
    <mergeCell ref="L59:L65"/>
    <mergeCell ref="M59:M65"/>
    <mergeCell ref="N59:N65"/>
    <mergeCell ref="O59:O65"/>
    <mergeCell ref="P59:P65"/>
    <mergeCell ref="Q59:Q65"/>
    <mergeCell ref="AB52:AB53"/>
    <mergeCell ref="AC52:AC53"/>
    <mergeCell ref="A55:A58"/>
    <mergeCell ref="B55:B58"/>
    <mergeCell ref="C55:C58"/>
    <mergeCell ref="D55:D58"/>
    <mergeCell ref="H55:H58"/>
    <mergeCell ref="I55:I58"/>
    <mergeCell ref="J55:J58"/>
    <mergeCell ref="K55:K58"/>
    <mergeCell ref="V52:V53"/>
    <mergeCell ref="W52:W53"/>
    <mergeCell ref="X52:X53"/>
    <mergeCell ref="Y52:Y53"/>
    <mergeCell ref="Z52:Z53"/>
    <mergeCell ref="AA52:AA53"/>
    <mergeCell ref="P52:P53"/>
    <mergeCell ref="Q52:Q53"/>
    <mergeCell ref="R52:R53"/>
    <mergeCell ref="S52:S53"/>
    <mergeCell ref="T52:T53"/>
    <mergeCell ref="U52:U53"/>
    <mergeCell ref="J52:J53"/>
    <mergeCell ref="K52:K53"/>
    <mergeCell ref="L52:L53"/>
    <mergeCell ref="M52:M53"/>
    <mergeCell ref="N52:N53"/>
    <mergeCell ref="O52:O53"/>
    <mergeCell ref="A52:A53"/>
    <mergeCell ref="B52:B53"/>
    <mergeCell ref="C52:C53"/>
    <mergeCell ref="D52:D53"/>
    <mergeCell ref="H52:H53"/>
    <mergeCell ref="I52:I53"/>
    <mergeCell ref="Y38:Y40"/>
    <mergeCell ref="Z38:Z40"/>
    <mergeCell ref="AA38:AA40"/>
    <mergeCell ref="AB38:AB40"/>
    <mergeCell ref="AC38:AC40"/>
    <mergeCell ref="A46:A48"/>
    <mergeCell ref="B46:B48"/>
    <mergeCell ref="C46:C48"/>
    <mergeCell ref="D46:D48"/>
    <mergeCell ref="R38:R40"/>
    <mergeCell ref="S38:S40"/>
    <mergeCell ref="U38:U40"/>
    <mergeCell ref="V38:V40"/>
    <mergeCell ref="W38:W40"/>
    <mergeCell ref="X38:X40"/>
    <mergeCell ref="L38:L40"/>
    <mergeCell ref="M38:M40"/>
    <mergeCell ref="N38:N40"/>
    <mergeCell ref="O38:O40"/>
    <mergeCell ref="P38:P40"/>
    <mergeCell ref="Q38:Q40"/>
    <mergeCell ref="A38:A44"/>
    <mergeCell ref="B38:B44"/>
    <mergeCell ref="C38:C44"/>
    <mergeCell ref="D38:D44"/>
    <mergeCell ref="H38:H40"/>
    <mergeCell ref="I38:I40"/>
    <mergeCell ref="J38:J40"/>
    <mergeCell ref="K38:K40"/>
    <mergeCell ref="V32:V37"/>
    <mergeCell ref="O32:O37"/>
    <mergeCell ref="P32:P37"/>
    <mergeCell ref="Q32:Q37"/>
    <mergeCell ref="R32:R37"/>
    <mergeCell ref="S32:S37"/>
    <mergeCell ref="U32:U37"/>
    <mergeCell ref="I32:I37"/>
    <mergeCell ref="J32:J37"/>
    <mergeCell ref="Y25:Y26"/>
    <mergeCell ref="Z25:Z26"/>
    <mergeCell ref="AA25:AA26"/>
    <mergeCell ref="AB25:AB26"/>
    <mergeCell ref="AC25:AC26"/>
    <mergeCell ref="W25:W26"/>
    <mergeCell ref="X25:X26"/>
    <mergeCell ref="AB32:AB37"/>
    <mergeCell ref="AC32:AC37"/>
    <mergeCell ref="W32:W37"/>
    <mergeCell ref="X32:X37"/>
    <mergeCell ref="Y32:Y37"/>
    <mergeCell ref="Z32:Z37"/>
    <mergeCell ref="AA32:AA37"/>
    <mergeCell ref="A32:A37"/>
    <mergeCell ref="B32:B37"/>
    <mergeCell ref="C32:C37"/>
    <mergeCell ref="D32:D37"/>
    <mergeCell ref="H32:H37"/>
    <mergeCell ref="R25:R26"/>
    <mergeCell ref="S25:S26"/>
    <mergeCell ref="U25:U26"/>
    <mergeCell ref="V25:V26"/>
    <mergeCell ref="L25:L26"/>
    <mergeCell ref="M25:M26"/>
    <mergeCell ref="N25:N26"/>
    <mergeCell ref="O25:O26"/>
    <mergeCell ref="P25:P26"/>
    <mergeCell ref="Q25:Q26"/>
    <mergeCell ref="K32:K37"/>
    <mergeCell ref="L32:L37"/>
    <mergeCell ref="M32:M37"/>
    <mergeCell ref="N32:N37"/>
    <mergeCell ref="A25:A31"/>
    <mergeCell ref="B25:B31"/>
    <mergeCell ref="C25:C31"/>
    <mergeCell ref="D25:D31"/>
    <mergeCell ref="H25:H26"/>
    <mergeCell ref="I25:I26"/>
    <mergeCell ref="J25:J26"/>
    <mergeCell ref="K25:K26"/>
    <mergeCell ref="V20:V21"/>
    <mergeCell ref="O20:O21"/>
    <mergeCell ref="P20:P21"/>
    <mergeCell ref="Q20:Q21"/>
    <mergeCell ref="R20:R21"/>
    <mergeCell ref="S20:S21"/>
    <mergeCell ref="U20:U21"/>
    <mergeCell ref="I20:I21"/>
    <mergeCell ref="J20:J21"/>
    <mergeCell ref="Y17:Y19"/>
    <mergeCell ref="Z17:Z19"/>
    <mergeCell ref="AA17:AA19"/>
    <mergeCell ref="AB17:AB19"/>
    <mergeCell ref="AC17:AC19"/>
    <mergeCell ref="W17:W19"/>
    <mergeCell ref="X17:X19"/>
    <mergeCell ref="AB20:AB21"/>
    <mergeCell ref="AC20:AC21"/>
    <mergeCell ref="W20:W21"/>
    <mergeCell ref="X20:X21"/>
    <mergeCell ref="Y20:Y21"/>
    <mergeCell ref="Z20:Z21"/>
    <mergeCell ref="AA20:AA21"/>
    <mergeCell ref="A20:A24"/>
    <mergeCell ref="B20:B24"/>
    <mergeCell ref="C20:C24"/>
    <mergeCell ref="D20:D24"/>
    <mergeCell ref="H20:H21"/>
    <mergeCell ref="R17:R19"/>
    <mergeCell ref="S17:S19"/>
    <mergeCell ref="U17:U19"/>
    <mergeCell ref="V17:V19"/>
    <mergeCell ref="L17:L19"/>
    <mergeCell ref="M17:M19"/>
    <mergeCell ref="N17:N19"/>
    <mergeCell ref="O17:O19"/>
    <mergeCell ref="P17:P19"/>
    <mergeCell ref="Q17:Q19"/>
    <mergeCell ref="K20:K21"/>
    <mergeCell ref="L20:L21"/>
    <mergeCell ref="M20:M21"/>
    <mergeCell ref="N20:N21"/>
    <mergeCell ref="A17:A19"/>
    <mergeCell ref="B17:B19"/>
    <mergeCell ref="C17:C19"/>
    <mergeCell ref="D17:D19"/>
    <mergeCell ref="H17:H19"/>
    <mergeCell ref="I17:I19"/>
    <mergeCell ref="J17:J19"/>
    <mergeCell ref="K17:K19"/>
    <mergeCell ref="V15:V16"/>
    <mergeCell ref="O15:O16"/>
    <mergeCell ref="P15:P16"/>
    <mergeCell ref="Q15:Q16"/>
    <mergeCell ref="R15:R16"/>
    <mergeCell ref="S15:S16"/>
    <mergeCell ref="U15:U16"/>
    <mergeCell ref="I15:I16"/>
    <mergeCell ref="J15:J16"/>
    <mergeCell ref="Y11:Y14"/>
    <mergeCell ref="Z11:Z14"/>
    <mergeCell ref="AA11:AA14"/>
    <mergeCell ref="AB11:AB14"/>
    <mergeCell ref="AC11:AC14"/>
    <mergeCell ref="W11:W14"/>
    <mergeCell ref="X11:X14"/>
    <mergeCell ref="AB15:AB16"/>
    <mergeCell ref="AC15:AC16"/>
    <mergeCell ref="W15:W16"/>
    <mergeCell ref="X15:X16"/>
    <mergeCell ref="Y15:Y16"/>
    <mergeCell ref="Z15:Z16"/>
    <mergeCell ref="AA15:AA16"/>
    <mergeCell ref="A15:A16"/>
    <mergeCell ref="B15:B16"/>
    <mergeCell ref="C15:C16"/>
    <mergeCell ref="D15:D16"/>
    <mergeCell ref="H15:H16"/>
    <mergeCell ref="R11:R14"/>
    <mergeCell ref="S11:S14"/>
    <mergeCell ref="U11:U14"/>
    <mergeCell ref="V11:V14"/>
    <mergeCell ref="L11:L14"/>
    <mergeCell ref="M11:M14"/>
    <mergeCell ref="N11:N14"/>
    <mergeCell ref="O11:O14"/>
    <mergeCell ref="P11:P14"/>
    <mergeCell ref="Q11:Q14"/>
    <mergeCell ref="K15:K16"/>
    <mergeCell ref="L15:L16"/>
    <mergeCell ref="M15:M16"/>
    <mergeCell ref="N15:N16"/>
    <mergeCell ref="AB7:AB10"/>
    <mergeCell ref="AC7:AC10"/>
    <mergeCell ref="A11:A14"/>
    <mergeCell ref="B11:B14"/>
    <mergeCell ref="C11:C14"/>
    <mergeCell ref="D11:D14"/>
    <mergeCell ref="H11:H14"/>
    <mergeCell ref="I11:I14"/>
    <mergeCell ref="J11:J14"/>
    <mergeCell ref="K11:K14"/>
    <mergeCell ref="V7:V10"/>
    <mergeCell ref="W7:W10"/>
    <mergeCell ref="X7:X10"/>
    <mergeCell ref="Y7:Y10"/>
    <mergeCell ref="Z7:Z10"/>
    <mergeCell ref="AA7:AA10"/>
    <mergeCell ref="P7:P10"/>
    <mergeCell ref="Q7:Q10"/>
    <mergeCell ref="R7:R10"/>
    <mergeCell ref="S7:S10"/>
    <mergeCell ref="T7:T10"/>
    <mergeCell ref="U7:U10"/>
    <mergeCell ref="J7:J10"/>
    <mergeCell ref="K7:K10"/>
    <mergeCell ref="L7:L10"/>
    <mergeCell ref="M7:M10"/>
    <mergeCell ref="N7:N10"/>
    <mergeCell ref="O7:O10"/>
    <mergeCell ref="A7:A10"/>
    <mergeCell ref="B7:B10"/>
    <mergeCell ref="C7:C10"/>
    <mergeCell ref="D7:D10"/>
    <mergeCell ref="H7:H10"/>
    <mergeCell ref="I7:I10"/>
    <mergeCell ref="L4:O4"/>
    <mergeCell ref="P4:S4"/>
    <mergeCell ref="U4:W4"/>
    <mergeCell ref="X4:Z4"/>
    <mergeCell ref="AA4:AC4"/>
    <mergeCell ref="AD5:AF5"/>
    <mergeCell ref="H3:S3"/>
    <mergeCell ref="U3:AC3"/>
    <mergeCell ref="A4:A5"/>
    <mergeCell ref="B4:B5"/>
    <mergeCell ref="C4:C5"/>
    <mergeCell ref="D4:D5"/>
    <mergeCell ref="E4:E5"/>
    <mergeCell ref="F4:F5"/>
    <mergeCell ref="G4:G5"/>
    <mergeCell ref="H4:K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P29"/>
  <sheetViews>
    <sheetView zoomScale="80" zoomScaleNormal="80" workbookViewId="0">
      <pane xSplit="1" ySplit="3" topLeftCell="B4" activePane="bottomRight" state="frozen"/>
      <selection pane="topRight" activeCell="B1" sqref="B1"/>
      <selection pane="bottomLeft" activeCell="A4" sqref="A4"/>
      <selection pane="bottomRight" activeCell="C18" sqref="C18"/>
    </sheetView>
  </sheetViews>
  <sheetFormatPr defaultRowHeight="12" x14ac:dyDescent="0.35"/>
  <cols>
    <col min="1" max="1" width="7.36328125" style="298" customWidth="1"/>
    <col min="2" max="2" width="54.7265625" style="298" customWidth="1"/>
    <col min="3" max="3" width="50" style="298" customWidth="1"/>
    <col min="4" max="4" width="57.1796875" style="298" customWidth="1"/>
    <col min="5" max="5" width="33.6328125" style="298" customWidth="1"/>
    <col min="6" max="6" width="45.1796875" style="298" customWidth="1"/>
    <col min="7" max="7" width="37.08984375" style="298" customWidth="1"/>
    <col min="8" max="8" width="4.08984375" style="299" customWidth="1"/>
    <col min="9" max="15" width="4.54296875" style="299" customWidth="1"/>
    <col min="16" max="16" width="5.1796875" style="299" customWidth="1"/>
    <col min="17" max="16384" width="8.7265625" style="298"/>
  </cols>
  <sheetData>
    <row r="1" spans="1:16" s="120" customFormat="1" ht="18.5" x14ac:dyDescent="0.35">
      <c r="A1" s="638" t="s">
        <v>645</v>
      </c>
      <c r="H1" s="121"/>
      <c r="I1" s="121"/>
      <c r="J1" s="121"/>
      <c r="K1" s="121"/>
      <c r="L1" s="121"/>
      <c r="M1" s="121"/>
      <c r="N1" s="121"/>
      <c r="O1" s="121"/>
      <c r="P1" s="121"/>
    </row>
    <row r="2" spans="1:16" s="120" customFormat="1" ht="13.5" thickBot="1" x14ac:dyDescent="0.4">
      <c r="A2" s="111" t="s">
        <v>505</v>
      </c>
      <c r="H2" s="121"/>
      <c r="I2" s="121"/>
      <c r="J2" s="121"/>
      <c r="K2" s="121"/>
      <c r="L2" s="121"/>
      <c r="M2" s="121"/>
      <c r="N2" s="121"/>
      <c r="O2" s="121"/>
      <c r="P2" s="121"/>
    </row>
    <row r="3" spans="1:16" s="308" customFormat="1" ht="24" x14ac:dyDescent="0.35">
      <c r="A3" s="300" t="s">
        <v>2</v>
      </c>
      <c r="B3" s="301" t="s">
        <v>3</v>
      </c>
      <c r="C3" s="300" t="s">
        <v>53</v>
      </c>
      <c r="D3" s="300" t="s">
        <v>54</v>
      </c>
      <c r="E3" s="300" t="s">
        <v>55</v>
      </c>
      <c r="F3" s="300" t="s">
        <v>56</v>
      </c>
      <c r="G3" s="641" t="s">
        <v>57</v>
      </c>
      <c r="H3" s="302" t="s">
        <v>58</v>
      </c>
      <c r="I3" s="303">
        <v>2021</v>
      </c>
      <c r="J3" s="304">
        <v>2022</v>
      </c>
      <c r="K3" s="305">
        <v>2023</v>
      </c>
      <c r="L3" s="303">
        <v>2024</v>
      </c>
      <c r="M3" s="303">
        <v>2025</v>
      </c>
      <c r="N3" s="303">
        <v>2026</v>
      </c>
      <c r="O3" s="306" t="s">
        <v>58</v>
      </c>
      <c r="P3" s="307">
        <v>2030</v>
      </c>
    </row>
    <row r="4" spans="1:16" ht="204" x14ac:dyDescent="0.35">
      <c r="A4" s="513" t="s">
        <v>7</v>
      </c>
      <c r="B4" s="514" t="s">
        <v>566</v>
      </c>
      <c r="C4" s="409" t="s">
        <v>562</v>
      </c>
      <c r="D4" s="515" t="s">
        <v>539</v>
      </c>
      <c r="E4" s="516" t="s">
        <v>60</v>
      </c>
      <c r="F4" s="409" t="s">
        <v>561</v>
      </c>
      <c r="G4" s="410" t="s">
        <v>61</v>
      </c>
      <c r="H4" s="232" t="s">
        <v>62</v>
      </c>
      <c r="I4" s="517"/>
      <c r="J4" s="518"/>
      <c r="K4" s="519"/>
      <c r="L4" s="517"/>
      <c r="M4" s="520"/>
      <c r="N4" s="520"/>
      <c r="O4" s="521"/>
      <c r="P4" s="522"/>
    </row>
    <row r="5" spans="1:16" ht="156" x14ac:dyDescent="0.35">
      <c r="A5" s="513" t="s">
        <v>8</v>
      </c>
      <c r="B5" s="514" t="s">
        <v>557</v>
      </c>
      <c r="C5" s="409" t="s">
        <v>63</v>
      </c>
      <c r="D5" s="515" t="s">
        <v>560</v>
      </c>
      <c r="E5" s="516" t="s">
        <v>64</v>
      </c>
      <c r="F5" s="409" t="s">
        <v>65</v>
      </c>
      <c r="G5" s="410" t="s">
        <v>587</v>
      </c>
      <c r="H5" s="523" t="s">
        <v>551</v>
      </c>
      <c r="I5" s="524"/>
      <c r="J5" s="525"/>
      <c r="K5" s="526"/>
      <c r="L5" s="524"/>
      <c r="M5" s="532"/>
      <c r="N5" s="532"/>
      <c r="O5" s="415"/>
      <c r="P5" s="416"/>
    </row>
    <row r="6" spans="1:16" s="308" customFormat="1" ht="96" x14ac:dyDescent="0.35">
      <c r="A6" s="513" t="s">
        <v>11</v>
      </c>
      <c r="B6" s="530" t="s">
        <v>66</v>
      </c>
      <c r="C6" s="516" t="s">
        <v>67</v>
      </c>
      <c r="D6" s="409" t="s">
        <v>68</v>
      </c>
      <c r="E6" s="516" t="s">
        <v>69</v>
      </c>
      <c r="F6" s="516" t="s">
        <v>70</v>
      </c>
      <c r="G6" s="410" t="s">
        <v>71</v>
      </c>
      <c r="H6" s="531" t="s">
        <v>551</v>
      </c>
      <c r="I6" s="532"/>
      <c r="J6" s="518"/>
      <c r="K6" s="519"/>
      <c r="L6" s="517"/>
      <c r="M6" s="533"/>
      <c r="N6" s="520"/>
      <c r="O6" s="521"/>
      <c r="P6" s="522"/>
    </row>
    <row r="7" spans="1:16" s="308" customFormat="1" ht="108" x14ac:dyDescent="0.35">
      <c r="A7" s="513" t="s">
        <v>15</v>
      </c>
      <c r="B7" s="530" t="s">
        <v>666</v>
      </c>
      <c r="C7" s="516" t="s">
        <v>72</v>
      </c>
      <c r="D7" s="409" t="s">
        <v>73</v>
      </c>
      <c r="E7" s="516" t="s">
        <v>74</v>
      </c>
      <c r="F7" s="516"/>
      <c r="G7" s="410" t="s">
        <v>71</v>
      </c>
      <c r="H7" s="531" t="s">
        <v>551</v>
      </c>
      <c r="I7" s="532"/>
      <c r="J7" s="522"/>
      <c r="K7" s="534"/>
      <c r="L7" s="520"/>
      <c r="M7" s="520"/>
      <c r="N7" s="520"/>
      <c r="O7" s="521"/>
      <c r="P7" s="522"/>
    </row>
    <row r="8" spans="1:16" s="308" customFormat="1" ht="72" x14ac:dyDescent="0.35">
      <c r="A8" s="513" t="s">
        <v>18</v>
      </c>
      <c r="B8" s="530" t="s">
        <v>75</v>
      </c>
      <c r="C8" s="516" t="s">
        <v>76</v>
      </c>
      <c r="D8" s="409" t="s">
        <v>77</v>
      </c>
      <c r="E8" s="535" t="s">
        <v>78</v>
      </c>
      <c r="F8" s="516"/>
      <c r="G8" s="410" t="s">
        <v>71</v>
      </c>
      <c r="H8" s="531" t="s">
        <v>551</v>
      </c>
      <c r="I8" s="412"/>
      <c r="J8" s="413"/>
      <c r="K8" s="414"/>
      <c r="L8" s="532"/>
      <c r="M8" s="520"/>
      <c r="N8" s="520"/>
      <c r="O8" s="521"/>
      <c r="P8" s="522"/>
    </row>
    <row r="9" spans="1:16" ht="192" x14ac:dyDescent="0.35">
      <c r="A9" s="513" t="s">
        <v>79</v>
      </c>
      <c r="B9" s="514" t="s">
        <v>559</v>
      </c>
      <c r="C9" s="536" t="s">
        <v>80</v>
      </c>
      <c r="D9" s="537" t="s">
        <v>665</v>
      </c>
      <c r="E9" s="516" t="s">
        <v>81</v>
      </c>
      <c r="F9" s="408" t="s">
        <v>82</v>
      </c>
      <c r="G9" s="538" t="s">
        <v>83</v>
      </c>
      <c r="H9" s="671"/>
      <c r="I9" s="548"/>
      <c r="J9" s="672"/>
      <c r="K9" s="673"/>
      <c r="L9" s="548"/>
      <c r="M9" s="548"/>
      <c r="N9" s="548"/>
      <c r="O9" s="551"/>
      <c r="P9" s="552"/>
    </row>
    <row r="10" spans="1:16" ht="48" x14ac:dyDescent="0.35">
      <c r="A10" s="513" t="s">
        <v>525</v>
      </c>
      <c r="B10" s="866" t="s">
        <v>84</v>
      </c>
      <c r="C10" s="868" t="s">
        <v>85</v>
      </c>
      <c r="D10" s="536" t="s">
        <v>86</v>
      </c>
      <c r="E10" s="409" t="s">
        <v>87</v>
      </c>
      <c r="F10" s="409" t="s">
        <v>88</v>
      </c>
      <c r="G10" s="410" t="s">
        <v>646</v>
      </c>
      <c r="H10" s="531" t="s">
        <v>551</v>
      </c>
      <c r="I10" s="412"/>
      <c r="J10" s="413"/>
      <c r="K10" s="414"/>
      <c r="L10" s="517"/>
      <c r="M10" s="517"/>
      <c r="N10" s="517"/>
      <c r="O10" s="539"/>
      <c r="P10" s="518"/>
    </row>
    <row r="11" spans="1:16" ht="24" x14ac:dyDescent="0.35">
      <c r="A11" s="513" t="s">
        <v>24</v>
      </c>
      <c r="B11" s="867"/>
      <c r="C11" s="869"/>
      <c r="D11" s="540" t="s">
        <v>89</v>
      </c>
      <c r="E11" s="409" t="s">
        <v>90</v>
      </c>
      <c r="F11" s="409" t="s">
        <v>91</v>
      </c>
      <c r="G11" s="410" t="s">
        <v>71</v>
      </c>
      <c r="H11" s="531" t="s">
        <v>551</v>
      </c>
      <c r="I11" s="412"/>
      <c r="J11" s="413"/>
      <c r="K11" s="541"/>
      <c r="L11" s="412"/>
      <c r="M11" s="520"/>
      <c r="N11" s="520"/>
      <c r="O11" s="521"/>
      <c r="P11" s="522"/>
    </row>
    <row r="12" spans="1:16" ht="36" x14ac:dyDescent="0.35">
      <c r="A12" s="513" t="s">
        <v>26</v>
      </c>
      <c r="B12" s="542" t="s">
        <v>92</v>
      </c>
      <c r="C12" s="870"/>
      <c r="D12" s="540" t="s">
        <v>93</v>
      </c>
      <c r="E12" s="516" t="s">
        <v>94</v>
      </c>
      <c r="F12" s="516" t="s">
        <v>95</v>
      </c>
      <c r="G12" s="410" t="s">
        <v>71</v>
      </c>
      <c r="H12" s="531" t="s">
        <v>551</v>
      </c>
      <c r="I12" s="412"/>
      <c r="J12" s="543"/>
      <c r="K12" s="544"/>
      <c r="L12" s="412"/>
      <c r="M12" s="412"/>
      <c r="N12" s="532"/>
      <c r="O12" s="415"/>
      <c r="P12" s="416"/>
    </row>
    <row r="13" spans="1:16" ht="72" x14ac:dyDescent="0.35">
      <c r="A13" s="513" t="s">
        <v>96</v>
      </c>
      <c r="B13" s="514" t="s">
        <v>97</v>
      </c>
      <c r="C13" s="409" t="s">
        <v>98</v>
      </c>
      <c r="D13" s="409" t="s">
        <v>99</v>
      </c>
      <c r="E13" s="537" t="s">
        <v>100</v>
      </c>
      <c r="F13" s="409" t="s">
        <v>101</v>
      </c>
      <c r="G13" s="545" t="s">
        <v>102</v>
      </c>
      <c r="H13" s="531" t="s">
        <v>551</v>
      </c>
      <c r="I13" s="412"/>
      <c r="J13" s="546"/>
      <c r="K13" s="541"/>
      <c r="L13" s="548"/>
      <c r="M13" s="548"/>
      <c r="N13" s="548"/>
      <c r="O13" s="551"/>
      <c r="P13" s="552"/>
    </row>
    <row r="14" spans="1:16" ht="132" x14ac:dyDescent="0.35">
      <c r="A14" s="513" t="s">
        <v>103</v>
      </c>
      <c r="B14" s="530" t="s">
        <v>588</v>
      </c>
      <c r="C14" s="516" t="s">
        <v>104</v>
      </c>
      <c r="D14" s="537" t="s">
        <v>558</v>
      </c>
      <c r="E14" s="537" t="s">
        <v>105</v>
      </c>
      <c r="F14" s="409" t="s">
        <v>106</v>
      </c>
      <c r="G14" s="545" t="s">
        <v>107</v>
      </c>
      <c r="H14" s="547" t="s">
        <v>551</v>
      </c>
      <c r="I14" s="548"/>
      <c r="J14" s="549"/>
      <c r="K14" s="550"/>
      <c r="L14" s="548"/>
      <c r="M14" s="548"/>
      <c r="N14" s="548"/>
      <c r="O14" s="551"/>
      <c r="P14" s="552"/>
    </row>
    <row r="15" spans="1:16" ht="204" x14ac:dyDescent="0.35">
      <c r="A15" s="513" t="s">
        <v>29</v>
      </c>
      <c r="B15" s="553" t="s">
        <v>30</v>
      </c>
      <c r="C15" s="516" t="s">
        <v>108</v>
      </c>
      <c r="D15" s="516" t="s">
        <v>580</v>
      </c>
      <c r="E15" s="409" t="s">
        <v>109</v>
      </c>
      <c r="F15" s="516" t="s">
        <v>110</v>
      </c>
      <c r="G15" s="410" t="s">
        <v>71</v>
      </c>
      <c r="H15" s="554" t="s">
        <v>551</v>
      </c>
      <c r="I15" s="412"/>
      <c r="J15" s="518"/>
      <c r="K15" s="534"/>
      <c r="L15" s="520"/>
      <c r="M15" s="520"/>
      <c r="N15" s="520"/>
      <c r="O15" s="521"/>
      <c r="P15" s="522"/>
    </row>
    <row r="16" spans="1:16" ht="180" x14ac:dyDescent="0.35">
      <c r="A16" s="513" t="s">
        <v>32</v>
      </c>
      <c r="B16" s="555" t="s">
        <v>691</v>
      </c>
      <c r="C16" s="516" t="s">
        <v>52</v>
      </c>
      <c r="D16" s="408" t="s">
        <v>540</v>
      </c>
      <c r="E16" s="537" t="s">
        <v>111</v>
      </c>
      <c r="F16" s="409" t="s">
        <v>541</v>
      </c>
      <c r="G16" s="410" t="s">
        <v>71</v>
      </c>
      <c r="H16" s="556"/>
      <c r="I16" s="517"/>
      <c r="J16" s="557"/>
      <c r="K16" s="558"/>
      <c r="L16" s="517"/>
      <c r="M16" s="517"/>
      <c r="N16" s="517"/>
      <c r="O16" s="539"/>
      <c r="P16" s="518"/>
    </row>
    <row r="17" spans="1:16" ht="156" x14ac:dyDescent="0.35">
      <c r="A17" s="513" t="s">
        <v>36</v>
      </c>
      <c r="B17" s="408" t="s">
        <v>112</v>
      </c>
      <c r="C17" s="409" t="s">
        <v>113</v>
      </c>
      <c r="D17" s="409" t="s">
        <v>114</v>
      </c>
      <c r="E17" s="409" t="s">
        <v>692</v>
      </c>
      <c r="F17" s="409" t="s">
        <v>38</v>
      </c>
      <c r="G17" s="410" t="s">
        <v>115</v>
      </c>
      <c r="H17" s="411" t="s">
        <v>551</v>
      </c>
      <c r="I17" s="412"/>
      <c r="J17" s="413"/>
      <c r="K17" s="414"/>
      <c r="L17" s="412"/>
      <c r="M17" s="412"/>
      <c r="N17" s="412"/>
      <c r="O17" s="415"/>
      <c r="P17" s="416"/>
    </row>
    <row r="18" spans="1:16" ht="132" x14ac:dyDescent="0.35">
      <c r="A18" s="513" t="s">
        <v>39</v>
      </c>
      <c r="B18" s="408" t="s">
        <v>116</v>
      </c>
      <c r="C18" s="409" t="s">
        <v>117</v>
      </c>
      <c r="D18" s="559" t="s">
        <v>542</v>
      </c>
      <c r="E18" s="537" t="s">
        <v>119</v>
      </c>
      <c r="F18" s="409" t="s">
        <v>589</v>
      </c>
      <c r="G18" s="410" t="s">
        <v>71</v>
      </c>
      <c r="H18" s="411" t="s">
        <v>551</v>
      </c>
      <c r="I18" s="412"/>
      <c r="J18" s="413"/>
      <c r="K18" s="414"/>
      <c r="L18" s="412"/>
      <c r="M18" s="532"/>
      <c r="N18" s="517"/>
      <c r="O18" s="539"/>
      <c r="P18" s="518"/>
    </row>
    <row r="19" spans="1:16" ht="168" x14ac:dyDescent="0.35">
      <c r="A19" s="513" t="s">
        <v>527</v>
      </c>
      <c r="B19" s="560" t="s">
        <v>42</v>
      </c>
      <c r="C19" s="409" t="s">
        <v>52</v>
      </c>
      <c r="D19" s="559" t="s">
        <v>118</v>
      </c>
      <c r="E19" s="409" t="s">
        <v>543</v>
      </c>
      <c r="F19" s="537" t="s">
        <v>120</v>
      </c>
      <c r="G19" s="545" t="s">
        <v>544</v>
      </c>
      <c r="H19" s="411" t="s">
        <v>551</v>
      </c>
      <c r="I19" s="524"/>
      <c r="J19" s="529"/>
      <c r="K19" s="562"/>
      <c r="L19" s="527"/>
      <c r="M19" s="527"/>
      <c r="N19" s="527"/>
      <c r="O19" s="528"/>
      <c r="P19" s="529"/>
    </row>
    <row r="20" spans="1:16" s="563" customFormat="1" ht="144" x14ac:dyDescent="0.35">
      <c r="A20" s="513" t="s">
        <v>528</v>
      </c>
      <c r="B20" s="561" t="s">
        <v>121</v>
      </c>
      <c r="C20" s="409" t="s">
        <v>122</v>
      </c>
      <c r="D20" s="560" t="s">
        <v>123</v>
      </c>
      <c r="E20" s="409" t="s">
        <v>124</v>
      </c>
      <c r="F20" s="516" t="s">
        <v>125</v>
      </c>
      <c r="G20" s="538" t="s">
        <v>126</v>
      </c>
      <c r="H20" s="411" t="s">
        <v>551</v>
      </c>
      <c r="I20" s="524"/>
      <c r="J20" s="529"/>
      <c r="K20" s="562"/>
      <c r="L20" s="527"/>
      <c r="M20" s="527"/>
      <c r="N20" s="527"/>
      <c r="O20" s="528"/>
      <c r="P20" s="529"/>
    </row>
    <row r="21" spans="1:16" s="563" customFormat="1" ht="156" x14ac:dyDescent="0.35">
      <c r="A21" s="513" t="s">
        <v>537</v>
      </c>
      <c r="B21" s="553" t="s">
        <v>545</v>
      </c>
      <c r="C21" s="408" t="s">
        <v>127</v>
      </c>
      <c r="D21" s="560" t="s">
        <v>123</v>
      </c>
      <c r="E21" s="409" t="s">
        <v>124</v>
      </c>
      <c r="F21" s="408" t="s">
        <v>128</v>
      </c>
      <c r="G21" s="538" t="s">
        <v>126</v>
      </c>
      <c r="H21" s="411" t="s">
        <v>551</v>
      </c>
      <c r="I21" s="524"/>
      <c r="J21" s="529"/>
      <c r="K21" s="562"/>
      <c r="L21" s="527"/>
      <c r="M21" s="527"/>
      <c r="N21" s="527"/>
      <c r="O21" s="528"/>
      <c r="P21" s="529"/>
    </row>
    <row r="22" spans="1:16" ht="216" x14ac:dyDescent="0.35">
      <c r="A22" s="513" t="s">
        <v>49</v>
      </c>
      <c r="B22" s="537" t="s">
        <v>129</v>
      </c>
      <c r="C22" s="409" t="s">
        <v>130</v>
      </c>
      <c r="D22" s="516" t="s">
        <v>546</v>
      </c>
      <c r="E22" s="409" t="s">
        <v>131</v>
      </c>
      <c r="F22" s="409" t="s">
        <v>132</v>
      </c>
      <c r="G22" s="410" t="s">
        <v>133</v>
      </c>
      <c r="H22" s="411" t="s">
        <v>551</v>
      </c>
      <c r="I22" s="524"/>
      <c r="J22" s="525"/>
      <c r="K22" s="526"/>
      <c r="L22" s="524"/>
      <c r="M22" s="564"/>
      <c r="N22" s="532"/>
      <c r="O22" s="539"/>
      <c r="P22" s="518"/>
    </row>
    <row r="23" spans="1:16" ht="96" x14ac:dyDescent="0.35">
      <c r="A23" s="513" t="s">
        <v>547</v>
      </c>
      <c r="B23" s="408" t="s">
        <v>548</v>
      </c>
      <c r="C23" s="409" t="s">
        <v>134</v>
      </c>
      <c r="D23" s="559" t="s">
        <v>135</v>
      </c>
      <c r="E23" s="409" t="s">
        <v>136</v>
      </c>
      <c r="F23" s="516" t="s">
        <v>137</v>
      </c>
      <c r="G23" s="545" t="s">
        <v>138</v>
      </c>
      <c r="H23" s="554" t="s">
        <v>551</v>
      </c>
      <c r="I23" s="412"/>
      <c r="J23" s="413"/>
      <c r="K23" s="414"/>
      <c r="L23" s="412"/>
      <c r="M23" s="412"/>
      <c r="N23" s="412"/>
      <c r="O23" s="517"/>
      <c r="P23" s="565"/>
    </row>
    <row r="24" spans="1:16" ht="144" x14ac:dyDescent="0.35">
      <c r="A24" s="566" t="s">
        <v>139</v>
      </c>
      <c r="B24" s="567" t="s">
        <v>140</v>
      </c>
      <c r="C24" s="568" t="s">
        <v>141</v>
      </c>
      <c r="D24" s="568" t="s">
        <v>142</v>
      </c>
      <c r="E24" s="568" t="s">
        <v>143</v>
      </c>
      <c r="F24" s="568" t="s">
        <v>144</v>
      </c>
      <c r="G24" s="569" t="s">
        <v>138</v>
      </c>
      <c r="H24" s="411" t="s">
        <v>551</v>
      </c>
      <c r="I24" s="524"/>
      <c r="J24" s="525"/>
      <c r="K24" s="526"/>
      <c r="L24" s="524"/>
      <c r="M24" s="524"/>
      <c r="N24" s="524"/>
      <c r="O24" s="532"/>
      <c r="P24" s="570"/>
    </row>
    <row r="25" spans="1:16" ht="108.5" thickBot="1" x14ac:dyDescent="0.4">
      <c r="A25" s="571" t="s">
        <v>145</v>
      </c>
      <c r="B25" s="408" t="s">
        <v>146</v>
      </c>
      <c r="C25" s="409" t="s">
        <v>147</v>
      </c>
      <c r="D25" s="559" t="s">
        <v>148</v>
      </c>
      <c r="E25" s="409" t="s">
        <v>149</v>
      </c>
      <c r="F25" s="409" t="s">
        <v>150</v>
      </c>
      <c r="G25" s="545" t="s">
        <v>151</v>
      </c>
      <c r="H25" s="572" t="s">
        <v>551</v>
      </c>
      <c r="I25" s="573"/>
      <c r="J25" s="574"/>
      <c r="K25" s="575"/>
      <c r="L25" s="573"/>
      <c r="M25" s="573"/>
      <c r="N25" s="573"/>
      <c r="O25" s="576"/>
      <c r="P25" s="574"/>
    </row>
    <row r="26" spans="1:16" x14ac:dyDescent="0.35">
      <c r="B26" s="309"/>
    </row>
    <row r="27" spans="1:16" x14ac:dyDescent="0.35">
      <c r="B27" s="310"/>
    </row>
    <row r="28" spans="1:16" x14ac:dyDescent="0.35">
      <c r="B28" s="310"/>
    </row>
    <row r="29" spans="1:16" x14ac:dyDescent="0.35">
      <c r="B29" s="310"/>
    </row>
  </sheetData>
  <mergeCells count="2">
    <mergeCell ref="B10:B11"/>
    <mergeCell ref="C10:C12"/>
  </mergeCells>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O19"/>
  <sheetViews>
    <sheetView zoomScale="80" zoomScaleNormal="80" workbookViewId="0">
      <selection activeCell="D9" sqref="D9"/>
    </sheetView>
  </sheetViews>
  <sheetFormatPr defaultRowHeight="13" x14ac:dyDescent="0.35"/>
  <cols>
    <col min="1" max="1" width="8.7265625" style="11"/>
    <col min="2" max="2" width="43.81640625" style="11" customWidth="1"/>
    <col min="3" max="3" width="22.90625" style="11" customWidth="1"/>
    <col min="4" max="4" width="30.90625" style="11" customWidth="1"/>
    <col min="5" max="5" width="23.81640625" style="11" customWidth="1"/>
    <col min="6" max="16384" width="8.7265625" style="11"/>
  </cols>
  <sheetData>
    <row r="1" spans="1:15" s="120" customFormat="1" ht="17" x14ac:dyDescent="0.35">
      <c r="A1" s="626" t="s">
        <v>631</v>
      </c>
      <c r="H1" s="121"/>
      <c r="I1" s="121"/>
      <c r="J1" s="121"/>
      <c r="K1" s="121"/>
      <c r="L1" s="121"/>
      <c r="M1" s="121"/>
      <c r="N1" s="121"/>
      <c r="O1" s="121"/>
    </row>
    <row r="2" spans="1:15" s="120" customFormat="1" x14ac:dyDescent="0.35">
      <c r="A2" s="111" t="s">
        <v>505</v>
      </c>
      <c r="H2" s="121"/>
      <c r="I2" s="121"/>
      <c r="J2" s="121"/>
      <c r="K2" s="121"/>
      <c r="L2" s="121"/>
      <c r="M2" s="121"/>
      <c r="N2" s="121"/>
      <c r="O2" s="121"/>
    </row>
    <row r="3" spans="1:15" ht="26" x14ac:dyDescent="0.35">
      <c r="A3" s="7" t="s">
        <v>2</v>
      </c>
      <c r="B3" s="8" t="s">
        <v>3</v>
      </c>
      <c r="C3" s="9" t="s">
        <v>4</v>
      </c>
      <c r="D3" s="10" t="s">
        <v>5</v>
      </c>
      <c r="E3" s="618" t="s">
        <v>6</v>
      </c>
    </row>
    <row r="4" spans="1:15" ht="65" x14ac:dyDescent="0.35">
      <c r="A4" s="466" t="s">
        <v>7</v>
      </c>
      <c r="B4" s="254" t="s">
        <v>565</v>
      </c>
      <c r="C4" s="17" t="s">
        <v>564</v>
      </c>
      <c r="D4" s="17" t="s">
        <v>563</v>
      </c>
      <c r="E4" s="19" t="s">
        <v>594</v>
      </c>
    </row>
    <row r="5" spans="1:15" ht="65" x14ac:dyDescent="0.35">
      <c r="A5" s="466" t="s">
        <v>8</v>
      </c>
      <c r="B5" s="12" t="s">
        <v>9</v>
      </c>
      <c r="C5" s="13" t="s">
        <v>10</v>
      </c>
      <c r="D5" s="13"/>
      <c r="E5" s="14" t="s">
        <v>574</v>
      </c>
    </row>
    <row r="6" spans="1:15" ht="26" x14ac:dyDescent="0.35">
      <c r="A6" s="466" t="s">
        <v>11</v>
      </c>
      <c r="B6" s="15" t="s">
        <v>12</v>
      </c>
      <c r="C6" s="16" t="s">
        <v>13</v>
      </c>
      <c r="D6" s="16" t="s">
        <v>14</v>
      </c>
      <c r="E6" s="14" t="s">
        <v>574</v>
      </c>
    </row>
    <row r="7" spans="1:15" ht="65" x14ac:dyDescent="0.35">
      <c r="A7" s="466" t="s">
        <v>15</v>
      </c>
      <c r="B7" s="15" t="s">
        <v>667</v>
      </c>
      <c r="C7" s="13" t="s">
        <v>16</v>
      </c>
      <c r="D7" s="17" t="s">
        <v>17</v>
      </c>
      <c r="E7" s="14" t="s">
        <v>574</v>
      </c>
    </row>
    <row r="8" spans="1:15" ht="26" x14ac:dyDescent="0.35">
      <c r="A8" s="466" t="s">
        <v>18</v>
      </c>
      <c r="B8" s="15" t="s">
        <v>19</v>
      </c>
      <c r="C8" s="16" t="s">
        <v>13</v>
      </c>
      <c r="D8" s="13" t="s">
        <v>20</v>
      </c>
      <c r="E8" s="14" t="s">
        <v>574</v>
      </c>
    </row>
    <row r="9" spans="1:15" ht="78" x14ac:dyDescent="0.35">
      <c r="A9" s="466" t="s">
        <v>525</v>
      </c>
      <c r="B9" s="18" t="s">
        <v>21</v>
      </c>
      <c r="C9" s="13" t="s">
        <v>22</v>
      </c>
      <c r="D9" s="17" t="s">
        <v>538</v>
      </c>
      <c r="E9" s="19" t="s">
        <v>577</v>
      </c>
    </row>
    <row r="10" spans="1:15" ht="91" x14ac:dyDescent="0.35">
      <c r="A10" s="466" t="s">
        <v>24</v>
      </c>
      <c r="B10" s="18" t="s">
        <v>25</v>
      </c>
      <c r="C10" s="13" t="s">
        <v>22</v>
      </c>
      <c r="D10" s="17" t="s">
        <v>23</v>
      </c>
      <c r="E10" s="19" t="s">
        <v>577</v>
      </c>
    </row>
    <row r="11" spans="1:15" ht="65" x14ac:dyDescent="0.35">
      <c r="A11" s="466" t="s">
        <v>26</v>
      </c>
      <c r="B11" s="20" t="s">
        <v>27</v>
      </c>
      <c r="C11" s="13" t="s">
        <v>22</v>
      </c>
      <c r="D11" s="16" t="s">
        <v>28</v>
      </c>
      <c r="E11" s="21" t="s">
        <v>576</v>
      </c>
    </row>
    <row r="12" spans="1:15" ht="52" x14ac:dyDescent="0.35">
      <c r="A12" s="466" t="s">
        <v>29</v>
      </c>
      <c r="B12" s="22" t="s">
        <v>30</v>
      </c>
      <c r="C12" s="13" t="s">
        <v>22</v>
      </c>
      <c r="D12" s="16" t="s">
        <v>31</v>
      </c>
      <c r="E12" s="23" t="s">
        <v>574</v>
      </c>
    </row>
    <row r="13" spans="1:15" ht="78" x14ac:dyDescent="0.35">
      <c r="A13" s="466" t="s">
        <v>32</v>
      </c>
      <c r="B13" s="24" t="s">
        <v>33</v>
      </c>
      <c r="C13" s="16" t="s">
        <v>34</v>
      </c>
      <c r="D13" s="16" t="s">
        <v>35</v>
      </c>
      <c r="E13" s="23" t="s">
        <v>574</v>
      </c>
    </row>
    <row r="14" spans="1:15" ht="65" x14ac:dyDescent="0.35">
      <c r="A14" s="466" t="s">
        <v>36</v>
      </c>
      <c r="B14" s="25" t="s">
        <v>37</v>
      </c>
      <c r="C14" s="16" t="s">
        <v>38</v>
      </c>
      <c r="D14" s="16"/>
      <c r="E14" s="23" t="s">
        <v>574</v>
      </c>
    </row>
    <row r="15" spans="1:15" ht="52" x14ac:dyDescent="0.35">
      <c r="A15" s="466" t="s">
        <v>39</v>
      </c>
      <c r="B15" s="25" t="s">
        <v>40</v>
      </c>
      <c r="C15" s="16" t="s">
        <v>22</v>
      </c>
      <c r="D15" s="16" t="s">
        <v>41</v>
      </c>
      <c r="E15" s="23" t="s">
        <v>574</v>
      </c>
    </row>
    <row r="16" spans="1:15" ht="52" x14ac:dyDescent="0.35">
      <c r="A16" s="466" t="s">
        <v>527</v>
      </c>
      <c r="B16" s="26" t="s">
        <v>42</v>
      </c>
      <c r="C16" s="16" t="s">
        <v>43</v>
      </c>
      <c r="D16" s="16" t="s">
        <v>41</v>
      </c>
      <c r="E16" s="23" t="s">
        <v>574</v>
      </c>
    </row>
    <row r="17" spans="1:5" ht="26" x14ac:dyDescent="0.35">
      <c r="A17" s="466" t="s">
        <v>528</v>
      </c>
      <c r="B17" s="27" t="s">
        <v>44</v>
      </c>
      <c r="C17" s="28" t="s">
        <v>45</v>
      </c>
      <c r="D17" s="13" t="s">
        <v>46</v>
      </c>
      <c r="E17" s="29" t="s">
        <v>575</v>
      </c>
    </row>
    <row r="18" spans="1:5" ht="104" x14ac:dyDescent="0.35">
      <c r="A18" s="466" t="s">
        <v>537</v>
      </c>
      <c r="B18" s="22" t="s">
        <v>621</v>
      </c>
      <c r="C18" s="17" t="s">
        <v>47</v>
      </c>
      <c r="D18" s="17" t="s">
        <v>48</v>
      </c>
      <c r="E18" s="30" t="s">
        <v>578</v>
      </c>
    </row>
    <row r="19" spans="1:5" ht="26" x14ac:dyDescent="0.35">
      <c r="A19" s="466" t="s">
        <v>49</v>
      </c>
      <c r="B19" s="31" t="s">
        <v>50</v>
      </c>
      <c r="C19" s="16" t="s">
        <v>51</v>
      </c>
      <c r="D19" s="16" t="s">
        <v>52</v>
      </c>
      <c r="E19" s="23" t="s">
        <v>574</v>
      </c>
    </row>
  </sheetData>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BK57"/>
  <sheetViews>
    <sheetView zoomScale="80" zoomScaleNormal="80" workbookViewId="0">
      <pane xSplit="1" ySplit="9" topLeftCell="B10" activePane="bottomRight" state="frozen"/>
      <selection pane="topRight" activeCell="B1" sqref="B1"/>
      <selection pane="bottomLeft" activeCell="A10" sqref="A10"/>
      <selection pane="bottomRight" activeCell="J9" sqref="J9"/>
    </sheetView>
  </sheetViews>
  <sheetFormatPr defaultColWidth="8.6328125" defaultRowHeight="10.5" x14ac:dyDescent="0.35"/>
  <cols>
    <col min="1" max="1" width="12.36328125" style="108" customWidth="1"/>
    <col min="2" max="19" width="8.6328125" style="89"/>
    <col min="20" max="20" width="10.54296875" style="89" customWidth="1"/>
    <col min="21" max="21" width="10.26953125" style="89" customWidth="1"/>
    <col min="22" max="28" width="8.6328125" style="89"/>
    <col min="29" max="29" width="11.08984375" style="89" customWidth="1"/>
    <col min="30" max="32" width="8.6328125" style="89"/>
    <col min="33" max="33" width="11.08984375" style="89" customWidth="1"/>
    <col min="34" max="34" width="12.6328125" style="89" customWidth="1"/>
    <col min="35" max="35" width="11" style="89" customWidth="1"/>
    <col min="36" max="36" width="8.6328125" style="89"/>
    <col min="37" max="37" width="11.26953125" style="89" customWidth="1"/>
    <col min="38" max="38" width="11.08984375" style="89" customWidth="1"/>
    <col min="39" max="41" width="8.6328125" style="89"/>
    <col min="42" max="42" width="11" style="89" customWidth="1"/>
    <col min="43" max="50" width="8.6328125" style="89"/>
    <col min="51" max="51" width="11.26953125" style="89" customWidth="1"/>
    <col min="52" max="53" width="8.6328125" style="89"/>
    <col min="54" max="54" width="10.7265625" style="89" customWidth="1"/>
    <col min="55" max="55" width="9.81640625" style="89" customWidth="1"/>
    <col min="56" max="56" width="8.6328125" style="89"/>
    <col min="57" max="57" width="8.81640625" style="109" customWidth="1"/>
    <col min="58" max="59" width="8.6328125" style="109"/>
    <col min="60" max="16384" width="8.6328125" style="89"/>
  </cols>
  <sheetData>
    <row r="1" spans="1:62" ht="17.5" thickBot="1" x14ac:dyDescent="0.4">
      <c r="A1" s="626" t="s">
        <v>632</v>
      </c>
      <c r="BE1" s="283"/>
    </row>
    <row r="2" spans="1:62" ht="13" x14ac:dyDescent="0.35">
      <c r="A2" s="111" t="s">
        <v>506</v>
      </c>
      <c r="Q2" s="278"/>
      <c r="BE2" s="911" t="s">
        <v>603</v>
      </c>
      <c r="BF2" s="912"/>
      <c r="BG2" s="912"/>
      <c r="BH2" s="912"/>
      <c r="BI2" s="444" t="s">
        <v>604</v>
      </c>
      <c r="BJ2" s="908" t="s">
        <v>605</v>
      </c>
    </row>
    <row r="3" spans="1:62" s="87" customFormat="1" ht="14.5" customHeight="1" x14ac:dyDescent="0.35">
      <c r="A3" s="627"/>
      <c r="B3" s="891" t="s">
        <v>363</v>
      </c>
      <c r="C3" s="892"/>
      <c r="D3" s="892"/>
      <c r="E3" s="892"/>
      <c r="F3" s="892"/>
      <c r="G3" s="892"/>
      <c r="H3" s="892"/>
      <c r="I3" s="892"/>
      <c r="J3" s="892"/>
      <c r="K3" s="892"/>
      <c r="L3" s="892"/>
      <c r="M3" s="892"/>
      <c r="N3" s="892"/>
      <c r="O3" s="892"/>
      <c r="P3" s="892"/>
      <c r="Q3" s="892"/>
      <c r="R3" s="892"/>
      <c r="S3" s="892"/>
      <c r="T3" s="892"/>
      <c r="U3" s="892"/>
      <c r="V3" s="892"/>
      <c r="W3" s="892"/>
      <c r="X3" s="892"/>
      <c r="Y3" s="892"/>
      <c r="Z3" s="892"/>
      <c r="AA3" s="892"/>
      <c r="AB3" s="892"/>
      <c r="AC3" s="892"/>
      <c r="AD3" s="892"/>
      <c r="AE3" s="892"/>
      <c r="AF3" s="892"/>
      <c r="AG3" s="892"/>
      <c r="AH3" s="893"/>
      <c r="AI3" s="83" t="s">
        <v>364</v>
      </c>
      <c r="AJ3" s="894" t="s">
        <v>365</v>
      </c>
      <c r="AK3" s="895"/>
      <c r="AL3" s="896" t="s">
        <v>366</v>
      </c>
      <c r="AM3" s="897"/>
      <c r="AN3" s="897"/>
      <c r="AO3" s="897"/>
      <c r="AP3" s="898"/>
      <c r="AQ3" s="899" t="s">
        <v>367</v>
      </c>
      <c r="AR3" s="900"/>
      <c r="AS3" s="900"/>
      <c r="AT3" s="900"/>
      <c r="AU3" s="900"/>
      <c r="AV3" s="900"/>
      <c r="AW3" s="900"/>
      <c r="AX3" s="900"/>
      <c r="AY3" s="900"/>
      <c r="AZ3" s="900"/>
      <c r="BA3" s="901"/>
      <c r="BB3" s="84" t="s">
        <v>368</v>
      </c>
      <c r="BC3" s="885" t="s">
        <v>369</v>
      </c>
      <c r="BD3" s="886"/>
      <c r="BE3" s="208" t="s">
        <v>363</v>
      </c>
      <c r="BF3" s="85" t="s">
        <v>366</v>
      </c>
      <c r="BG3" s="86" t="s">
        <v>365</v>
      </c>
      <c r="BH3" s="427" t="s">
        <v>363</v>
      </c>
      <c r="BI3" s="445"/>
      <c r="BJ3" s="909"/>
    </row>
    <row r="4" spans="1:62" ht="14.5" customHeight="1" x14ac:dyDescent="0.35">
      <c r="A4" s="628" t="s">
        <v>370</v>
      </c>
      <c r="B4" s="887" t="s">
        <v>176</v>
      </c>
      <c r="C4" s="887"/>
      <c r="D4" s="887"/>
      <c r="E4" s="887"/>
      <c r="F4" s="888" t="s">
        <v>195</v>
      </c>
      <c r="G4" s="889"/>
      <c r="H4" s="889"/>
      <c r="I4" s="890"/>
      <c r="J4" s="888" t="s">
        <v>206</v>
      </c>
      <c r="K4" s="890"/>
      <c r="L4" s="888" t="s">
        <v>213</v>
      </c>
      <c r="M4" s="889"/>
      <c r="N4" s="890"/>
      <c r="O4" s="888" t="s">
        <v>222</v>
      </c>
      <c r="P4" s="890"/>
      <c r="Q4" s="206" t="s">
        <v>371</v>
      </c>
      <c r="R4" s="888" t="s">
        <v>235</v>
      </c>
      <c r="S4" s="890"/>
      <c r="T4" s="888" t="s">
        <v>252</v>
      </c>
      <c r="U4" s="889"/>
      <c r="V4" s="889"/>
      <c r="W4" s="889"/>
      <c r="X4" s="889"/>
      <c r="Y4" s="890"/>
      <c r="Z4" s="888" t="s">
        <v>267</v>
      </c>
      <c r="AA4" s="889"/>
      <c r="AB4" s="889"/>
      <c r="AC4" s="889"/>
      <c r="AD4" s="889"/>
      <c r="AE4" s="889"/>
      <c r="AF4" s="890"/>
      <c r="AG4" s="206" t="s">
        <v>372</v>
      </c>
      <c r="AH4" s="206" t="s">
        <v>52</v>
      </c>
      <c r="AI4" s="206" t="s">
        <v>284</v>
      </c>
      <c r="AJ4" s="206" t="s">
        <v>289</v>
      </c>
      <c r="AK4" s="206" t="s">
        <v>297</v>
      </c>
      <c r="AL4" s="206" t="s">
        <v>303</v>
      </c>
      <c r="AM4" s="206" t="s">
        <v>308</v>
      </c>
      <c r="AN4" s="888" t="s">
        <v>313</v>
      </c>
      <c r="AO4" s="890"/>
      <c r="AP4" s="88" t="s">
        <v>320</v>
      </c>
      <c r="AQ4" s="888" t="s">
        <v>325</v>
      </c>
      <c r="AR4" s="889"/>
      <c r="AS4" s="889"/>
      <c r="AT4" s="890"/>
      <c r="AU4" s="888" t="s">
        <v>336</v>
      </c>
      <c r="AV4" s="889"/>
      <c r="AW4" s="889"/>
      <c r="AX4" s="889"/>
      <c r="AY4" s="889"/>
      <c r="AZ4" s="889"/>
      <c r="BA4" s="890"/>
      <c r="BB4" s="206" t="s">
        <v>358</v>
      </c>
      <c r="BC4" s="206" t="s">
        <v>353</v>
      </c>
      <c r="BD4" s="206" t="s">
        <v>373</v>
      </c>
      <c r="BE4" s="63" t="s">
        <v>374</v>
      </c>
      <c r="BF4" s="63" t="s">
        <v>375</v>
      </c>
      <c r="BG4" s="63" t="s">
        <v>376</v>
      </c>
      <c r="BH4" s="438" t="s">
        <v>530</v>
      </c>
      <c r="BI4" s="446"/>
      <c r="BJ4" s="909"/>
    </row>
    <row r="5" spans="1:62" ht="31.5" customHeight="1" x14ac:dyDescent="0.35">
      <c r="A5" s="630" t="s">
        <v>377</v>
      </c>
      <c r="B5" s="903" t="s">
        <v>378</v>
      </c>
      <c r="C5" s="913"/>
      <c r="D5" s="913"/>
      <c r="E5" s="913"/>
      <c r="F5" s="902" t="s">
        <v>379</v>
      </c>
      <c r="G5" s="904"/>
      <c r="H5" s="904"/>
      <c r="I5" s="903"/>
      <c r="J5" s="902" t="s">
        <v>207</v>
      </c>
      <c r="K5" s="903"/>
      <c r="L5" s="902" t="s">
        <v>380</v>
      </c>
      <c r="M5" s="904"/>
      <c r="N5" s="903"/>
      <c r="O5" s="902" t="s">
        <v>223</v>
      </c>
      <c r="P5" s="903"/>
      <c r="Q5" s="205" t="s">
        <v>170</v>
      </c>
      <c r="R5" s="902" t="s">
        <v>59</v>
      </c>
      <c r="S5" s="903"/>
      <c r="T5" s="902" t="s">
        <v>381</v>
      </c>
      <c r="U5" s="904"/>
      <c r="V5" s="904"/>
      <c r="W5" s="904"/>
      <c r="X5" s="904"/>
      <c r="Y5" s="903"/>
      <c r="Z5" s="902" t="s">
        <v>382</v>
      </c>
      <c r="AA5" s="904"/>
      <c r="AB5" s="904"/>
      <c r="AC5" s="904"/>
      <c r="AD5" s="904"/>
      <c r="AE5" s="904"/>
      <c r="AF5" s="903"/>
      <c r="AG5" s="205" t="s">
        <v>383</v>
      </c>
      <c r="AH5" s="206" t="s">
        <v>52</v>
      </c>
      <c r="AI5" s="205" t="s">
        <v>384</v>
      </c>
      <c r="AJ5" s="205" t="s">
        <v>290</v>
      </c>
      <c r="AK5" s="205" t="s">
        <v>298</v>
      </c>
      <c r="AL5" s="205" t="s">
        <v>304</v>
      </c>
      <c r="AM5" s="205" t="s">
        <v>385</v>
      </c>
      <c r="AN5" s="902" t="s">
        <v>386</v>
      </c>
      <c r="AO5" s="903"/>
      <c r="AP5" s="90" t="s">
        <v>321</v>
      </c>
      <c r="AQ5" s="902" t="s">
        <v>326</v>
      </c>
      <c r="AR5" s="904"/>
      <c r="AS5" s="904"/>
      <c r="AT5" s="903"/>
      <c r="AU5" s="902" t="s">
        <v>387</v>
      </c>
      <c r="AV5" s="904"/>
      <c r="AW5" s="904"/>
      <c r="AX5" s="904"/>
      <c r="AY5" s="904"/>
      <c r="AZ5" s="904"/>
      <c r="BA5" s="903"/>
      <c r="BB5" s="205" t="s">
        <v>359</v>
      </c>
      <c r="BC5" s="205" t="s">
        <v>354</v>
      </c>
      <c r="BD5" s="91" t="s">
        <v>388</v>
      </c>
      <c r="BE5" s="92" t="s">
        <v>389</v>
      </c>
      <c r="BF5" s="92" t="s">
        <v>390</v>
      </c>
      <c r="BG5" s="92" t="s">
        <v>391</v>
      </c>
      <c r="BH5" s="439" t="s">
        <v>392</v>
      </c>
      <c r="BI5" s="446"/>
      <c r="BJ5" s="909"/>
    </row>
    <row r="6" spans="1:62" ht="21" x14ac:dyDescent="0.35">
      <c r="A6" s="629" t="s">
        <v>602</v>
      </c>
      <c r="B6" s="905">
        <f>SlodzesAvotuNov!D7</f>
        <v>0.02</v>
      </c>
      <c r="C6" s="907"/>
      <c r="D6" s="907"/>
      <c r="E6" s="906"/>
      <c r="F6" s="905">
        <f>SlodzesAvotuNov!D11</f>
        <v>0.01</v>
      </c>
      <c r="G6" s="907"/>
      <c r="H6" s="907"/>
      <c r="I6" s="906"/>
      <c r="J6" s="905">
        <f>SlodzesAvotuNov!D15</f>
        <v>0.01</v>
      </c>
      <c r="K6" s="906"/>
      <c r="L6" s="905">
        <f>SlodzesAvotuNov!D17</f>
        <v>8.0000000000000002E-3</v>
      </c>
      <c r="M6" s="907"/>
      <c r="N6" s="906"/>
      <c r="O6" s="905">
        <f>SlodzesAvotuNov!D20</f>
        <v>6.6000000000000003E-2</v>
      </c>
      <c r="P6" s="906"/>
      <c r="Q6" s="214">
        <f>SlodzesAvotuNov!D6</f>
        <v>0.32500000000000001</v>
      </c>
      <c r="R6" s="905">
        <f>SlodzesAvotuNov!D25</f>
        <v>3.6999999999999998E-2</v>
      </c>
      <c r="S6" s="906"/>
      <c r="T6" s="905">
        <f>SlodzesAvotuNov!D32</f>
        <v>3.1E-2</v>
      </c>
      <c r="U6" s="907"/>
      <c r="V6" s="907"/>
      <c r="W6" s="907"/>
      <c r="X6" s="907"/>
      <c r="Y6" s="906"/>
      <c r="Z6" s="905">
        <f>SlodzesAvotuNov!D38</f>
        <v>0.16</v>
      </c>
      <c r="AA6" s="907"/>
      <c r="AB6" s="907"/>
      <c r="AC6" s="907"/>
      <c r="AD6" s="907"/>
      <c r="AE6" s="907"/>
      <c r="AF6" s="906"/>
      <c r="AG6" s="214" t="s">
        <v>52</v>
      </c>
      <c r="AH6" s="215"/>
      <c r="AI6" s="214">
        <f>SlodzesAvotuNov!D45</f>
        <v>0.01</v>
      </c>
      <c r="AJ6" s="214">
        <f>SlodzesAvotuNov!D46</f>
        <v>1.4999999999999999E-2</v>
      </c>
      <c r="AK6" s="214">
        <f>SlodzesAvotuNov!D49</f>
        <v>0.01</v>
      </c>
      <c r="AL6" s="214">
        <f>SlodzesAvotuNov!D50</f>
        <v>1.4E-2</v>
      </c>
      <c r="AM6" s="214">
        <f>SlodzesAvotuNov!D51</f>
        <v>1.7000000000000001E-2</v>
      </c>
      <c r="AN6" s="905">
        <f>SlodzesAvotuNov!D52</f>
        <v>0.01</v>
      </c>
      <c r="AO6" s="906"/>
      <c r="AP6" s="216">
        <f>SlodzesAvotuNov!D54</f>
        <v>0.01</v>
      </c>
      <c r="AQ6" s="905">
        <f>SlodzesAvotuNov!D55</f>
        <v>5.2999999999999999E-2</v>
      </c>
      <c r="AR6" s="907"/>
      <c r="AS6" s="907"/>
      <c r="AT6" s="906"/>
      <c r="AU6" s="905">
        <f>SlodzesAvotuNov!D59</f>
        <v>0.01</v>
      </c>
      <c r="AV6" s="907"/>
      <c r="AW6" s="907"/>
      <c r="AX6" s="907"/>
      <c r="AY6" s="907"/>
      <c r="AZ6" s="907"/>
      <c r="BA6" s="906"/>
      <c r="BB6" s="214">
        <f>SlodzesAvotuNov!D67</f>
        <v>1.4E-2</v>
      </c>
      <c r="BC6" s="214">
        <f>SlodzesAvotuNov!D66</f>
        <v>0.01</v>
      </c>
      <c r="BD6" s="214" t="s">
        <v>567</v>
      </c>
      <c r="BE6" s="875">
        <v>6.4999999999999997E-3</v>
      </c>
      <c r="BF6" s="876"/>
      <c r="BG6" s="877"/>
      <c r="BH6" s="440"/>
      <c r="BI6" s="447">
        <f>SUM(B6:BH6)+0.01</f>
        <v>0.85650000000000015</v>
      </c>
      <c r="BJ6" s="909"/>
    </row>
    <row r="7" spans="1:62" ht="14.5" customHeight="1" x14ac:dyDescent="0.35">
      <c r="A7" s="632" t="s">
        <v>393</v>
      </c>
      <c r="B7" s="93" t="s">
        <v>178</v>
      </c>
      <c r="C7" s="93" t="s">
        <v>182</v>
      </c>
      <c r="D7" s="93" t="s">
        <v>186</v>
      </c>
      <c r="E7" s="93" t="s">
        <v>190</v>
      </c>
      <c r="F7" s="94" t="s">
        <v>197</v>
      </c>
      <c r="G7" s="94" t="s">
        <v>199</v>
      </c>
      <c r="H7" s="94" t="s">
        <v>201</v>
      </c>
      <c r="I7" s="94" t="s">
        <v>203</v>
      </c>
      <c r="J7" s="93" t="s">
        <v>208</v>
      </c>
      <c r="K7" s="93" t="s">
        <v>210</v>
      </c>
      <c r="L7" s="95" t="s">
        <v>215</v>
      </c>
      <c r="M7" s="94" t="s">
        <v>217</v>
      </c>
      <c r="N7" s="94" t="s">
        <v>219</v>
      </c>
      <c r="O7" s="93" t="s">
        <v>224</v>
      </c>
      <c r="P7" s="93" t="s">
        <v>226</v>
      </c>
      <c r="Q7" s="93" t="s">
        <v>171</v>
      </c>
      <c r="R7" s="93" t="s">
        <v>237</v>
      </c>
      <c r="S7" s="93" t="s">
        <v>239</v>
      </c>
      <c r="T7" s="94" t="s">
        <v>254</v>
      </c>
      <c r="U7" s="94" t="s">
        <v>256</v>
      </c>
      <c r="V7" s="94" t="s">
        <v>258</v>
      </c>
      <c r="W7" s="94" t="s">
        <v>260</v>
      </c>
      <c r="X7" s="94" t="s">
        <v>262</v>
      </c>
      <c r="Y7" s="94" t="s">
        <v>264</v>
      </c>
      <c r="Z7" s="94" t="s">
        <v>269</v>
      </c>
      <c r="AA7" s="94" t="s">
        <v>271</v>
      </c>
      <c r="AB7" s="94" t="s">
        <v>273</v>
      </c>
      <c r="AC7" s="93" t="s">
        <v>277</v>
      </c>
      <c r="AD7" s="93" t="s">
        <v>275</v>
      </c>
      <c r="AE7" s="93" t="s">
        <v>279</v>
      </c>
      <c r="AF7" s="93" t="s">
        <v>281</v>
      </c>
      <c r="AG7" s="93" t="s">
        <v>394</v>
      </c>
      <c r="AH7" s="93" t="s">
        <v>395</v>
      </c>
      <c r="AI7" s="93" t="s">
        <v>286</v>
      </c>
      <c r="AJ7" s="93" t="s">
        <v>291</v>
      </c>
      <c r="AK7" s="94" t="s">
        <v>299</v>
      </c>
      <c r="AL7" s="94" t="s">
        <v>305</v>
      </c>
      <c r="AM7" s="93" t="s">
        <v>310</v>
      </c>
      <c r="AN7" s="93" t="s">
        <v>315</v>
      </c>
      <c r="AO7" s="93" t="s">
        <v>317</v>
      </c>
      <c r="AP7" s="93" t="s">
        <v>322</v>
      </c>
      <c r="AQ7" s="93" t="s">
        <v>327</v>
      </c>
      <c r="AR7" s="93" t="s">
        <v>329</v>
      </c>
      <c r="AS7" s="93" t="s">
        <v>331</v>
      </c>
      <c r="AT7" s="93" t="s">
        <v>333</v>
      </c>
      <c r="AU7" s="94" t="s">
        <v>338</v>
      </c>
      <c r="AV7" s="94" t="s">
        <v>340</v>
      </c>
      <c r="AW7" s="94" t="s">
        <v>342</v>
      </c>
      <c r="AX7" s="94" t="s">
        <v>344</v>
      </c>
      <c r="AY7" s="94" t="s">
        <v>346</v>
      </c>
      <c r="AZ7" s="94" t="s">
        <v>348</v>
      </c>
      <c r="BA7" s="94" t="s">
        <v>350</v>
      </c>
      <c r="BB7" s="93" t="s">
        <v>360</v>
      </c>
      <c r="BC7" s="93" t="s">
        <v>355</v>
      </c>
      <c r="BD7" s="93" t="s">
        <v>396</v>
      </c>
      <c r="BE7" s="209" t="s">
        <v>531</v>
      </c>
      <c r="BF7" s="209" t="s">
        <v>532</v>
      </c>
      <c r="BG7" s="209" t="s">
        <v>533</v>
      </c>
      <c r="BH7" s="441" t="s">
        <v>534</v>
      </c>
      <c r="BI7" s="446"/>
      <c r="BJ7" s="909"/>
    </row>
    <row r="8" spans="1:62" ht="63" x14ac:dyDescent="0.35">
      <c r="A8" s="634" t="s">
        <v>397</v>
      </c>
      <c r="B8" s="631" t="s">
        <v>179</v>
      </c>
      <c r="C8" s="96" t="s">
        <v>183</v>
      </c>
      <c r="D8" s="96" t="s">
        <v>187</v>
      </c>
      <c r="E8" s="96" t="s">
        <v>191</v>
      </c>
      <c r="F8" s="97" t="s">
        <v>198</v>
      </c>
      <c r="G8" s="97" t="s">
        <v>200</v>
      </c>
      <c r="H8" s="97" t="s">
        <v>202</v>
      </c>
      <c r="I8" s="97" t="s">
        <v>204</v>
      </c>
      <c r="J8" s="96" t="s">
        <v>209</v>
      </c>
      <c r="K8" s="96" t="s">
        <v>211</v>
      </c>
      <c r="L8" s="97" t="s">
        <v>216</v>
      </c>
      <c r="M8" s="97" t="s">
        <v>218</v>
      </c>
      <c r="N8" s="97" t="s">
        <v>220</v>
      </c>
      <c r="O8" s="96" t="s">
        <v>225</v>
      </c>
      <c r="P8" s="97" t="s">
        <v>227</v>
      </c>
      <c r="Q8" s="96" t="s">
        <v>398</v>
      </c>
      <c r="R8" s="96" t="s">
        <v>238</v>
      </c>
      <c r="S8" s="97" t="s">
        <v>240</v>
      </c>
      <c r="T8" s="97" t="s">
        <v>255</v>
      </c>
      <c r="U8" s="97" t="s">
        <v>257</v>
      </c>
      <c r="V8" s="97" t="s">
        <v>259</v>
      </c>
      <c r="W8" s="97" t="s">
        <v>261</v>
      </c>
      <c r="X8" s="97" t="s">
        <v>263</v>
      </c>
      <c r="Y8" s="97" t="s">
        <v>265</v>
      </c>
      <c r="Z8" s="97" t="s">
        <v>270</v>
      </c>
      <c r="AA8" s="97" t="s">
        <v>272</v>
      </c>
      <c r="AB8" s="97" t="s">
        <v>274</v>
      </c>
      <c r="AC8" s="96" t="s">
        <v>693</v>
      </c>
      <c r="AD8" s="96" t="s">
        <v>276</v>
      </c>
      <c r="AE8" s="96" t="s">
        <v>280</v>
      </c>
      <c r="AF8" s="96" t="s">
        <v>282</v>
      </c>
      <c r="AG8" s="96" t="s">
        <v>399</v>
      </c>
      <c r="AH8" s="96" t="s">
        <v>400</v>
      </c>
      <c r="AI8" s="96" t="s">
        <v>287</v>
      </c>
      <c r="AJ8" s="96" t="s">
        <v>290</v>
      </c>
      <c r="AK8" s="98" t="s">
        <v>300</v>
      </c>
      <c r="AL8" s="98" t="s">
        <v>306</v>
      </c>
      <c r="AM8" s="96" t="s">
        <v>311</v>
      </c>
      <c r="AN8" s="96" t="s">
        <v>316</v>
      </c>
      <c r="AO8" s="96" t="s">
        <v>318</v>
      </c>
      <c r="AP8" s="96" t="s">
        <v>323</v>
      </c>
      <c r="AQ8" s="96" t="s">
        <v>328</v>
      </c>
      <c r="AR8" s="96" t="s">
        <v>330</v>
      </c>
      <c r="AS8" s="96" t="s">
        <v>332</v>
      </c>
      <c r="AT8" s="96" t="s">
        <v>334</v>
      </c>
      <c r="AU8" s="98" t="s">
        <v>339</v>
      </c>
      <c r="AV8" s="98" t="s">
        <v>341</v>
      </c>
      <c r="AW8" s="98" t="s">
        <v>343</v>
      </c>
      <c r="AX8" s="98" t="s">
        <v>345</v>
      </c>
      <c r="AY8" s="98" t="s">
        <v>347</v>
      </c>
      <c r="AZ8" s="98" t="s">
        <v>349</v>
      </c>
      <c r="BA8" s="98" t="s">
        <v>351</v>
      </c>
      <c r="BB8" s="99" t="s">
        <v>361</v>
      </c>
      <c r="BC8" s="96" t="s">
        <v>356</v>
      </c>
      <c r="BD8" s="96" t="s">
        <v>401</v>
      </c>
      <c r="BE8" s="210" t="s">
        <v>535</v>
      </c>
      <c r="BF8" s="210" t="s">
        <v>390</v>
      </c>
      <c r="BG8" s="210" t="s">
        <v>391</v>
      </c>
      <c r="BH8" s="442" t="s">
        <v>536</v>
      </c>
      <c r="BI8" s="446"/>
      <c r="BJ8" s="909"/>
    </row>
    <row r="9" spans="1:62" ht="21.5" thickBot="1" x14ac:dyDescent="0.4">
      <c r="A9" s="633" t="s">
        <v>402</v>
      </c>
      <c r="B9" s="100">
        <v>1.2999999999999999E-2</v>
      </c>
      <c r="C9" s="101">
        <v>3.0000000000000001E-3</v>
      </c>
      <c r="D9" s="101">
        <v>1E-3</v>
      </c>
      <c r="E9" s="101">
        <v>3.0000000000000001E-5</v>
      </c>
      <c r="F9" s="102">
        <v>1.1999999999999999E-3</v>
      </c>
      <c r="G9" s="102">
        <v>1E-4</v>
      </c>
      <c r="H9" s="102">
        <v>2.5000000000000001E-3</v>
      </c>
      <c r="I9" s="102">
        <v>3.0999999999999999E-3</v>
      </c>
      <c r="J9" s="100">
        <v>6.0000000000000001E-3</v>
      </c>
      <c r="K9" s="103">
        <v>0</v>
      </c>
      <c r="L9" s="102">
        <v>0</v>
      </c>
      <c r="M9" s="102">
        <v>4.0000000000000001E-3</v>
      </c>
      <c r="N9" s="102">
        <v>4.0000000000000001E-3</v>
      </c>
      <c r="O9" s="233">
        <v>3.5000000000000003E-2</v>
      </c>
      <c r="P9" s="234">
        <v>1E-3</v>
      </c>
      <c r="Q9" s="104">
        <v>0.32</v>
      </c>
      <c r="R9" s="104">
        <v>3.5999999999999997E-2</v>
      </c>
      <c r="S9" s="105">
        <v>1E-3</v>
      </c>
      <c r="T9" s="106">
        <v>1.6E-2</v>
      </c>
      <c r="U9" s="106">
        <v>5.0000000000000001E-3</v>
      </c>
      <c r="V9" s="106">
        <v>1.4999999999999999E-2</v>
      </c>
      <c r="W9" s="107">
        <v>1.1999999999999999E-3</v>
      </c>
      <c r="X9" s="107">
        <v>1E-4</v>
      </c>
      <c r="Y9" s="107">
        <v>4.0000000000000002E-4</v>
      </c>
      <c r="Z9" s="101">
        <v>4.0000000000000001E-3</v>
      </c>
      <c r="AA9" s="100">
        <v>8.1000000000000003E-2</v>
      </c>
      <c r="AB9" s="100">
        <v>2.4E-2</v>
      </c>
      <c r="AC9" s="100">
        <v>8.5999999999999993E-2</v>
      </c>
      <c r="AD9" s="100">
        <v>5.0000000000000001E-3</v>
      </c>
      <c r="AE9" s="100">
        <v>1.4999999999999999E-2</v>
      </c>
      <c r="AF9" s="100">
        <v>2.5000000000000001E-2</v>
      </c>
      <c r="AG9" s="100">
        <v>8.0000000000000002E-3</v>
      </c>
      <c r="AH9" s="100">
        <v>6.0000000000000001E-3</v>
      </c>
      <c r="AI9" s="100">
        <v>1.0999999999999999E-2</v>
      </c>
      <c r="AJ9" s="100">
        <v>2.1000000000000001E-2</v>
      </c>
      <c r="AK9" s="104">
        <v>8.9999999999999993E-3</v>
      </c>
      <c r="AL9" s="104">
        <v>1.4E-2</v>
      </c>
      <c r="AM9" s="100">
        <v>1.9E-2</v>
      </c>
      <c r="AN9" s="100">
        <v>8.0000000000000002E-3</v>
      </c>
      <c r="AO9" s="101">
        <v>1E-3</v>
      </c>
      <c r="AP9" s="100">
        <v>1.2999999999999999E-2</v>
      </c>
      <c r="AQ9" s="100">
        <v>7.0000000000000001E-3</v>
      </c>
      <c r="AR9" s="100">
        <v>6.2E-2</v>
      </c>
      <c r="AS9" s="101">
        <v>1E-3</v>
      </c>
      <c r="AT9" s="101">
        <v>2E-3</v>
      </c>
      <c r="AU9" s="101">
        <v>2E-3</v>
      </c>
      <c r="AV9" s="101">
        <v>2.0000000000000001E-4</v>
      </c>
      <c r="AW9" s="101">
        <v>2.9999999999999997E-4</v>
      </c>
      <c r="AX9" s="101">
        <v>1E-3</v>
      </c>
      <c r="AY9" s="101">
        <v>1E-3</v>
      </c>
      <c r="AZ9" s="101">
        <v>1E-4</v>
      </c>
      <c r="BA9" s="101">
        <v>4.0000000000000002E-4</v>
      </c>
      <c r="BB9" s="100">
        <v>2.4E-2</v>
      </c>
      <c r="BC9" s="100">
        <v>8.9999999999999993E-3</v>
      </c>
      <c r="BD9" s="100">
        <v>5.0000000000000001E-3</v>
      </c>
      <c r="BE9" s="211">
        <v>1.4E-3</v>
      </c>
      <c r="BF9" s="211">
        <v>1.2999999999999999E-3</v>
      </c>
      <c r="BG9" s="211">
        <v>1.6000000000000001E-3</v>
      </c>
      <c r="BH9" s="443">
        <v>3.0000000000000001E-3</v>
      </c>
      <c r="BI9" s="448">
        <f>SUM(B9:BH9)</f>
        <v>0.94093000000000004</v>
      </c>
      <c r="BJ9" s="910"/>
    </row>
    <row r="10" spans="1:62" x14ac:dyDescent="0.25">
      <c r="A10" s="256" t="s">
        <v>7</v>
      </c>
      <c r="B10" s="241"/>
      <c r="C10" s="241"/>
      <c r="D10" s="241"/>
      <c r="E10" s="241"/>
      <c r="F10" s="241"/>
      <c r="G10" s="241"/>
      <c r="H10" s="241"/>
      <c r="I10" s="241"/>
      <c r="J10" s="241"/>
      <c r="K10" s="241"/>
      <c r="L10" s="241"/>
      <c r="M10" s="241"/>
      <c r="N10" s="249"/>
      <c r="O10" s="241"/>
      <c r="P10" s="241"/>
      <c r="Q10" s="250"/>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4"/>
      <c r="BF10" s="241"/>
      <c r="BG10" s="241"/>
      <c r="BH10" s="241"/>
      <c r="BJ10" s="449"/>
    </row>
    <row r="11" spans="1:62" x14ac:dyDescent="0.25">
      <c r="A11" s="255" t="s">
        <v>549</v>
      </c>
      <c r="B11" s="63"/>
      <c r="C11" s="63"/>
      <c r="D11" s="63"/>
      <c r="E11" s="63"/>
      <c r="F11" s="63"/>
      <c r="G11" s="63"/>
      <c r="H11" s="63"/>
      <c r="I11" s="63"/>
      <c r="J11" s="63"/>
      <c r="K11" s="63"/>
      <c r="L11" s="63"/>
      <c r="M11" s="63"/>
      <c r="N11" s="240"/>
      <c r="O11" s="871">
        <f>(O9*O12+P9*P12)/SUM(O9:P9)</f>
        <v>0.97222222222222221</v>
      </c>
      <c r="P11" s="871"/>
      <c r="Q11" s="242"/>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243"/>
      <c r="BF11" s="63"/>
      <c r="BG11" s="63"/>
      <c r="BH11" s="63"/>
      <c r="BJ11" s="450">
        <f>O11*$O$6+O14*O6</f>
        <v>7.6999999999999999E-2</v>
      </c>
    </row>
    <row r="12" spans="1:62" x14ac:dyDescent="0.25">
      <c r="A12" s="255" t="s">
        <v>550</v>
      </c>
      <c r="B12" s="63"/>
      <c r="C12" s="63"/>
      <c r="D12" s="63"/>
      <c r="E12" s="63"/>
      <c r="F12" s="63"/>
      <c r="G12" s="63"/>
      <c r="H12" s="63"/>
      <c r="I12" s="63"/>
      <c r="J12" s="63"/>
      <c r="K12" s="63"/>
      <c r="L12" s="63"/>
      <c r="M12" s="63"/>
      <c r="N12" s="240"/>
      <c r="O12" s="257">
        <v>1</v>
      </c>
      <c r="P12" s="209"/>
      <c r="Q12" s="242"/>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243"/>
      <c r="BF12" s="63"/>
      <c r="BG12" s="63"/>
      <c r="BH12" s="63"/>
      <c r="BJ12" s="450">
        <f>O12*$O$9+O15*O9</f>
        <v>4.2000000000000003E-2</v>
      </c>
    </row>
    <row r="13" spans="1:62" x14ac:dyDescent="0.25">
      <c r="A13" s="256" t="s">
        <v>8</v>
      </c>
      <c r="B13" s="241"/>
      <c r="C13" s="241"/>
      <c r="D13" s="241"/>
      <c r="E13" s="241"/>
      <c r="F13" s="241"/>
      <c r="G13" s="241"/>
      <c r="H13" s="241"/>
      <c r="I13" s="241"/>
      <c r="J13" s="241"/>
      <c r="K13" s="241"/>
      <c r="L13" s="241"/>
      <c r="M13" s="241"/>
      <c r="N13" s="249"/>
      <c r="O13" s="241"/>
      <c r="P13" s="241"/>
      <c r="Q13" s="250"/>
      <c r="R13" s="241"/>
      <c r="S13" s="241"/>
      <c r="T13" s="241"/>
      <c r="U13" s="241"/>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4"/>
      <c r="BF13" s="241"/>
      <c r="BG13" s="241"/>
      <c r="BH13" s="241"/>
      <c r="BJ13" s="451"/>
    </row>
    <row r="14" spans="1:62" x14ac:dyDescent="0.25">
      <c r="A14" s="255" t="s">
        <v>549</v>
      </c>
      <c r="B14" s="63"/>
      <c r="C14" s="63"/>
      <c r="D14" s="63"/>
      <c r="E14" s="63"/>
      <c r="F14" s="63"/>
      <c r="G14" s="63"/>
      <c r="H14" s="63"/>
      <c r="I14" s="63"/>
      <c r="J14" s="63"/>
      <c r="K14" s="63"/>
      <c r="L14" s="63"/>
      <c r="M14" s="63"/>
      <c r="N14" s="240"/>
      <c r="O14" s="871">
        <f>(O9*O15+P9*P15)/SUM(O9:P9)</f>
        <v>0.19444444444444445</v>
      </c>
      <c r="P14" s="871"/>
      <c r="Q14" s="242"/>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243"/>
      <c r="BF14" s="63"/>
      <c r="BG14" s="63"/>
      <c r="BH14" s="63"/>
      <c r="BJ14" s="451"/>
    </row>
    <row r="15" spans="1:62" x14ac:dyDescent="0.25">
      <c r="A15" s="255" t="s">
        <v>550</v>
      </c>
      <c r="B15" s="63"/>
      <c r="C15" s="63"/>
      <c r="D15" s="63"/>
      <c r="E15" s="63"/>
      <c r="F15" s="63"/>
      <c r="G15" s="63"/>
      <c r="H15" s="63"/>
      <c r="I15" s="63"/>
      <c r="J15" s="63"/>
      <c r="K15" s="63"/>
      <c r="L15" s="63"/>
      <c r="M15" s="63"/>
      <c r="N15" s="240"/>
      <c r="O15" s="257">
        <v>0.2</v>
      </c>
      <c r="P15" s="209"/>
      <c r="Q15" s="242"/>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243"/>
      <c r="BF15" s="63"/>
      <c r="BG15" s="63"/>
      <c r="BH15" s="63"/>
      <c r="BJ15" s="451"/>
    </row>
    <row r="16" spans="1:62" x14ac:dyDescent="0.25">
      <c r="A16" s="256" t="s">
        <v>11</v>
      </c>
      <c r="B16" s="241"/>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4"/>
      <c r="BF16" s="241"/>
      <c r="BG16" s="241"/>
      <c r="BH16" s="241"/>
      <c r="BJ16" s="451"/>
    </row>
    <row r="17" spans="1:63" x14ac:dyDescent="0.25">
      <c r="A17" s="255" t="s">
        <v>549</v>
      </c>
      <c r="B17" s="63"/>
      <c r="C17" s="63"/>
      <c r="D17" s="63"/>
      <c r="E17" s="63"/>
      <c r="F17" s="878">
        <f>(F9*F18+G9*G18+H9*H18)/SUM(F9:I9)</f>
        <v>0.55072463768115942</v>
      </c>
      <c r="G17" s="879"/>
      <c r="H17" s="879"/>
      <c r="I17" s="880"/>
      <c r="J17" s="63"/>
      <c r="K17" s="63"/>
      <c r="L17" s="63"/>
      <c r="M17" s="63"/>
      <c r="N17" s="63"/>
      <c r="O17" s="63"/>
      <c r="P17" s="63"/>
      <c r="Q17" s="63"/>
      <c r="R17" s="63"/>
      <c r="S17" s="63"/>
      <c r="T17" s="881">
        <f>(U9*U18+W9*W18+Y9*Y18)/SUM(T9:Y9)</f>
        <v>0.14641909814323606</v>
      </c>
      <c r="U17" s="882"/>
      <c r="V17" s="882"/>
      <c r="W17" s="882"/>
      <c r="X17" s="882"/>
      <c r="Y17" s="883"/>
      <c r="Z17" s="878">
        <f>(AE9*AE18+AF9*AF18)/SUM(Z9:AF9)</f>
        <v>7.4999999999999983E-2</v>
      </c>
      <c r="AA17" s="879"/>
      <c r="AB17" s="879"/>
      <c r="AC17" s="879"/>
      <c r="AD17" s="879"/>
      <c r="AE17" s="879"/>
      <c r="AF17" s="880"/>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243"/>
      <c r="BF17" s="63"/>
      <c r="BG17" s="63"/>
      <c r="BH17" s="63"/>
      <c r="BJ17" s="450">
        <f>F17*F6+T17*T6+Z17*Z6</f>
        <v>2.204623841925191E-2</v>
      </c>
    </row>
    <row r="18" spans="1:63" x14ac:dyDescent="0.25">
      <c r="A18" s="255" t="s">
        <v>550</v>
      </c>
      <c r="B18" s="63"/>
      <c r="C18" s="63"/>
      <c r="D18" s="63"/>
      <c r="E18" s="63"/>
      <c r="F18" s="257">
        <v>1</v>
      </c>
      <c r="G18" s="257">
        <v>1</v>
      </c>
      <c r="H18" s="257">
        <v>1</v>
      </c>
      <c r="I18" s="63"/>
      <c r="J18" s="63"/>
      <c r="K18" s="63"/>
      <c r="L18" s="63"/>
      <c r="M18" s="63"/>
      <c r="N18" s="63"/>
      <c r="O18" s="63"/>
      <c r="P18" s="63"/>
      <c r="Q18" s="63"/>
      <c r="R18" s="63"/>
      <c r="S18" s="63"/>
      <c r="T18" s="63"/>
      <c r="U18" s="257">
        <v>0.8</v>
      </c>
      <c r="V18" s="63"/>
      <c r="W18" s="257">
        <v>1</v>
      </c>
      <c r="X18" s="63"/>
      <c r="Y18" s="257">
        <v>0.8</v>
      </c>
      <c r="Z18" s="63"/>
      <c r="AA18" s="63"/>
      <c r="AB18" s="63"/>
      <c r="AC18" s="63"/>
      <c r="AD18" s="63"/>
      <c r="AE18" s="257">
        <v>0.7</v>
      </c>
      <c r="AF18" s="257">
        <v>0.3</v>
      </c>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243"/>
      <c r="BF18" s="63"/>
      <c r="BG18" s="63"/>
      <c r="BH18" s="63"/>
      <c r="BJ18" s="450">
        <f>F9*F18+G9*G18+H9*H18+U9*U18+W9*W18+Y9*Y18+AE9*AE18+AF9*AF18</f>
        <v>2.7319999999999997E-2</v>
      </c>
    </row>
    <row r="19" spans="1:63" x14ac:dyDescent="0.25">
      <c r="A19" s="256" t="s">
        <v>15</v>
      </c>
      <c r="B19" s="241"/>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1"/>
      <c r="BA19" s="241"/>
      <c r="BB19" s="241"/>
      <c r="BC19" s="241"/>
      <c r="BD19" s="241"/>
      <c r="BE19" s="244"/>
      <c r="BF19" s="241"/>
      <c r="BG19" s="241"/>
      <c r="BH19" s="241"/>
      <c r="BJ19" s="451"/>
    </row>
    <row r="20" spans="1:63" x14ac:dyDescent="0.25">
      <c r="A20" s="255" t="s">
        <v>549</v>
      </c>
      <c r="B20" s="209"/>
      <c r="C20" s="63"/>
      <c r="D20" s="63"/>
      <c r="E20" s="63"/>
      <c r="F20" s="63"/>
      <c r="G20" s="63"/>
      <c r="H20" s="63"/>
      <c r="I20" s="63"/>
      <c r="J20" s="63"/>
      <c r="K20" s="63"/>
      <c r="L20" s="872">
        <f>(L9*L21+M9*M21+N9*N21)/SUM(L9:N9)</f>
        <v>0.95000000000000007</v>
      </c>
      <c r="M20" s="873"/>
      <c r="N20" s="874"/>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243"/>
      <c r="BF20" s="63"/>
      <c r="BG20" s="63"/>
      <c r="BH20" s="63"/>
      <c r="BJ20" s="450">
        <f>L20*L6</f>
        <v>7.6000000000000009E-3</v>
      </c>
    </row>
    <row r="21" spans="1:63" ht="11" thickBot="1" x14ac:dyDescent="0.3">
      <c r="A21" s="255" t="s">
        <v>550</v>
      </c>
      <c r="B21" s="209"/>
      <c r="C21" s="63"/>
      <c r="D21" s="63"/>
      <c r="E21" s="63"/>
      <c r="F21" s="63"/>
      <c r="G21" s="63"/>
      <c r="H21" s="63"/>
      <c r="I21" s="63"/>
      <c r="J21" s="63"/>
      <c r="K21" s="63"/>
      <c r="L21" s="257">
        <v>1</v>
      </c>
      <c r="M21" s="257">
        <v>0.9</v>
      </c>
      <c r="N21" s="257">
        <v>1</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243"/>
      <c r="BF21" s="63"/>
      <c r="BG21" s="63"/>
      <c r="BH21" s="63"/>
      <c r="BJ21" s="452">
        <f>L21*L9+M21*M9+N21*N9</f>
        <v>7.6000000000000009E-3</v>
      </c>
    </row>
    <row r="22" spans="1:63" x14ac:dyDescent="0.25">
      <c r="A22" s="256" t="s">
        <v>18</v>
      </c>
      <c r="B22" s="241"/>
      <c r="C22" s="241"/>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1"/>
      <c r="AX22" s="241"/>
      <c r="AY22" s="241"/>
      <c r="AZ22" s="241"/>
      <c r="BA22" s="241"/>
      <c r="BB22" s="241"/>
      <c r="BC22" s="241"/>
      <c r="BD22" s="241"/>
      <c r="BE22" s="244"/>
      <c r="BF22" s="241"/>
      <c r="BG22" s="241"/>
      <c r="BH22" s="241"/>
      <c r="BJ22" s="456" t="s">
        <v>570</v>
      </c>
      <c r="BK22" s="457" t="s">
        <v>573</v>
      </c>
    </row>
    <row r="23" spans="1:63" x14ac:dyDescent="0.25">
      <c r="A23" s="255" t="s">
        <v>549</v>
      </c>
      <c r="B23" s="878">
        <f>(B9*B24+D9*D24)/SUM(B9:E9)</f>
        <v>0.7985907222548444</v>
      </c>
      <c r="C23" s="879"/>
      <c r="D23" s="879"/>
      <c r="E23" s="880"/>
      <c r="F23" s="63"/>
      <c r="G23" s="63"/>
      <c r="H23" s="63"/>
      <c r="I23" s="63"/>
      <c r="J23" s="872">
        <f>(J9*J24+K9*K24)/SUM(J9:K9)</f>
        <v>1</v>
      </c>
      <c r="K23" s="874"/>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243"/>
      <c r="BF23" s="63"/>
      <c r="BG23" s="63"/>
      <c r="BH23" s="63"/>
      <c r="BJ23" s="458">
        <f>B23*B6</f>
        <v>1.5971814445096887E-2</v>
      </c>
      <c r="BK23" s="459">
        <f>J23*J6</f>
        <v>0.01</v>
      </c>
    </row>
    <row r="24" spans="1:63" ht="11" thickBot="1" x14ac:dyDescent="0.3">
      <c r="A24" s="255" t="s">
        <v>550</v>
      </c>
      <c r="B24" s="257">
        <v>1</v>
      </c>
      <c r="C24" s="63"/>
      <c r="D24" s="257">
        <v>0.6</v>
      </c>
      <c r="E24" s="63"/>
      <c r="F24" s="63"/>
      <c r="G24" s="63"/>
      <c r="H24" s="63"/>
      <c r="I24" s="63"/>
      <c r="J24" s="257">
        <v>1</v>
      </c>
      <c r="K24" s="257">
        <v>1</v>
      </c>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243"/>
      <c r="BF24" s="63"/>
      <c r="BG24" s="63"/>
      <c r="BH24" s="63"/>
      <c r="BJ24" s="460">
        <f>B24*B9+D24*D9</f>
        <v>1.3599999999999999E-2</v>
      </c>
      <c r="BK24" s="461">
        <f>J24*J9+K24*K9</f>
        <v>6.0000000000000001E-3</v>
      </c>
    </row>
    <row r="25" spans="1:63" x14ac:dyDescent="0.25">
      <c r="A25" s="256" t="s">
        <v>525</v>
      </c>
      <c r="B25" s="241"/>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4"/>
      <c r="BF25" s="241"/>
      <c r="BG25" s="241"/>
      <c r="BH25" s="241"/>
      <c r="BJ25" s="454"/>
    </row>
    <row r="26" spans="1:63" x14ac:dyDescent="0.25">
      <c r="A26" s="255" t="s">
        <v>549</v>
      </c>
      <c r="B26" s="63"/>
      <c r="C26" s="63"/>
      <c r="D26" s="63"/>
      <c r="E26" s="63"/>
      <c r="F26" s="63"/>
      <c r="G26" s="63"/>
      <c r="H26" s="63"/>
      <c r="I26" s="63"/>
      <c r="J26" s="63"/>
      <c r="K26" s="63"/>
      <c r="L26" s="63"/>
      <c r="M26" s="63"/>
      <c r="N26" s="63"/>
      <c r="O26" s="63"/>
      <c r="P26" s="63"/>
      <c r="Q26" s="262">
        <v>1</v>
      </c>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243"/>
      <c r="BF26" s="63"/>
      <c r="BG26" s="63"/>
      <c r="BH26" s="63"/>
      <c r="BJ26" s="453">
        <f>Q26*Q6</f>
        <v>0.32500000000000001</v>
      </c>
    </row>
    <row r="27" spans="1:63" x14ac:dyDescent="0.25">
      <c r="A27" s="255" t="s">
        <v>550</v>
      </c>
      <c r="B27" s="63"/>
      <c r="C27" s="63"/>
      <c r="D27" s="63"/>
      <c r="E27" s="63"/>
      <c r="F27" s="63"/>
      <c r="G27" s="63"/>
      <c r="H27" s="63"/>
      <c r="I27" s="63"/>
      <c r="J27" s="63"/>
      <c r="K27" s="63"/>
      <c r="L27" s="63"/>
      <c r="M27" s="63"/>
      <c r="N27" s="63"/>
      <c r="O27" s="63"/>
      <c r="P27" s="63"/>
      <c r="Q27" s="257">
        <v>1</v>
      </c>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243"/>
      <c r="BF27" s="63"/>
      <c r="BG27" s="63"/>
      <c r="BH27" s="63"/>
      <c r="BJ27" s="453">
        <f>Q9*Q27</f>
        <v>0.32</v>
      </c>
    </row>
    <row r="28" spans="1:63" x14ac:dyDescent="0.25">
      <c r="A28" s="256" t="s">
        <v>24</v>
      </c>
      <c r="B28" s="241"/>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c r="BB28" s="241"/>
      <c r="BC28" s="241"/>
      <c r="BD28" s="241"/>
      <c r="BE28" s="244"/>
      <c r="BF28" s="241"/>
      <c r="BG28" s="241"/>
      <c r="BH28" s="241"/>
      <c r="BJ28" s="451"/>
    </row>
    <row r="29" spans="1:63" x14ac:dyDescent="0.25">
      <c r="A29" s="255" t="s">
        <v>549</v>
      </c>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257">
        <v>0.8</v>
      </c>
      <c r="BD29" s="63"/>
      <c r="BE29" s="243"/>
      <c r="BF29" s="63"/>
      <c r="BG29" s="63"/>
      <c r="BH29" s="257"/>
      <c r="BJ29" s="450">
        <f>BC29*BC6+BH29*BH6</f>
        <v>8.0000000000000002E-3</v>
      </c>
    </row>
    <row r="30" spans="1:63" x14ac:dyDescent="0.25">
      <c r="A30" s="255" t="s">
        <v>550</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257">
        <v>1</v>
      </c>
      <c r="BD30" s="63"/>
      <c r="BE30" s="243"/>
      <c r="BF30" s="63"/>
      <c r="BG30" s="63"/>
      <c r="BH30" s="257">
        <v>1</v>
      </c>
      <c r="BJ30" s="450">
        <f>BC30*BC9+BH30*BH9</f>
        <v>1.2E-2</v>
      </c>
    </row>
    <row r="31" spans="1:63" x14ac:dyDescent="0.25">
      <c r="A31" s="256" t="s">
        <v>26</v>
      </c>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6"/>
      <c r="BF31" s="245"/>
      <c r="BG31" s="245"/>
      <c r="BH31" s="245"/>
      <c r="BJ31" s="451"/>
    </row>
    <row r="32" spans="1:63" x14ac:dyDescent="0.25">
      <c r="A32" s="255" t="s">
        <v>549</v>
      </c>
      <c r="B32" s="63"/>
      <c r="C32" s="63"/>
      <c r="D32" s="63"/>
      <c r="E32" s="63"/>
      <c r="F32" s="63"/>
      <c r="G32" s="63"/>
      <c r="H32" s="63"/>
      <c r="I32" s="63"/>
      <c r="J32" s="63"/>
      <c r="K32" s="63"/>
      <c r="L32" s="63"/>
      <c r="M32" s="63"/>
      <c r="N32" s="63"/>
      <c r="O32" s="63"/>
      <c r="P32" s="63"/>
      <c r="Q32" s="63"/>
      <c r="R32" s="878">
        <f>(R9*R33+S9*S33)/SUM(R9:S9)</f>
        <v>0.94594594594594594</v>
      </c>
      <c r="S32" s="880"/>
      <c r="T32" s="63"/>
      <c r="U32" s="63"/>
      <c r="V32" s="63"/>
      <c r="W32" s="63"/>
      <c r="X32" s="63"/>
      <c r="Y32" s="63"/>
      <c r="Z32" s="247"/>
      <c r="AA32" s="247"/>
      <c r="AB32" s="247"/>
      <c r="AC32" s="247"/>
      <c r="AD32" s="247"/>
      <c r="AE32" s="247"/>
      <c r="AF32" s="247"/>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243"/>
      <c r="BF32" s="63"/>
      <c r="BG32" s="63"/>
      <c r="BH32" s="63"/>
      <c r="BJ32" s="450">
        <f>R32*R6</f>
        <v>3.4999999999999996E-2</v>
      </c>
    </row>
    <row r="33" spans="1:63" ht="11" thickBot="1" x14ac:dyDescent="0.3">
      <c r="A33" s="255" t="s">
        <v>550</v>
      </c>
      <c r="B33" s="63"/>
      <c r="C33" s="63"/>
      <c r="D33" s="63"/>
      <c r="E33" s="63"/>
      <c r="F33" s="63"/>
      <c r="G33" s="63"/>
      <c r="H33" s="63"/>
      <c r="I33" s="63"/>
      <c r="J33" s="63"/>
      <c r="K33" s="63"/>
      <c r="L33" s="63"/>
      <c r="M33" s="63"/>
      <c r="N33" s="63"/>
      <c r="O33" s="63"/>
      <c r="P33" s="63"/>
      <c r="Q33" s="63"/>
      <c r="R33" s="257">
        <v>0.95</v>
      </c>
      <c r="S33" s="257">
        <v>0.8</v>
      </c>
      <c r="T33" s="63"/>
      <c r="U33" s="63"/>
      <c r="V33" s="63"/>
      <c r="W33" s="63"/>
      <c r="X33" s="63"/>
      <c r="Y33" s="63"/>
      <c r="Z33" s="247"/>
      <c r="AA33" s="247"/>
      <c r="AB33" s="247"/>
      <c r="AC33" s="247"/>
      <c r="AD33" s="247"/>
      <c r="AE33" s="247"/>
      <c r="AF33" s="247"/>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243"/>
      <c r="BF33" s="63"/>
      <c r="BG33" s="63"/>
      <c r="BH33" s="63"/>
      <c r="BJ33" s="452">
        <f>R33*R9+S33*S9</f>
        <v>3.4999999999999996E-2</v>
      </c>
    </row>
    <row r="34" spans="1:63" x14ac:dyDescent="0.25">
      <c r="A34" s="256" t="s">
        <v>29</v>
      </c>
      <c r="B34" s="241"/>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8"/>
      <c r="AA34" s="248"/>
      <c r="AB34" s="248"/>
      <c r="AC34" s="248"/>
      <c r="AD34" s="248"/>
      <c r="AE34" s="248"/>
      <c r="AF34" s="248"/>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1"/>
      <c r="BC34" s="241"/>
      <c r="BD34" s="241"/>
      <c r="BE34" s="244"/>
      <c r="BF34" s="241"/>
      <c r="BG34" s="241"/>
      <c r="BH34" s="241"/>
      <c r="BJ34" s="456" t="s">
        <v>569</v>
      </c>
      <c r="BK34" s="457" t="s">
        <v>570</v>
      </c>
    </row>
    <row r="35" spans="1:63" x14ac:dyDescent="0.25">
      <c r="A35" s="255" t="s">
        <v>549</v>
      </c>
      <c r="B35" s="878">
        <f>(B9*B36)/SUM(B9:E9)</f>
        <v>0.76335877862595414</v>
      </c>
      <c r="C35" s="879"/>
      <c r="D35" s="879"/>
      <c r="E35" s="880"/>
      <c r="F35" s="63"/>
      <c r="G35" s="63"/>
      <c r="H35" s="63"/>
      <c r="I35" s="63"/>
      <c r="J35" s="872">
        <f>(J9*J36)/SUM(J9:K9)</f>
        <v>1</v>
      </c>
      <c r="K35" s="874"/>
      <c r="L35" s="63"/>
      <c r="M35" s="63"/>
      <c r="N35" s="63"/>
      <c r="O35" s="63"/>
      <c r="P35" s="63"/>
      <c r="Q35" s="63"/>
      <c r="R35" s="63"/>
      <c r="S35" s="63"/>
      <c r="T35" s="63"/>
      <c r="U35" s="63"/>
      <c r="V35" s="63"/>
      <c r="W35" s="63"/>
      <c r="X35" s="63"/>
      <c r="Y35" s="240"/>
      <c r="Z35" s="247"/>
      <c r="AA35" s="247"/>
      <c r="AB35" s="247"/>
      <c r="AC35" s="247"/>
      <c r="AD35" s="247"/>
      <c r="AE35" s="247"/>
      <c r="AF35" s="247"/>
      <c r="AG35" s="242"/>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260">
        <v>1</v>
      </c>
      <c r="BF35" s="257">
        <v>1</v>
      </c>
      <c r="BG35" s="257">
        <v>0.6</v>
      </c>
      <c r="BH35" s="63"/>
      <c r="BJ35" s="462">
        <f>BE6*AVERAGE(BE35:BG35)</f>
        <v>5.6333333333333331E-3</v>
      </c>
      <c r="BK35" s="463">
        <f>B35*B6+J35*J6</f>
        <v>2.5267175572519084E-2</v>
      </c>
    </row>
    <row r="36" spans="1:63" ht="11" thickBot="1" x14ac:dyDescent="0.3">
      <c r="A36" s="255" t="s">
        <v>550</v>
      </c>
      <c r="B36" s="257">
        <v>1</v>
      </c>
      <c r="C36" s="63"/>
      <c r="D36" s="63"/>
      <c r="E36" s="63"/>
      <c r="F36" s="63"/>
      <c r="G36" s="63"/>
      <c r="H36" s="63"/>
      <c r="I36" s="63"/>
      <c r="J36" s="257">
        <v>1</v>
      </c>
      <c r="K36" s="63"/>
      <c r="L36" s="63"/>
      <c r="M36" s="63"/>
      <c r="N36" s="63"/>
      <c r="O36" s="63"/>
      <c r="P36" s="63"/>
      <c r="Q36" s="63"/>
      <c r="R36" s="63"/>
      <c r="S36" s="63"/>
      <c r="T36" s="63"/>
      <c r="U36" s="63"/>
      <c r="V36" s="63"/>
      <c r="W36" s="63"/>
      <c r="X36" s="63"/>
      <c r="Y36" s="240"/>
      <c r="Z36" s="247"/>
      <c r="AA36" s="247"/>
      <c r="AB36" s="247"/>
      <c r="AC36" s="247"/>
      <c r="AD36" s="247"/>
      <c r="AE36" s="247"/>
      <c r="AF36" s="247"/>
      <c r="AG36" s="242"/>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260">
        <v>1</v>
      </c>
      <c r="BF36" s="257">
        <v>1</v>
      </c>
      <c r="BG36" s="257">
        <v>0.6</v>
      </c>
      <c r="BH36" s="63"/>
      <c r="BJ36" s="464">
        <f>BE36*BE9+BF36*BF9+BG36*BG9</f>
        <v>3.6600000000000001E-3</v>
      </c>
      <c r="BK36" s="465">
        <f>B36*B9+J36*J9</f>
        <v>1.9E-2</v>
      </c>
    </row>
    <row r="37" spans="1:63" x14ac:dyDescent="0.25">
      <c r="A37" s="256" t="s">
        <v>32</v>
      </c>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49"/>
      <c r="Z37" s="241"/>
      <c r="AA37" s="241"/>
      <c r="AB37" s="241"/>
      <c r="AC37" s="241"/>
      <c r="AD37" s="241"/>
      <c r="AE37" s="241"/>
      <c r="AF37" s="241"/>
      <c r="AG37" s="250"/>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1"/>
      <c r="BE37" s="244"/>
      <c r="BF37" s="241"/>
      <c r="BG37" s="241"/>
      <c r="BH37" s="241"/>
      <c r="BJ37" s="454"/>
    </row>
    <row r="38" spans="1:63" x14ac:dyDescent="0.25">
      <c r="A38" s="255" t="s">
        <v>549</v>
      </c>
      <c r="B38" s="881">
        <f>(C9*C39+E9*E39)/SUM(B9:E9)</f>
        <v>0.17792131532589547</v>
      </c>
      <c r="C38" s="882"/>
      <c r="D38" s="882"/>
      <c r="E38" s="883"/>
      <c r="F38" s="872">
        <f>(F9*F39+G9*G39+H9*H39+I9*I39)/SUM(F9:I9)</f>
        <v>1</v>
      </c>
      <c r="G38" s="873"/>
      <c r="H38" s="873"/>
      <c r="I38" s="874"/>
      <c r="J38" s="63"/>
      <c r="K38" s="63"/>
      <c r="L38" s="872">
        <f>(L9*L39+M9*M39+N9*N39)/SUM(L9:N9)</f>
        <v>1</v>
      </c>
      <c r="M38" s="873"/>
      <c r="N38" s="874"/>
      <c r="O38" s="63"/>
      <c r="P38" s="63"/>
      <c r="Q38" s="257">
        <v>1</v>
      </c>
      <c r="R38" s="63"/>
      <c r="S38" s="63"/>
      <c r="T38" s="878">
        <f>(T9*T39+U9*U39+Y9*Y39)/SUM(T9:Y9)</f>
        <v>0.39787798408488051</v>
      </c>
      <c r="U38" s="879"/>
      <c r="V38" s="879"/>
      <c r="W38" s="879"/>
      <c r="X38" s="879"/>
      <c r="Y38" s="880"/>
      <c r="Z38" s="878">
        <f>(AA9*AA39+AC9*AC39)/SUM(Z9:AF9)</f>
        <v>0.42583333333333329</v>
      </c>
      <c r="AA38" s="879"/>
      <c r="AB38" s="879"/>
      <c r="AC38" s="879"/>
      <c r="AD38" s="879"/>
      <c r="AE38" s="879"/>
      <c r="AF38" s="880"/>
      <c r="AG38" s="242"/>
      <c r="AH38" s="63"/>
      <c r="AI38" s="63"/>
      <c r="AJ38" s="63"/>
      <c r="AK38" s="63"/>
      <c r="AL38" s="63"/>
      <c r="AM38" s="63"/>
      <c r="AN38" s="63"/>
      <c r="AO38" s="63"/>
      <c r="AP38" s="63"/>
      <c r="AQ38" s="63"/>
      <c r="AR38" s="63"/>
      <c r="AS38" s="63"/>
      <c r="AT38" s="63"/>
      <c r="AU38" s="63"/>
      <c r="AV38" s="63"/>
      <c r="AW38" s="63"/>
      <c r="AX38" s="63"/>
      <c r="AY38" s="63"/>
      <c r="AZ38" s="63"/>
      <c r="BA38" s="63"/>
      <c r="BB38" s="63"/>
      <c r="BC38" s="257">
        <v>1</v>
      </c>
      <c r="BD38" s="63"/>
      <c r="BE38" s="243"/>
      <c r="BF38" s="63"/>
      <c r="BG38" s="63"/>
      <c r="BH38" s="257"/>
      <c r="BJ38" s="450">
        <f>B38*B6+F38*F6+L38*L6+Q38*Q6+T38*T6+Z38*Z6+BC38*BC6+BH38*BH6</f>
        <v>0.4370259771464825</v>
      </c>
    </row>
    <row r="39" spans="1:63" x14ac:dyDescent="0.25">
      <c r="A39" s="255" t="s">
        <v>550</v>
      </c>
      <c r="B39" s="209"/>
      <c r="C39" s="257">
        <v>1</v>
      </c>
      <c r="D39" s="209"/>
      <c r="E39" s="257">
        <v>1</v>
      </c>
      <c r="F39" s="257">
        <v>1</v>
      </c>
      <c r="G39" s="257">
        <v>1</v>
      </c>
      <c r="H39" s="257">
        <v>1</v>
      </c>
      <c r="I39" s="257">
        <v>1</v>
      </c>
      <c r="J39" s="63"/>
      <c r="K39" s="63"/>
      <c r="L39" s="258">
        <v>1</v>
      </c>
      <c r="M39" s="258">
        <v>1</v>
      </c>
      <c r="N39" s="258">
        <v>1</v>
      </c>
      <c r="O39" s="63"/>
      <c r="P39" s="63"/>
      <c r="Q39" s="257">
        <v>1</v>
      </c>
      <c r="R39" s="63"/>
      <c r="S39" s="63"/>
      <c r="T39" s="257">
        <v>0.6</v>
      </c>
      <c r="U39" s="257">
        <v>1</v>
      </c>
      <c r="V39" s="209"/>
      <c r="W39" s="209"/>
      <c r="X39" s="209"/>
      <c r="Y39" s="259">
        <v>1</v>
      </c>
      <c r="Z39" s="251"/>
      <c r="AA39" s="261">
        <v>0.2</v>
      </c>
      <c r="AB39" s="251"/>
      <c r="AC39" s="261">
        <v>1</v>
      </c>
      <c r="AD39" s="251"/>
      <c r="AE39" s="252"/>
      <c r="AF39" s="252"/>
      <c r="AG39" s="242"/>
      <c r="AH39" s="63"/>
      <c r="AI39" s="63"/>
      <c r="AJ39" s="63"/>
      <c r="AK39" s="63"/>
      <c r="AL39" s="63"/>
      <c r="AM39" s="63"/>
      <c r="AN39" s="63"/>
      <c r="AO39" s="63"/>
      <c r="AP39" s="63"/>
      <c r="AQ39" s="63"/>
      <c r="AR39" s="63"/>
      <c r="AS39" s="63"/>
      <c r="AT39" s="63"/>
      <c r="AU39" s="63"/>
      <c r="AV39" s="63"/>
      <c r="AW39" s="63"/>
      <c r="AX39" s="63"/>
      <c r="AY39" s="63"/>
      <c r="AZ39" s="63"/>
      <c r="BA39" s="63"/>
      <c r="BB39" s="63"/>
      <c r="BC39" s="257">
        <v>1</v>
      </c>
      <c r="BD39" s="63"/>
      <c r="BE39" s="243"/>
      <c r="BF39" s="63"/>
      <c r="BG39" s="63"/>
      <c r="BH39" s="257">
        <v>1</v>
      </c>
      <c r="BJ39" s="450">
        <f>C39*C9+E39*E9+F39*F9+G39*G9+H39*H9+I39*I9+L39*L9+M39*M9+N39*N9+Q39*Q9+T39*T9+U39*U9+Y39*Y9+AA39*AA9+AC39*AC9+BC39*BC9+BH39*BH9</f>
        <v>0.46713000000000005</v>
      </c>
    </row>
    <row r="40" spans="1:63" x14ac:dyDescent="0.25">
      <c r="A40" s="256" t="s">
        <v>36</v>
      </c>
      <c r="B40" s="241"/>
      <c r="C40" s="241"/>
      <c r="D40" s="241"/>
      <c r="E40" s="241"/>
      <c r="F40" s="241"/>
      <c r="G40" s="241"/>
      <c r="H40" s="241"/>
      <c r="I40" s="241"/>
      <c r="J40" s="241"/>
      <c r="K40" s="241"/>
      <c r="L40" s="248"/>
      <c r="M40" s="248"/>
      <c r="N40" s="248"/>
      <c r="O40" s="241"/>
      <c r="P40" s="241"/>
      <c r="Q40" s="241"/>
      <c r="R40" s="241"/>
      <c r="S40" s="241"/>
      <c r="T40" s="241"/>
      <c r="U40" s="241"/>
      <c r="V40" s="241"/>
      <c r="W40" s="241"/>
      <c r="X40" s="241"/>
      <c r="Y40" s="241"/>
      <c r="Z40" s="253"/>
      <c r="AA40" s="253"/>
      <c r="AB40" s="253"/>
      <c r="AC40" s="253"/>
      <c r="AD40" s="253"/>
      <c r="AE40" s="253"/>
      <c r="AF40" s="253"/>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4"/>
      <c r="BF40" s="241"/>
      <c r="BG40" s="241"/>
      <c r="BH40" s="241"/>
      <c r="BJ40" s="451"/>
    </row>
    <row r="41" spans="1:63" x14ac:dyDescent="0.25">
      <c r="A41" s="255" t="s">
        <v>549</v>
      </c>
      <c r="B41" s="872">
        <f>(B9*B42+C9*C42+D9*D42+E9*E42)/SUM(B9:E9)</f>
        <v>1</v>
      </c>
      <c r="C41" s="873"/>
      <c r="D41" s="873"/>
      <c r="E41" s="874"/>
      <c r="F41" s="209"/>
      <c r="G41" s="209"/>
      <c r="H41" s="209"/>
      <c r="I41" s="209"/>
      <c r="J41" s="872">
        <f>(J9*J42+K9*K42)/SUM(J9:K9)</f>
        <v>1</v>
      </c>
      <c r="K41" s="874"/>
      <c r="L41" s="872">
        <f>(L9*L42+M9*M42+N9*N42)/SUM(L9:N9)</f>
        <v>1</v>
      </c>
      <c r="M41" s="873"/>
      <c r="N41" s="874"/>
      <c r="O41" s="242"/>
      <c r="P41" s="63"/>
      <c r="Q41" s="63"/>
      <c r="R41" s="63"/>
      <c r="S41" s="63"/>
      <c r="T41" s="63"/>
      <c r="U41" s="63"/>
      <c r="V41" s="63"/>
      <c r="W41" s="209"/>
      <c r="X41" s="63"/>
      <c r="Y41" s="63"/>
      <c r="Z41" s="878">
        <f>(AC9*AC42)/SUM(Z9:AF9)</f>
        <v>0.35833333333333328</v>
      </c>
      <c r="AA41" s="879"/>
      <c r="AB41" s="879"/>
      <c r="AC41" s="879"/>
      <c r="AD41" s="879"/>
      <c r="AE41" s="879"/>
      <c r="AF41" s="880"/>
      <c r="AG41" s="63"/>
      <c r="AH41" s="63"/>
      <c r="AI41" s="63"/>
      <c r="AJ41" s="63"/>
      <c r="AK41" s="63"/>
      <c r="AL41" s="209"/>
      <c r="AM41" s="257">
        <f>(AM42*AM9)/AM9</f>
        <v>0.5</v>
      </c>
      <c r="AN41" s="63"/>
      <c r="AO41" s="63"/>
      <c r="AP41" s="63"/>
      <c r="AQ41" s="63"/>
      <c r="AR41" s="63"/>
      <c r="AS41" s="63"/>
      <c r="AT41" s="63"/>
      <c r="AU41" s="872">
        <f>(AX9*AX42+AY9*AY42+AZ9*AZ42+BA9*BA42)/SUM(AU9:BA9)</f>
        <v>0.49999999999999989</v>
      </c>
      <c r="AV41" s="873"/>
      <c r="AW41" s="873"/>
      <c r="AX41" s="873"/>
      <c r="AY41" s="873"/>
      <c r="AZ41" s="873"/>
      <c r="BA41" s="874"/>
      <c r="BB41" s="63"/>
      <c r="BC41" s="63"/>
      <c r="BD41" s="63"/>
      <c r="BE41" s="243"/>
      <c r="BF41" s="63"/>
      <c r="BG41" s="63"/>
      <c r="BH41" s="63"/>
      <c r="BJ41" s="450">
        <f>B41*B6+J41*J6*L41*L6+Z41*Z6+AM41*AM6+AU41*AU6</f>
        <v>9.0913333333333346E-2</v>
      </c>
    </row>
    <row r="42" spans="1:63" x14ac:dyDescent="0.25">
      <c r="A42" s="255" t="s">
        <v>550</v>
      </c>
      <c r="B42" s="257">
        <v>1</v>
      </c>
      <c r="C42" s="257">
        <v>1</v>
      </c>
      <c r="D42" s="257">
        <v>1</v>
      </c>
      <c r="E42" s="257">
        <v>1</v>
      </c>
      <c r="F42" s="209"/>
      <c r="G42" s="209"/>
      <c r="H42" s="209"/>
      <c r="I42" s="209"/>
      <c r="J42" s="257">
        <v>1</v>
      </c>
      <c r="K42" s="259">
        <v>1</v>
      </c>
      <c r="L42" s="258">
        <v>1</v>
      </c>
      <c r="M42" s="258">
        <v>1</v>
      </c>
      <c r="N42" s="258">
        <v>1</v>
      </c>
      <c r="O42" s="242"/>
      <c r="P42" s="63"/>
      <c r="Q42" s="63"/>
      <c r="R42" s="63"/>
      <c r="S42" s="63"/>
      <c r="T42" s="63"/>
      <c r="U42" s="63"/>
      <c r="V42" s="63"/>
      <c r="W42" s="209"/>
      <c r="X42" s="63"/>
      <c r="Y42" s="63"/>
      <c r="Z42" s="251"/>
      <c r="AA42" s="251"/>
      <c r="AB42" s="251"/>
      <c r="AC42" s="261">
        <v>1</v>
      </c>
      <c r="AD42" s="251"/>
      <c r="AE42" s="251"/>
      <c r="AF42" s="251"/>
      <c r="AG42" s="63"/>
      <c r="AH42" s="63"/>
      <c r="AI42" s="63"/>
      <c r="AJ42" s="63"/>
      <c r="AK42" s="63"/>
      <c r="AL42" s="209"/>
      <c r="AM42" s="257">
        <v>0.5</v>
      </c>
      <c r="AN42" s="63"/>
      <c r="AO42" s="63"/>
      <c r="AP42" s="63"/>
      <c r="AQ42" s="63"/>
      <c r="AR42" s="63"/>
      <c r="AS42" s="63"/>
      <c r="AT42" s="63"/>
      <c r="AU42" s="63"/>
      <c r="AV42" s="63"/>
      <c r="AW42" s="63"/>
      <c r="AX42" s="257">
        <v>1</v>
      </c>
      <c r="AY42" s="257">
        <v>1</v>
      </c>
      <c r="AZ42" s="257">
        <v>1</v>
      </c>
      <c r="BA42" s="257">
        <v>1</v>
      </c>
      <c r="BB42" s="63"/>
      <c r="BC42" s="63"/>
      <c r="BD42" s="63"/>
      <c r="BE42" s="243"/>
      <c r="BF42" s="63"/>
      <c r="BG42" s="63"/>
      <c r="BH42" s="63"/>
      <c r="BJ42" s="450">
        <f>SUM(B9:E9)*1+SUM(J9:N9)*1+AC42*AC9+AM42*AM9+SUM(AX9:BA9)*1</f>
        <v>0.12903000000000001</v>
      </c>
    </row>
    <row r="43" spans="1:63" x14ac:dyDescent="0.25">
      <c r="A43" s="256" t="s">
        <v>39</v>
      </c>
      <c r="B43" s="241"/>
      <c r="C43" s="241"/>
      <c r="D43" s="241"/>
      <c r="E43" s="241"/>
      <c r="F43" s="241"/>
      <c r="G43" s="241"/>
      <c r="H43" s="241"/>
      <c r="I43" s="241"/>
      <c r="J43" s="241"/>
      <c r="K43" s="249"/>
      <c r="L43" s="241"/>
      <c r="M43" s="241"/>
      <c r="N43" s="241"/>
      <c r="O43" s="250"/>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4"/>
      <c r="BF43" s="241"/>
      <c r="BG43" s="241"/>
      <c r="BH43" s="241"/>
      <c r="BJ43" s="451"/>
    </row>
    <row r="44" spans="1:63" x14ac:dyDescent="0.25">
      <c r="A44" s="255" t="s">
        <v>549</v>
      </c>
      <c r="B44" s="63"/>
      <c r="C44" s="63"/>
      <c r="D44" s="63"/>
      <c r="E44" s="63"/>
      <c r="F44" s="63"/>
      <c r="G44" s="63"/>
      <c r="H44" s="63"/>
      <c r="I44" s="63"/>
      <c r="J44" s="63"/>
      <c r="K44" s="240"/>
      <c r="L44" s="884">
        <f>(N9*N45)/SUM(L9:N9)</f>
        <v>0.5</v>
      </c>
      <c r="M44" s="884"/>
      <c r="N44" s="884"/>
      <c r="O44" s="242"/>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243"/>
      <c r="BF44" s="63"/>
      <c r="BG44" s="63"/>
      <c r="BH44" s="63"/>
      <c r="BJ44" s="450">
        <f>L44*L6</f>
        <v>4.0000000000000001E-3</v>
      </c>
    </row>
    <row r="45" spans="1:63" x14ac:dyDescent="0.25">
      <c r="A45" s="255" t="s">
        <v>550</v>
      </c>
      <c r="B45" s="63"/>
      <c r="C45" s="63"/>
      <c r="D45" s="63"/>
      <c r="E45" s="63"/>
      <c r="F45" s="63"/>
      <c r="G45" s="63"/>
      <c r="H45" s="63"/>
      <c r="I45" s="63"/>
      <c r="J45" s="63"/>
      <c r="K45" s="240"/>
      <c r="L45" s="63"/>
      <c r="M45" s="63"/>
      <c r="N45" s="257">
        <v>1</v>
      </c>
      <c r="O45" s="242"/>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243"/>
      <c r="BF45" s="63"/>
      <c r="BG45" s="63"/>
      <c r="BH45" s="63"/>
      <c r="BJ45" s="450">
        <f>N45*N9</f>
        <v>4.0000000000000001E-3</v>
      </c>
    </row>
    <row r="46" spans="1:63" x14ac:dyDescent="0.25">
      <c r="A46" s="256" t="s">
        <v>527</v>
      </c>
      <c r="B46" s="241"/>
      <c r="C46" s="241"/>
      <c r="D46" s="241"/>
      <c r="E46" s="241"/>
      <c r="F46" s="241"/>
      <c r="G46" s="241"/>
      <c r="H46" s="241"/>
      <c r="I46" s="241"/>
      <c r="J46" s="241"/>
      <c r="K46" s="241"/>
      <c r="L46" s="253"/>
      <c r="M46" s="253"/>
      <c r="N46" s="253"/>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4"/>
      <c r="BF46" s="241"/>
      <c r="BG46" s="241"/>
      <c r="BH46" s="241"/>
      <c r="BJ46" s="451"/>
    </row>
    <row r="47" spans="1:63" x14ac:dyDescent="0.25">
      <c r="A47" s="255" t="s">
        <v>549</v>
      </c>
      <c r="B47" s="63"/>
      <c r="C47" s="63"/>
      <c r="D47" s="63"/>
      <c r="E47" s="63"/>
      <c r="F47" s="63"/>
      <c r="G47" s="63"/>
      <c r="H47" s="63"/>
      <c r="I47" s="63"/>
      <c r="J47" s="63"/>
      <c r="K47" s="63"/>
      <c r="L47" s="872">
        <f>(L9*L48+M9*M48+N9*N48)/SUM(L9:N9)</f>
        <v>1</v>
      </c>
      <c r="M47" s="873"/>
      <c r="N47" s="874"/>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243"/>
      <c r="BF47" s="63"/>
      <c r="BG47" s="63"/>
      <c r="BH47" s="63"/>
      <c r="BJ47" s="450">
        <f>L47*L6</f>
        <v>8.0000000000000002E-3</v>
      </c>
    </row>
    <row r="48" spans="1:63" x14ac:dyDescent="0.25">
      <c r="A48" s="255" t="s">
        <v>550</v>
      </c>
      <c r="B48" s="63"/>
      <c r="C48" s="63"/>
      <c r="D48" s="63"/>
      <c r="E48" s="63"/>
      <c r="F48" s="63"/>
      <c r="G48" s="63"/>
      <c r="H48" s="63"/>
      <c r="I48" s="63"/>
      <c r="J48" s="63"/>
      <c r="K48" s="63"/>
      <c r="L48" s="257">
        <v>1</v>
      </c>
      <c r="M48" s="257">
        <v>1</v>
      </c>
      <c r="N48" s="257">
        <v>1</v>
      </c>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243"/>
      <c r="BF48" s="63"/>
      <c r="BG48" s="63"/>
      <c r="BH48" s="63"/>
      <c r="BJ48" s="450">
        <f>L48*L9+M48*M9+N48*N9</f>
        <v>8.0000000000000002E-3</v>
      </c>
    </row>
    <row r="49" spans="1:62" x14ac:dyDescent="0.25">
      <c r="A49" s="256" t="s">
        <v>528</v>
      </c>
      <c r="B49" s="241"/>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4"/>
      <c r="BF49" s="241"/>
      <c r="BG49" s="241"/>
      <c r="BH49" s="241"/>
      <c r="BI49" s="212"/>
      <c r="BJ49" s="451"/>
    </row>
    <row r="50" spans="1:62" x14ac:dyDescent="0.25">
      <c r="A50" s="255" t="s">
        <v>549</v>
      </c>
      <c r="B50" s="872">
        <v>1</v>
      </c>
      <c r="C50" s="873"/>
      <c r="D50" s="873"/>
      <c r="E50" s="874"/>
      <c r="F50" s="872">
        <v>1</v>
      </c>
      <c r="G50" s="873"/>
      <c r="H50" s="873"/>
      <c r="I50" s="874"/>
      <c r="J50" s="872">
        <v>1</v>
      </c>
      <c r="K50" s="874"/>
      <c r="L50" s="872">
        <v>1</v>
      </c>
      <c r="M50" s="873"/>
      <c r="N50" s="874"/>
      <c r="O50" s="872">
        <v>1</v>
      </c>
      <c r="P50" s="874"/>
      <c r="Q50" s="257">
        <v>1</v>
      </c>
      <c r="R50" s="872">
        <v>1</v>
      </c>
      <c r="S50" s="874"/>
      <c r="T50" s="872">
        <v>1</v>
      </c>
      <c r="U50" s="873"/>
      <c r="V50" s="873"/>
      <c r="W50" s="873"/>
      <c r="X50" s="873"/>
      <c r="Y50" s="874"/>
      <c r="Z50" s="872">
        <v>1</v>
      </c>
      <c r="AA50" s="873"/>
      <c r="AB50" s="873"/>
      <c r="AC50" s="873"/>
      <c r="AD50" s="873"/>
      <c r="AE50" s="873"/>
      <c r="AF50" s="874"/>
      <c r="AG50" s="257">
        <v>1</v>
      </c>
      <c r="AH50" s="257">
        <v>1</v>
      </c>
      <c r="AI50" s="257">
        <v>1</v>
      </c>
      <c r="AJ50" s="257">
        <v>1</v>
      </c>
      <c r="AK50" s="257">
        <v>1</v>
      </c>
      <c r="AL50" s="872">
        <v>1</v>
      </c>
      <c r="AM50" s="873"/>
      <c r="AN50" s="873"/>
      <c r="AO50" s="873"/>
      <c r="AP50" s="874"/>
      <c r="AQ50" s="872">
        <v>1</v>
      </c>
      <c r="AR50" s="873"/>
      <c r="AS50" s="873"/>
      <c r="AT50" s="874"/>
      <c r="AU50" s="872">
        <v>1</v>
      </c>
      <c r="AV50" s="873"/>
      <c r="AW50" s="873"/>
      <c r="AX50" s="873"/>
      <c r="AY50" s="873"/>
      <c r="AZ50" s="873"/>
      <c r="BA50" s="874"/>
      <c r="BB50" s="257">
        <v>1</v>
      </c>
      <c r="BC50" s="257">
        <v>1</v>
      </c>
      <c r="BD50" s="257">
        <v>1</v>
      </c>
      <c r="BE50" s="260">
        <v>1</v>
      </c>
      <c r="BF50" s="257">
        <v>1</v>
      </c>
      <c r="BG50" s="257">
        <v>1</v>
      </c>
      <c r="BH50" s="257">
        <v>1</v>
      </c>
      <c r="BI50" s="212"/>
      <c r="BJ50" s="453">
        <f>SUM($B$6:$BH$6)</f>
        <v>0.84650000000000014</v>
      </c>
    </row>
    <row r="51" spans="1:62" x14ac:dyDescent="0.35">
      <c r="A51" s="255" t="s">
        <v>550</v>
      </c>
      <c r="B51" s="257">
        <v>1</v>
      </c>
      <c r="C51" s="257">
        <v>1</v>
      </c>
      <c r="D51" s="257">
        <v>1</v>
      </c>
      <c r="E51" s="257">
        <v>1</v>
      </c>
      <c r="F51" s="257">
        <v>1</v>
      </c>
      <c r="G51" s="257">
        <v>1</v>
      </c>
      <c r="H51" s="257">
        <v>1</v>
      </c>
      <c r="I51" s="257">
        <v>1</v>
      </c>
      <c r="J51" s="257">
        <v>1</v>
      </c>
      <c r="K51" s="257">
        <v>1</v>
      </c>
      <c r="L51" s="257">
        <v>1</v>
      </c>
      <c r="M51" s="257">
        <v>1</v>
      </c>
      <c r="N51" s="257">
        <v>1</v>
      </c>
      <c r="O51" s="257">
        <v>1</v>
      </c>
      <c r="P51" s="257">
        <v>1</v>
      </c>
      <c r="Q51" s="257">
        <v>1</v>
      </c>
      <c r="R51" s="257">
        <v>1</v>
      </c>
      <c r="S51" s="257">
        <v>1</v>
      </c>
      <c r="T51" s="257">
        <v>1</v>
      </c>
      <c r="U51" s="257">
        <v>1</v>
      </c>
      <c r="V51" s="257">
        <v>1</v>
      </c>
      <c r="W51" s="257">
        <v>1</v>
      </c>
      <c r="X51" s="257">
        <v>1</v>
      </c>
      <c r="Y51" s="257">
        <v>1</v>
      </c>
      <c r="Z51" s="257">
        <v>1</v>
      </c>
      <c r="AA51" s="257">
        <v>1</v>
      </c>
      <c r="AB51" s="257">
        <v>1</v>
      </c>
      <c r="AC51" s="257">
        <v>1</v>
      </c>
      <c r="AD51" s="257">
        <v>1</v>
      </c>
      <c r="AE51" s="257">
        <v>1</v>
      </c>
      <c r="AF51" s="257">
        <v>1</v>
      </c>
      <c r="AG51" s="257">
        <v>1</v>
      </c>
      <c r="AH51" s="257">
        <v>1</v>
      </c>
      <c r="AI51" s="257">
        <v>1</v>
      </c>
      <c r="AJ51" s="257">
        <v>1</v>
      </c>
      <c r="AK51" s="257">
        <v>1</v>
      </c>
      <c r="AL51" s="257">
        <v>1</v>
      </c>
      <c r="AM51" s="257">
        <v>1</v>
      </c>
      <c r="AN51" s="257">
        <v>1</v>
      </c>
      <c r="AO51" s="257">
        <v>1</v>
      </c>
      <c r="AP51" s="257">
        <v>1</v>
      </c>
      <c r="AQ51" s="257">
        <v>1</v>
      </c>
      <c r="AR51" s="257">
        <v>1</v>
      </c>
      <c r="AS51" s="257">
        <v>1</v>
      </c>
      <c r="AT51" s="257">
        <v>1</v>
      </c>
      <c r="AU51" s="257">
        <v>1</v>
      </c>
      <c r="AV51" s="257">
        <v>1</v>
      </c>
      <c r="AW51" s="257">
        <v>1</v>
      </c>
      <c r="AX51" s="257">
        <v>1</v>
      </c>
      <c r="AY51" s="257">
        <v>1</v>
      </c>
      <c r="AZ51" s="257">
        <v>1</v>
      </c>
      <c r="BA51" s="257">
        <v>1</v>
      </c>
      <c r="BB51" s="257">
        <v>1</v>
      </c>
      <c r="BC51" s="257">
        <v>1</v>
      </c>
      <c r="BD51" s="257">
        <v>1</v>
      </c>
      <c r="BE51" s="257">
        <v>1</v>
      </c>
      <c r="BF51" s="257">
        <v>1</v>
      </c>
      <c r="BG51" s="257">
        <v>1</v>
      </c>
      <c r="BH51" s="257">
        <v>1</v>
      </c>
      <c r="BI51" s="212"/>
      <c r="BJ51" s="453">
        <f>SUM($B$9:$BH$9)</f>
        <v>0.94093000000000004</v>
      </c>
    </row>
    <row r="52" spans="1:62" x14ac:dyDescent="0.25">
      <c r="A52" s="256" t="s">
        <v>537</v>
      </c>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4"/>
      <c r="BF52" s="241"/>
      <c r="BG52" s="241"/>
      <c r="BH52" s="241"/>
      <c r="BI52" s="212"/>
      <c r="BJ52" s="451"/>
    </row>
    <row r="53" spans="1:62" x14ac:dyDescent="0.25">
      <c r="A53" s="255" t="s">
        <v>549</v>
      </c>
      <c r="B53" s="872">
        <v>1</v>
      </c>
      <c r="C53" s="873"/>
      <c r="D53" s="873"/>
      <c r="E53" s="874"/>
      <c r="F53" s="872">
        <v>1</v>
      </c>
      <c r="G53" s="873"/>
      <c r="H53" s="873"/>
      <c r="I53" s="874"/>
      <c r="J53" s="872">
        <v>1</v>
      </c>
      <c r="K53" s="874"/>
      <c r="L53" s="872">
        <v>1</v>
      </c>
      <c r="M53" s="873"/>
      <c r="N53" s="874"/>
      <c r="O53" s="872">
        <v>1</v>
      </c>
      <c r="P53" s="874"/>
      <c r="Q53" s="257">
        <v>1</v>
      </c>
      <c r="R53" s="872">
        <v>1</v>
      </c>
      <c r="S53" s="874"/>
      <c r="T53" s="872">
        <v>1</v>
      </c>
      <c r="U53" s="873"/>
      <c r="V53" s="873"/>
      <c r="W53" s="873"/>
      <c r="X53" s="873"/>
      <c r="Y53" s="874"/>
      <c r="Z53" s="872">
        <v>1</v>
      </c>
      <c r="AA53" s="873"/>
      <c r="AB53" s="873"/>
      <c r="AC53" s="873"/>
      <c r="AD53" s="873"/>
      <c r="AE53" s="873"/>
      <c r="AF53" s="874"/>
      <c r="AG53" s="257">
        <v>1</v>
      </c>
      <c r="AH53" s="257">
        <v>1</v>
      </c>
      <c r="AI53" s="257">
        <v>1</v>
      </c>
      <c r="AJ53" s="257">
        <v>1</v>
      </c>
      <c r="AK53" s="257">
        <v>1</v>
      </c>
      <c r="AL53" s="872">
        <v>1</v>
      </c>
      <c r="AM53" s="873"/>
      <c r="AN53" s="873"/>
      <c r="AO53" s="873"/>
      <c r="AP53" s="874"/>
      <c r="AQ53" s="872">
        <v>1</v>
      </c>
      <c r="AR53" s="873"/>
      <c r="AS53" s="873"/>
      <c r="AT53" s="874"/>
      <c r="AU53" s="872">
        <v>1</v>
      </c>
      <c r="AV53" s="873"/>
      <c r="AW53" s="873"/>
      <c r="AX53" s="873"/>
      <c r="AY53" s="873"/>
      <c r="AZ53" s="873"/>
      <c r="BA53" s="874"/>
      <c r="BB53" s="257">
        <v>1</v>
      </c>
      <c r="BC53" s="257">
        <v>1</v>
      </c>
      <c r="BD53" s="257">
        <v>1</v>
      </c>
      <c r="BE53" s="260">
        <v>1</v>
      </c>
      <c r="BF53" s="257">
        <v>1</v>
      </c>
      <c r="BG53" s="257">
        <v>1</v>
      </c>
      <c r="BH53" s="257">
        <v>1</v>
      </c>
      <c r="BI53" s="212"/>
      <c r="BJ53" s="453">
        <f>SUM($B$6:$BH$6)</f>
        <v>0.84650000000000014</v>
      </c>
    </row>
    <row r="54" spans="1:62" x14ac:dyDescent="0.35">
      <c r="A54" s="255" t="s">
        <v>550</v>
      </c>
      <c r="B54" s="257">
        <v>1</v>
      </c>
      <c r="C54" s="257">
        <v>1</v>
      </c>
      <c r="D54" s="257">
        <v>1</v>
      </c>
      <c r="E54" s="257">
        <v>1</v>
      </c>
      <c r="F54" s="257">
        <v>1</v>
      </c>
      <c r="G54" s="257">
        <v>1</v>
      </c>
      <c r="H54" s="257">
        <v>1</v>
      </c>
      <c r="I54" s="257">
        <v>1</v>
      </c>
      <c r="J54" s="257">
        <v>1</v>
      </c>
      <c r="K54" s="257">
        <v>1</v>
      </c>
      <c r="L54" s="257">
        <v>1</v>
      </c>
      <c r="M54" s="257">
        <v>1</v>
      </c>
      <c r="N54" s="257">
        <v>1</v>
      </c>
      <c r="O54" s="257">
        <v>1</v>
      </c>
      <c r="P54" s="257">
        <v>1</v>
      </c>
      <c r="Q54" s="257">
        <v>1</v>
      </c>
      <c r="R54" s="257">
        <v>1</v>
      </c>
      <c r="S54" s="257">
        <v>1</v>
      </c>
      <c r="T54" s="257">
        <v>1</v>
      </c>
      <c r="U54" s="257">
        <v>1</v>
      </c>
      <c r="V54" s="257">
        <v>1</v>
      </c>
      <c r="W54" s="257">
        <v>1</v>
      </c>
      <c r="X54" s="257">
        <v>1</v>
      </c>
      <c r="Y54" s="257">
        <v>1</v>
      </c>
      <c r="Z54" s="257">
        <v>1</v>
      </c>
      <c r="AA54" s="257">
        <v>1</v>
      </c>
      <c r="AB54" s="257">
        <v>1</v>
      </c>
      <c r="AC54" s="257">
        <v>1</v>
      </c>
      <c r="AD54" s="257">
        <v>1</v>
      </c>
      <c r="AE54" s="257">
        <v>1</v>
      </c>
      <c r="AF54" s="257">
        <v>1</v>
      </c>
      <c r="AG54" s="257">
        <v>1</v>
      </c>
      <c r="AH54" s="257">
        <v>1</v>
      </c>
      <c r="AI54" s="257">
        <v>1</v>
      </c>
      <c r="AJ54" s="257">
        <v>1</v>
      </c>
      <c r="AK54" s="257">
        <v>1</v>
      </c>
      <c r="AL54" s="257">
        <v>1</v>
      </c>
      <c r="AM54" s="257">
        <v>1</v>
      </c>
      <c r="AN54" s="257">
        <v>1</v>
      </c>
      <c r="AO54" s="257">
        <v>1</v>
      </c>
      <c r="AP54" s="257">
        <v>1</v>
      </c>
      <c r="AQ54" s="257">
        <v>1</v>
      </c>
      <c r="AR54" s="257">
        <v>1</v>
      </c>
      <c r="AS54" s="257">
        <v>1</v>
      </c>
      <c r="AT54" s="257">
        <v>1</v>
      </c>
      <c r="AU54" s="257">
        <v>1</v>
      </c>
      <c r="AV54" s="257">
        <v>1</v>
      </c>
      <c r="AW54" s="257">
        <v>1</v>
      </c>
      <c r="AX54" s="257">
        <v>1</v>
      </c>
      <c r="AY54" s="257">
        <v>1</v>
      </c>
      <c r="AZ54" s="257">
        <v>1</v>
      </c>
      <c r="BA54" s="257">
        <v>1</v>
      </c>
      <c r="BB54" s="257">
        <v>1</v>
      </c>
      <c r="BC54" s="257">
        <v>1</v>
      </c>
      <c r="BD54" s="257">
        <v>1</v>
      </c>
      <c r="BE54" s="257">
        <v>1</v>
      </c>
      <c r="BF54" s="257">
        <v>1</v>
      </c>
      <c r="BG54" s="257">
        <v>1</v>
      </c>
      <c r="BH54" s="257">
        <v>1</v>
      </c>
      <c r="BI54" s="212"/>
      <c r="BJ54" s="453">
        <f>SUM($B$9:$BH$9)</f>
        <v>0.94093000000000004</v>
      </c>
    </row>
    <row r="55" spans="1:62" x14ac:dyDescent="0.25">
      <c r="A55" s="256" t="s">
        <v>49</v>
      </c>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5"/>
      <c r="AQ55" s="245"/>
      <c r="AR55" s="245"/>
      <c r="AS55" s="245"/>
      <c r="AT55" s="245"/>
      <c r="AU55" s="245"/>
      <c r="AV55" s="245"/>
      <c r="AW55" s="245"/>
      <c r="AX55" s="245"/>
      <c r="AY55" s="245"/>
      <c r="AZ55" s="245"/>
      <c r="BA55" s="245"/>
      <c r="BB55" s="245"/>
      <c r="BC55" s="245"/>
      <c r="BD55" s="245"/>
      <c r="BE55" s="246"/>
      <c r="BF55" s="245"/>
      <c r="BG55" s="245"/>
      <c r="BH55" s="245"/>
      <c r="BJ55" s="451"/>
    </row>
    <row r="56" spans="1:62" x14ac:dyDescent="0.35">
      <c r="A56" s="255" t="s">
        <v>549</v>
      </c>
      <c r="B56" s="63"/>
      <c r="C56" s="63"/>
      <c r="D56" s="63"/>
      <c r="E56" s="63"/>
      <c r="F56" s="872">
        <f>(F9*F57+G9*G57+H9*H57+I9*I57)/SUM(F9:I9)</f>
        <v>1</v>
      </c>
      <c r="G56" s="873"/>
      <c r="H56" s="873"/>
      <c r="I56" s="874"/>
      <c r="J56" s="872">
        <f>(J9*J57+K9*K57)/SUM(J9:K9)</f>
        <v>1</v>
      </c>
      <c r="K56" s="874"/>
      <c r="L56" s="872">
        <f>(L9*L57+M9*M57+N9*N57)/SUM(L9:N9)</f>
        <v>1</v>
      </c>
      <c r="M56" s="873"/>
      <c r="N56" s="874"/>
      <c r="O56" s="872">
        <f>(O9*O57+P9*P57)/SUM(O9:P9)</f>
        <v>1</v>
      </c>
      <c r="P56" s="874"/>
      <c r="Q56" s="257">
        <v>1</v>
      </c>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872">
        <f>(AX9*AX57+AY9*AY57+AZ9*AZ57+BA9*BA57)/SUM(AU9:BA9)</f>
        <v>0.49999999999999989</v>
      </c>
      <c r="AV56" s="873"/>
      <c r="AW56" s="873"/>
      <c r="AX56" s="873"/>
      <c r="AY56" s="873"/>
      <c r="AZ56" s="873"/>
      <c r="BA56" s="874"/>
      <c r="BB56" s="63"/>
      <c r="BC56" s="257">
        <v>0.8</v>
      </c>
      <c r="BD56" s="63"/>
      <c r="BE56" s="63"/>
      <c r="BF56" s="63"/>
      <c r="BG56" s="63"/>
      <c r="BH56" s="63"/>
      <c r="BJ56" s="453">
        <f>F56*F6+J56*J6+L56*L6+O56*O6+Q56*Q6+AU56*AU6+BC56*BC9</f>
        <v>0.43120000000000003</v>
      </c>
    </row>
    <row r="57" spans="1:62" ht="11" thickBot="1" x14ac:dyDescent="0.4">
      <c r="A57" s="255" t="s">
        <v>550</v>
      </c>
      <c r="B57" s="63"/>
      <c r="C57" s="63"/>
      <c r="D57" s="63"/>
      <c r="E57" s="63"/>
      <c r="F57" s="257">
        <v>1</v>
      </c>
      <c r="G57" s="257">
        <v>1</v>
      </c>
      <c r="H57" s="257">
        <v>1</v>
      </c>
      <c r="I57" s="257">
        <v>1</v>
      </c>
      <c r="J57" s="257">
        <v>1</v>
      </c>
      <c r="K57" s="257">
        <v>1</v>
      </c>
      <c r="L57" s="257">
        <v>1</v>
      </c>
      <c r="M57" s="257">
        <v>1</v>
      </c>
      <c r="N57" s="257">
        <v>1</v>
      </c>
      <c r="O57" s="257">
        <v>1</v>
      </c>
      <c r="P57" s="257">
        <v>1</v>
      </c>
      <c r="Q57" s="257">
        <v>1</v>
      </c>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257">
        <v>1</v>
      </c>
      <c r="AY57" s="257">
        <v>1</v>
      </c>
      <c r="AZ57" s="257">
        <v>1</v>
      </c>
      <c r="BA57" s="257">
        <v>1</v>
      </c>
      <c r="BB57" s="63"/>
      <c r="BC57" s="257">
        <v>1</v>
      </c>
      <c r="BD57" s="63"/>
      <c r="BE57" s="63"/>
      <c r="BF57" s="63"/>
      <c r="BG57" s="63"/>
      <c r="BH57" s="63"/>
      <c r="BJ57" s="455">
        <f>SUM(F9:Q9)*1+SUM(AX9:BA9)*1+BC57*BC9</f>
        <v>0.38840000000000002</v>
      </c>
    </row>
  </sheetData>
  <mergeCells count="91">
    <mergeCell ref="J41:K41"/>
    <mergeCell ref="L41:N41"/>
    <mergeCell ref="AU6:BA6"/>
    <mergeCell ref="R6:S6"/>
    <mergeCell ref="Z50:AF50"/>
    <mergeCell ref="AL50:AP50"/>
    <mergeCell ref="AQ50:AT50"/>
    <mergeCell ref="AU50:BA50"/>
    <mergeCell ref="AU41:BA41"/>
    <mergeCell ref="J50:K50"/>
    <mergeCell ref="L50:N50"/>
    <mergeCell ref="O50:P50"/>
    <mergeCell ref="R50:S50"/>
    <mergeCell ref="T50:Y50"/>
    <mergeCell ref="T6:Y6"/>
    <mergeCell ref="Z6:AF6"/>
    <mergeCell ref="AN6:AO6"/>
    <mergeCell ref="AQ6:AT6"/>
    <mergeCell ref="BJ2:BJ9"/>
    <mergeCell ref="BE2:BH2"/>
    <mergeCell ref="B6:E6"/>
    <mergeCell ref="F6:I6"/>
    <mergeCell ref="J6:K6"/>
    <mergeCell ref="L6:N6"/>
    <mergeCell ref="O6:P6"/>
    <mergeCell ref="AN4:AO4"/>
    <mergeCell ref="AQ4:AT4"/>
    <mergeCell ref="AU5:BA5"/>
    <mergeCell ref="B5:E5"/>
    <mergeCell ref="F5:I5"/>
    <mergeCell ref="J5:K5"/>
    <mergeCell ref="L5:N5"/>
    <mergeCell ref="O5:P5"/>
    <mergeCell ref="R5:S5"/>
    <mergeCell ref="Z5:AF5"/>
    <mergeCell ref="AN5:AO5"/>
    <mergeCell ref="AQ5:AT5"/>
    <mergeCell ref="T5:Y5"/>
    <mergeCell ref="O14:P14"/>
    <mergeCell ref="T17:Y17"/>
    <mergeCell ref="BC3:BD3"/>
    <mergeCell ref="B4:E4"/>
    <mergeCell ref="F4:I4"/>
    <mergeCell ref="J4:K4"/>
    <mergeCell ref="L4:N4"/>
    <mergeCell ref="O4:P4"/>
    <mergeCell ref="AU4:BA4"/>
    <mergeCell ref="B3:AH3"/>
    <mergeCell ref="AJ3:AK3"/>
    <mergeCell ref="AL3:AP3"/>
    <mergeCell ref="AQ3:BA3"/>
    <mergeCell ref="R4:S4"/>
    <mergeCell ref="T4:Y4"/>
    <mergeCell ref="Z4:AF4"/>
    <mergeCell ref="L56:N56"/>
    <mergeCell ref="B53:E53"/>
    <mergeCell ref="F53:I53"/>
    <mergeCell ref="J53:K53"/>
    <mergeCell ref="L53:N53"/>
    <mergeCell ref="O56:P56"/>
    <mergeCell ref="AU56:BA56"/>
    <mergeCell ref="F38:I38"/>
    <mergeCell ref="O53:P53"/>
    <mergeCell ref="R53:S53"/>
    <mergeCell ref="T53:Y53"/>
    <mergeCell ref="Z53:AF53"/>
    <mergeCell ref="AL53:AP53"/>
    <mergeCell ref="AQ53:AT53"/>
    <mergeCell ref="AU53:BA53"/>
    <mergeCell ref="L47:N47"/>
    <mergeCell ref="L38:N38"/>
    <mergeCell ref="T38:Y38"/>
    <mergeCell ref="Z38:AF38"/>
    <mergeCell ref="F56:I56"/>
    <mergeCell ref="J56:K56"/>
    <mergeCell ref="O11:P11"/>
    <mergeCell ref="B50:E50"/>
    <mergeCell ref="F50:I50"/>
    <mergeCell ref="BE6:BG6"/>
    <mergeCell ref="Z41:AF41"/>
    <mergeCell ref="J35:K35"/>
    <mergeCell ref="F17:I17"/>
    <mergeCell ref="B38:E38"/>
    <mergeCell ref="B23:E23"/>
    <mergeCell ref="J23:K23"/>
    <mergeCell ref="R32:S32"/>
    <mergeCell ref="Z17:AF17"/>
    <mergeCell ref="L44:N44"/>
    <mergeCell ref="B35:E35"/>
    <mergeCell ref="B41:E41"/>
    <mergeCell ref="L20:N20"/>
  </mergeCells>
  <pageMargins left="0.7" right="0.7" top="0.75" bottom="0.75" header="0.3" footer="0.3"/>
  <pageSetup paperSize="9"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T39"/>
  <sheetViews>
    <sheetView zoomScale="70" zoomScaleNormal="70" workbookViewId="0">
      <pane xSplit="2" topLeftCell="C1" activePane="topRight" state="frozen"/>
      <selection pane="topRight"/>
    </sheetView>
  </sheetViews>
  <sheetFormatPr defaultRowHeight="13" x14ac:dyDescent="0.35"/>
  <cols>
    <col min="1" max="1" width="8.7265625" style="111"/>
    <col min="2" max="2" width="70.7265625" style="111" customWidth="1"/>
    <col min="3" max="3" width="7.26953125" style="235" customWidth="1"/>
    <col min="4" max="4" width="7.54296875" style="235" customWidth="1"/>
    <col min="5" max="5" width="7.81640625" style="235" customWidth="1"/>
    <col min="6" max="6" width="6.7265625" style="111" customWidth="1"/>
    <col min="7" max="7" width="5.90625" style="111" customWidth="1"/>
    <col min="8" max="8" width="7.26953125" style="111" customWidth="1"/>
    <col min="9" max="9" width="15.7265625" style="235" customWidth="1"/>
    <col min="10" max="10" width="6.36328125" style="111" bestFit="1" customWidth="1"/>
    <col min="11" max="11" width="5.08984375" style="111" customWidth="1"/>
    <col min="12" max="12" width="5.6328125" style="111" bestFit="1" customWidth="1"/>
    <col min="13" max="13" width="12.36328125" style="235" customWidth="1"/>
    <col min="14" max="14" width="7.7265625" style="111" customWidth="1"/>
    <col min="15" max="15" width="7.453125" style="111" customWidth="1"/>
    <col min="16" max="16" width="8.81640625" style="111" customWidth="1"/>
    <col min="17" max="17" width="2.08984375" style="111" customWidth="1"/>
    <col min="18" max="18" width="21.08984375" style="111" customWidth="1"/>
    <col min="19" max="19" width="2.54296875" style="111" customWidth="1"/>
    <col min="20" max="16384" width="8.7265625" style="111"/>
  </cols>
  <sheetData>
    <row r="1" spans="1:19" ht="18.5" x14ac:dyDescent="0.35">
      <c r="A1" s="638" t="s">
        <v>618</v>
      </c>
    </row>
    <row r="2" spans="1:19" x14ac:dyDescent="0.35">
      <c r="A2" s="111" t="s">
        <v>619</v>
      </c>
    </row>
    <row r="4" spans="1:19" ht="16" thickBot="1" x14ac:dyDescent="0.4">
      <c r="A4" s="110" t="s">
        <v>625</v>
      </c>
    </row>
    <row r="5" spans="1:19" ht="40" customHeight="1" x14ac:dyDescent="0.35">
      <c r="A5" s="323" t="s">
        <v>2</v>
      </c>
      <c r="B5" s="324" t="s">
        <v>3</v>
      </c>
      <c r="C5" s="929" t="s">
        <v>607</v>
      </c>
      <c r="D5" s="930"/>
      <c r="E5" s="933"/>
      <c r="F5" s="934" t="s">
        <v>590</v>
      </c>
      <c r="G5" s="930"/>
      <c r="H5" s="931"/>
      <c r="I5" s="639" t="s">
        <v>591</v>
      </c>
      <c r="J5" s="929" t="s">
        <v>592</v>
      </c>
      <c r="K5" s="930"/>
      <c r="L5" s="931"/>
      <c r="M5" s="635" t="s">
        <v>579</v>
      </c>
      <c r="N5" s="923" t="s">
        <v>606</v>
      </c>
      <c r="O5" s="924"/>
      <c r="P5" s="925"/>
      <c r="R5" s="405" t="s">
        <v>664</v>
      </c>
      <c r="S5" s="686"/>
    </row>
    <row r="6" spans="1:19" s="228" customFormat="1" ht="13.5" thickBot="1" x14ac:dyDescent="0.4">
      <c r="A6" s="325"/>
      <c r="B6" s="326"/>
      <c r="C6" s="327" t="s">
        <v>616</v>
      </c>
      <c r="D6" s="328" t="s">
        <v>669</v>
      </c>
      <c r="E6" s="329" t="s">
        <v>617</v>
      </c>
      <c r="F6" s="327" t="s">
        <v>616</v>
      </c>
      <c r="G6" s="328" t="s">
        <v>669</v>
      </c>
      <c r="H6" s="329" t="s">
        <v>617</v>
      </c>
      <c r="I6" s="330" t="s">
        <v>659</v>
      </c>
      <c r="J6" s="327" t="s">
        <v>616</v>
      </c>
      <c r="K6" s="328" t="s">
        <v>669</v>
      </c>
      <c r="L6" s="329" t="s">
        <v>617</v>
      </c>
      <c r="M6" s="332"/>
      <c r="N6" s="594" t="s">
        <v>616</v>
      </c>
      <c r="O6" s="595" t="s">
        <v>669</v>
      </c>
      <c r="P6" s="596" t="s">
        <v>617</v>
      </c>
      <c r="R6" s="406"/>
      <c r="S6" s="275"/>
    </row>
    <row r="7" spans="1:19" ht="39" x14ac:dyDescent="0.35">
      <c r="A7" s="271" t="s">
        <v>529</v>
      </c>
      <c r="B7" s="691" t="s">
        <v>568</v>
      </c>
      <c r="C7" s="317">
        <v>4</v>
      </c>
      <c r="D7" s="366">
        <f>(C7+E7)/2</f>
        <v>-6.5</v>
      </c>
      <c r="E7" s="318">
        <v>-17</v>
      </c>
      <c r="F7" s="266">
        <v>1</v>
      </c>
      <c r="G7" s="267">
        <v>1</v>
      </c>
      <c r="H7" s="268">
        <v>1</v>
      </c>
      <c r="I7" s="763">
        <f>'Pasāk&lt;-&gt;AtkrVeidi'!BJ11</f>
        <v>7.6999999999999999E-2</v>
      </c>
      <c r="J7" s="619">
        <f>SlodzesAvotuNov!U20+SlodzesAvotuNov!X20</f>
        <v>0.66666666666666663</v>
      </c>
      <c r="K7" s="620">
        <f>SlodzesAvotuNov!V20+SlodzesAvotuNov!Y20</f>
        <v>0.66666666666666663</v>
      </c>
      <c r="L7" s="621">
        <f>SlodzesAvotuNov!W20+SlodzesAvotuNov!Z20</f>
        <v>0.66666666666666663</v>
      </c>
      <c r="M7" s="646" t="str">
        <f>PasākRakst!E4</f>
        <v>1/R; 2/A</v>
      </c>
      <c r="N7" s="608">
        <f>C7*F7*J7*I7</f>
        <v>0.20533333333333331</v>
      </c>
      <c r="O7" s="687">
        <f t="shared" ref="O7:O21" si="0">D7*G7*K7*I7</f>
        <v>-0.33366666666666667</v>
      </c>
      <c r="P7" s="279">
        <f t="shared" ref="P7:P21" si="1">E7*H7*L7*I7</f>
        <v>-0.87266666666666659</v>
      </c>
      <c r="R7" s="239">
        <f>O7/$O$22*100</f>
        <v>1.3696039188512972</v>
      </c>
      <c r="S7" s="683"/>
    </row>
    <row r="8" spans="1:19" ht="26" x14ac:dyDescent="0.35">
      <c r="A8" s="428" t="s">
        <v>11</v>
      </c>
      <c r="B8" s="695" t="s">
        <v>12</v>
      </c>
      <c r="C8" s="321">
        <v>-50</v>
      </c>
      <c r="D8" s="225">
        <f>(C8+E8)/2</f>
        <v>-75</v>
      </c>
      <c r="E8" s="322">
        <v>-100</v>
      </c>
      <c r="F8" s="219">
        <v>1</v>
      </c>
      <c r="G8" s="213">
        <v>1</v>
      </c>
      <c r="H8" s="220">
        <v>1</v>
      </c>
      <c r="I8" s="280">
        <f>'Pasāk&lt;-&gt;AtkrVeidi'!BJ17</f>
        <v>2.204623841925191E-2</v>
      </c>
      <c r="J8" s="311">
        <v>1</v>
      </c>
      <c r="K8" s="227">
        <v>1</v>
      </c>
      <c r="L8" s="312">
        <v>1</v>
      </c>
      <c r="M8" s="647" t="str">
        <f>PasākRakst!E6</f>
        <v>1/R</v>
      </c>
      <c r="N8" s="609">
        <f t="shared" ref="N8:N21" si="2">C8*F8*J8*I8</f>
        <v>-1.1023119209625956</v>
      </c>
      <c r="O8" s="689">
        <f t="shared" si="0"/>
        <v>-1.6534678814438932</v>
      </c>
      <c r="P8" s="273">
        <f t="shared" si="1"/>
        <v>-2.2046238419251911</v>
      </c>
      <c r="R8" s="429">
        <f>O8/$O$22*100</f>
        <v>6.7870012690918315</v>
      </c>
      <c r="S8" s="683"/>
    </row>
    <row r="9" spans="1:19" ht="26" x14ac:dyDescent="0.35">
      <c r="A9" s="272" t="s">
        <v>15</v>
      </c>
      <c r="B9" s="699" t="s">
        <v>668</v>
      </c>
      <c r="C9" s="321">
        <v>-20</v>
      </c>
      <c r="D9" s="407">
        <v>-30</v>
      </c>
      <c r="E9" s="322">
        <v>-40</v>
      </c>
      <c r="F9" s="219">
        <v>1</v>
      </c>
      <c r="G9" s="213">
        <v>1</v>
      </c>
      <c r="H9" s="220">
        <v>1</v>
      </c>
      <c r="I9" s="280">
        <f>'Pasāk&lt;-&gt;AtkrVeidi'!BJ20</f>
        <v>7.6000000000000009E-3</v>
      </c>
      <c r="J9" s="223">
        <f>SlodzesAvotuNov!U17+SlodzesAvotuNov!X17</f>
        <v>0.77777777777777779</v>
      </c>
      <c r="K9" s="218">
        <f>SlodzesAvotuNov!V17+SlodzesAvotuNov!Y17</f>
        <v>0.8</v>
      </c>
      <c r="L9" s="231">
        <f>SlodzesAvotuNov!W17+SlodzesAvotuNov!Z17</f>
        <v>0.8125</v>
      </c>
      <c r="M9" s="647" t="str">
        <f>PasākRakst!E7</f>
        <v>1/R</v>
      </c>
      <c r="N9" s="747">
        <f t="shared" si="2"/>
        <v>-0.11822222222222223</v>
      </c>
      <c r="O9" s="755">
        <f>D9*G9*K9*I9</f>
        <v>-0.18240000000000001</v>
      </c>
      <c r="P9" s="749">
        <f t="shared" si="1"/>
        <v>-0.24700000000000003</v>
      </c>
      <c r="R9" s="429">
        <f>O9/$O$22*100</f>
        <v>0.74869856582960015</v>
      </c>
      <c r="S9" s="683"/>
    </row>
    <row r="10" spans="1:19" x14ac:dyDescent="0.35">
      <c r="A10" s="927" t="s">
        <v>18</v>
      </c>
      <c r="B10" s="932" t="s">
        <v>19</v>
      </c>
      <c r="C10" s="321">
        <v>-30</v>
      </c>
      <c r="D10" s="407">
        <v>-40</v>
      </c>
      <c r="E10" s="322">
        <v>-50</v>
      </c>
      <c r="F10" s="219">
        <v>1</v>
      </c>
      <c r="G10" s="213">
        <v>1</v>
      </c>
      <c r="H10" s="220">
        <v>1</v>
      </c>
      <c r="I10" s="281">
        <f>'Pasāk&lt;-&gt;AtkrVeidi'!BJ23</f>
        <v>1.5971814445096887E-2</v>
      </c>
      <c r="J10" s="223">
        <f>SlodzesAvotuNov!U7+SlodzesAvotuNov!X7</f>
        <v>0.77777777777777779</v>
      </c>
      <c r="K10" s="218">
        <f>SlodzesAvotuNov!V7+SlodzesAvotuNov!Y7</f>
        <v>0.8</v>
      </c>
      <c r="L10" s="231">
        <f>SlodzesAvotuNov!W7+SlodzesAvotuNov!Z7</f>
        <v>0.8125</v>
      </c>
      <c r="M10" s="647" t="str">
        <f>PasākRakst!E8</f>
        <v>1/R</v>
      </c>
      <c r="N10" s="757">
        <f t="shared" si="2"/>
        <v>-0.37267567038559402</v>
      </c>
      <c r="O10" s="748">
        <f t="shared" si="0"/>
        <v>-0.51109806224310039</v>
      </c>
      <c r="P10" s="758">
        <f t="shared" si="1"/>
        <v>-0.64885496183206104</v>
      </c>
      <c r="R10" s="914">
        <f>(O10+O11)/$O$22*100</f>
        <v>3.5345552864038212</v>
      </c>
      <c r="S10" s="684"/>
    </row>
    <row r="11" spans="1:19" x14ac:dyDescent="0.35">
      <c r="A11" s="928"/>
      <c r="B11" s="932"/>
      <c r="C11" s="321">
        <v>-30</v>
      </c>
      <c r="D11" s="407">
        <v>-40</v>
      </c>
      <c r="E11" s="322">
        <v>-50</v>
      </c>
      <c r="F11" s="219">
        <v>1</v>
      </c>
      <c r="G11" s="213">
        <v>1</v>
      </c>
      <c r="H11" s="220">
        <v>1</v>
      </c>
      <c r="I11" s="281">
        <f>'Pasāk&lt;-&gt;AtkrVeidi'!BK23</f>
        <v>0.01</v>
      </c>
      <c r="J11" s="223">
        <f>SlodzesAvotuNov!W15+SlodzesAvotuNov!Z15</f>
        <v>0.85714285714285721</v>
      </c>
      <c r="K11" s="218">
        <f>SlodzesAvotuNov!V15+SlodzesAvotuNov!Y15</f>
        <v>0.875</v>
      </c>
      <c r="L11" s="231">
        <f>SlodzesAvotuNov!U15+SlodzesAvotuNov!X15</f>
        <v>0.91666666666666674</v>
      </c>
      <c r="M11" s="647" t="str">
        <f>PasākRakst!E8</f>
        <v>1/R</v>
      </c>
      <c r="N11" s="759">
        <f>C11*F11*J11*I11</f>
        <v>-0.25714285714285717</v>
      </c>
      <c r="O11" s="756">
        <f t="shared" si="0"/>
        <v>-0.35000000000000003</v>
      </c>
      <c r="P11" s="760">
        <f t="shared" si="1"/>
        <v>-0.45833333333333337</v>
      </c>
      <c r="R11" s="914"/>
      <c r="S11" s="684"/>
    </row>
    <row r="12" spans="1:19" ht="39" x14ac:dyDescent="0.35">
      <c r="A12" s="272" t="s">
        <v>572</v>
      </c>
      <c r="B12" s="696" t="s">
        <v>597</v>
      </c>
      <c r="C12" s="224">
        <v>-10</v>
      </c>
      <c r="D12" s="225">
        <v>-24</v>
      </c>
      <c r="E12" s="226">
        <v>-30</v>
      </c>
      <c r="F12" s="219">
        <v>1</v>
      </c>
      <c r="G12" s="213">
        <v>1</v>
      </c>
      <c r="H12" s="220">
        <v>1</v>
      </c>
      <c r="I12" s="280">
        <f>'Pasāk&lt;-&gt;AtkrVeidi'!BJ26</f>
        <v>0.32500000000000001</v>
      </c>
      <c r="J12" s="223">
        <f>SlodzesAvotuNov!$U$6+SlodzesAvotuNov!$X$6</f>
        <v>0.8</v>
      </c>
      <c r="K12" s="218">
        <f>SlodzesAvotuNov!$V$6+SlodzesAvotuNov!$Y$6</f>
        <v>0.8214285714285714</v>
      </c>
      <c r="L12" s="231">
        <f>SlodzesAvotuNov!$W$6+SlodzesAvotuNov!$Z$6</f>
        <v>0.83333333333333337</v>
      </c>
      <c r="M12" s="648" t="str">
        <f>PasākRakst!E9</f>
        <v>1/R; 2/A; (4/S)</v>
      </c>
      <c r="N12" s="750">
        <f t="shared" si="2"/>
        <v>-2.6</v>
      </c>
      <c r="O12" s="751">
        <f t="shared" si="0"/>
        <v>-6.4071428571428575</v>
      </c>
      <c r="P12" s="752">
        <f t="shared" si="1"/>
        <v>-8.125</v>
      </c>
      <c r="R12" s="429">
        <f>O12/$O$22*100</f>
        <v>26.299444452895965</v>
      </c>
      <c r="S12" s="683"/>
    </row>
    <row r="13" spans="1:19" ht="26" x14ac:dyDescent="0.35">
      <c r="A13" s="272" t="s">
        <v>24</v>
      </c>
      <c r="B13" s="701" t="s">
        <v>25</v>
      </c>
      <c r="C13" s="321">
        <v>-10</v>
      </c>
      <c r="D13" s="407">
        <v>-20</v>
      </c>
      <c r="E13" s="322">
        <v>-30</v>
      </c>
      <c r="F13" s="219">
        <v>1</v>
      </c>
      <c r="G13" s="213">
        <v>1</v>
      </c>
      <c r="H13" s="220">
        <v>1</v>
      </c>
      <c r="I13" s="280">
        <f>'Pasāk&lt;-&gt;AtkrVeidi'!BJ29</f>
        <v>8.0000000000000002E-3</v>
      </c>
      <c r="J13" s="223">
        <f>SlodzesAvotuNov!U66+SlodzesAvotuNov!X66</f>
        <v>0.77777777777777779</v>
      </c>
      <c r="K13" s="218">
        <f>SlodzesAvotuNov!V66+SlodzesAvotuNov!Y66</f>
        <v>0.8</v>
      </c>
      <c r="L13" s="231">
        <f>SlodzesAvotuNov!W66+SlodzesAvotuNov!Z66</f>
        <v>0.8125</v>
      </c>
      <c r="M13" s="648" t="str">
        <f>PasākRakst!E10</f>
        <v>1/R; 2/A; (4/S)</v>
      </c>
      <c r="N13" s="609">
        <f t="shared" si="2"/>
        <v>-6.222222222222222E-2</v>
      </c>
      <c r="O13" s="700">
        <f t="shared" si="0"/>
        <v>-0.128</v>
      </c>
      <c r="P13" s="273">
        <f t="shared" si="1"/>
        <v>-0.19500000000000001</v>
      </c>
      <c r="R13" s="429">
        <f>O13/$O$22*100</f>
        <v>0.52540250233656149</v>
      </c>
      <c r="S13" s="683"/>
    </row>
    <row r="14" spans="1:19" ht="26" x14ac:dyDescent="0.35">
      <c r="A14" s="272" t="s">
        <v>26</v>
      </c>
      <c r="B14" s="692" t="s">
        <v>27</v>
      </c>
      <c r="C14" s="224">
        <v>-5</v>
      </c>
      <c r="D14" s="225">
        <v>-10</v>
      </c>
      <c r="E14" s="226">
        <v>-15</v>
      </c>
      <c r="F14" s="219">
        <v>1</v>
      </c>
      <c r="G14" s="213">
        <v>1</v>
      </c>
      <c r="H14" s="220">
        <v>1</v>
      </c>
      <c r="I14" s="280">
        <f>'Pasāk&lt;-&gt;AtkrVeidi'!BJ32</f>
        <v>3.4999999999999996E-2</v>
      </c>
      <c r="J14" s="223">
        <f>SlodzesAvotuNov!AC25</f>
        <v>0.83333333333333337</v>
      </c>
      <c r="K14" s="218">
        <f>SlodzesAvotuNov!AB25</f>
        <v>0.87179487179487181</v>
      </c>
      <c r="L14" s="231">
        <f>SlodzesAvotuNov!AA25</f>
        <v>0.93333333333333335</v>
      </c>
      <c r="M14" s="648" t="str">
        <f>PasākRakst!E11</f>
        <v>2/A</v>
      </c>
      <c r="N14" s="747">
        <f t="shared" si="2"/>
        <v>-0.14583333333333331</v>
      </c>
      <c r="O14" s="748">
        <f t="shared" si="0"/>
        <v>-0.30512820512820515</v>
      </c>
      <c r="P14" s="749">
        <f t="shared" si="1"/>
        <v>-0.48999999999999994</v>
      </c>
      <c r="R14" s="429">
        <f>O14/$O$22*100</f>
        <v>1.2524618945923642</v>
      </c>
      <c r="S14" s="683"/>
    </row>
    <row r="15" spans="1:19" x14ac:dyDescent="0.35">
      <c r="A15" s="927" t="s">
        <v>29</v>
      </c>
      <c r="B15" s="926" t="s">
        <v>30</v>
      </c>
      <c r="C15" s="224">
        <v>0</v>
      </c>
      <c r="D15" s="225">
        <f>(C15+E15)/2</f>
        <v>-6</v>
      </c>
      <c r="E15" s="226">
        <v>-12</v>
      </c>
      <c r="F15" s="219">
        <v>1</v>
      </c>
      <c r="G15" s="213">
        <v>1</v>
      </c>
      <c r="H15" s="220">
        <v>1</v>
      </c>
      <c r="I15" s="281">
        <f>'Pasāk&lt;-&gt;AtkrVeidi'!BJ35</f>
        <v>5.6333333333333331E-3</v>
      </c>
      <c r="J15" s="223">
        <v>0.75</v>
      </c>
      <c r="K15" s="218">
        <v>0.8</v>
      </c>
      <c r="L15" s="231">
        <v>0.85</v>
      </c>
      <c r="M15" s="647" t="str">
        <f>PasākRakst!E12</f>
        <v>1/R</v>
      </c>
      <c r="N15" s="761">
        <f t="shared" si="2"/>
        <v>0</v>
      </c>
      <c r="O15" s="753">
        <f>D15*G15*K15*I15</f>
        <v>-2.7040000000000002E-2</v>
      </c>
      <c r="P15" s="762">
        <f t="shared" si="1"/>
        <v>-5.745999999999999E-2</v>
      </c>
      <c r="R15" s="914">
        <f>(O15+O16)/$O$22*100</f>
        <v>0.94070610816727163</v>
      </c>
      <c r="S15" s="684"/>
    </row>
    <row r="16" spans="1:19" x14ac:dyDescent="0.35">
      <c r="A16" s="928"/>
      <c r="B16" s="926"/>
      <c r="C16" s="224">
        <v>-5</v>
      </c>
      <c r="D16" s="225">
        <v>-10</v>
      </c>
      <c r="E16" s="226">
        <v>-15</v>
      </c>
      <c r="F16" s="224">
        <v>1</v>
      </c>
      <c r="G16" s="225">
        <v>1</v>
      </c>
      <c r="H16" s="226">
        <v>1</v>
      </c>
      <c r="I16" s="281">
        <f>'Pasāk&lt;-&gt;AtkrVeidi'!BK35</f>
        <v>2.5267175572519084E-2</v>
      </c>
      <c r="J16" s="223">
        <f>SlodzesAvotuNov!U7+SlodzesAvotuNov!X7</f>
        <v>0.77777777777777779</v>
      </c>
      <c r="K16" s="218">
        <f>SlodzesAvotuNov!V7+SlodzesAvotuNov!Y7</f>
        <v>0.8</v>
      </c>
      <c r="L16" s="231">
        <f>SlodzesAvotuNov!W7+SlodzesAvotuNov!Z7</f>
        <v>0.8125</v>
      </c>
      <c r="M16" s="648" t="str">
        <f>PasākRakst!E12</f>
        <v>1/R</v>
      </c>
      <c r="N16" s="759">
        <f t="shared" si="2"/>
        <v>-9.8261238337574219E-2</v>
      </c>
      <c r="O16" s="754">
        <f t="shared" si="0"/>
        <v>-0.20213740458015267</v>
      </c>
      <c r="P16" s="760">
        <f t="shared" si="1"/>
        <v>-0.30794370229007634</v>
      </c>
      <c r="R16" s="914"/>
      <c r="S16" s="684"/>
    </row>
    <row r="17" spans="1:20" ht="39" x14ac:dyDescent="0.35">
      <c r="A17" s="272" t="s">
        <v>32</v>
      </c>
      <c r="B17" s="697" t="s">
        <v>33</v>
      </c>
      <c r="C17" s="321">
        <v>-20</v>
      </c>
      <c r="D17" s="407">
        <v>-30</v>
      </c>
      <c r="E17" s="322">
        <v>-40</v>
      </c>
      <c r="F17" s="224">
        <v>1</v>
      </c>
      <c r="G17" s="225">
        <v>1</v>
      </c>
      <c r="H17" s="226">
        <v>1</v>
      </c>
      <c r="I17" s="280">
        <f>'Pasāk&lt;-&gt;AtkrVeidi'!BJ38</f>
        <v>0.4370259771464825</v>
      </c>
      <c r="J17" s="223">
        <v>0.75</v>
      </c>
      <c r="K17" s="218">
        <v>0.8</v>
      </c>
      <c r="L17" s="231">
        <v>0.85</v>
      </c>
      <c r="M17" s="647" t="str">
        <f>PasākRakst!E13</f>
        <v>1/R</v>
      </c>
      <c r="N17" s="750">
        <f t="shared" si="2"/>
        <v>-6.5553896571972379</v>
      </c>
      <c r="O17" s="751">
        <f t="shared" si="0"/>
        <v>-10.488623451515579</v>
      </c>
      <c r="P17" s="752">
        <f t="shared" si="1"/>
        <v>-14.858883222980404</v>
      </c>
      <c r="R17" s="429">
        <f>O17/$O$22*100</f>
        <v>43.052726621033031</v>
      </c>
      <c r="S17" s="683"/>
    </row>
    <row r="18" spans="1:20" ht="26" x14ac:dyDescent="0.35">
      <c r="A18" s="272" t="s">
        <v>36</v>
      </c>
      <c r="B18" s="693" t="s">
        <v>526</v>
      </c>
      <c r="C18" s="321">
        <v>-10</v>
      </c>
      <c r="D18" s="407">
        <v>-15</v>
      </c>
      <c r="E18" s="322">
        <v>-20</v>
      </c>
      <c r="F18" s="221">
        <v>1</v>
      </c>
      <c r="G18" s="217">
        <v>1</v>
      </c>
      <c r="H18" s="222">
        <v>1</v>
      </c>
      <c r="I18" s="280">
        <f>'Pasāk&lt;-&gt;AtkrVeidi'!BJ41</f>
        <v>9.0913333333333346E-2</v>
      </c>
      <c r="J18" s="223">
        <v>0.7</v>
      </c>
      <c r="K18" s="227">
        <v>0.75</v>
      </c>
      <c r="L18" s="231">
        <v>0.8</v>
      </c>
      <c r="M18" s="647" t="str">
        <f>PasākRakst!E14</f>
        <v>1/R</v>
      </c>
      <c r="N18" s="609">
        <f t="shared" si="2"/>
        <v>-0.63639333333333337</v>
      </c>
      <c r="O18" s="688">
        <f t="shared" si="0"/>
        <v>-1.0227750000000002</v>
      </c>
      <c r="P18" s="273">
        <f t="shared" si="1"/>
        <v>-1.4546133333333335</v>
      </c>
      <c r="R18" s="429">
        <f>O18/$O$22*100</f>
        <v>4.1981917525568502</v>
      </c>
      <c r="S18" s="683"/>
    </row>
    <row r="19" spans="1:20" x14ac:dyDescent="0.35">
      <c r="A19" s="272" t="s">
        <v>39</v>
      </c>
      <c r="B19" s="699" t="s">
        <v>40</v>
      </c>
      <c r="C19" s="321">
        <v>-10</v>
      </c>
      <c r="D19" s="407">
        <v>-20</v>
      </c>
      <c r="E19" s="322">
        <v>-30</v>
      </c>
      <c r="F19" s="223">
        <v>0.2</v>
      </c>
      <c r="G19" s="218">
        <v>0.25</v>
      </c>
      <c r="H19" s="231">
        <v>0.3</v>
      </c>
      <c r="I19" s="229">
        <f>'Pasāk&lt;-&gt;AtkrVeidi'!BJ44</f>
        <v>4.0000000000000001E-3</v>
      </c>
      <c r="J19" s="223">
        <f>SlodzesAvotuNov!U17+SlodzesAvotuNov!X17</f>
        <v>0.77777777777777779</v>
      </c>
      <c r="K19" s="218">
        <f>SlodzesAvotuNov!V17+SlodzesAvotuNov!Y17</f>
        <v>0.8</v>
      </c>
      <c r="L19" s="231">
        <f>SlodzesAvotuNov!W17+SlodzesAvotuNov!Z17</f>
        <v>0.8125</v>
      </c>
      <c r="M19" s="647" t="str">
        <f>PasākRakst!E15</f>
        <v>1/R</v>
      </c>
      <c r="N19" s="669">
        <f t="shared" si="2"/>
        <v>-6.2222222222222227E-3</v>
      </c>
      <c r="O19" s="702">
        <f t="shared" si="0"/>
        <v>-1.6E-2</v>
      </c>
      <c r="P19" s="670">
        <f t="shared" si="1"/>
        <v>-2.9250000000000002E-2</v>
      </c>
      <c r="R19" s="429">
        <f>O19/$O$22*100</f>
        <v>6.5675312792070187E-2</v>
      </c>
      <c r="S19" s="683"/>
    </row>
    <row r="20" spans="1:20" x14ac:dyDescent="0.35">
      <c r="A20" s="428" t="s">
        <v>49</v>
      </c>
      <c r="B20" s="694" t="s">
        <v>50</v>
      </c>
      <c r="C20" s="314">
        <v>-3</v>
      </c>
      <c r="D20" s="315">
        <v>-4</v>
      </c>
      <c r="E20" s="316">
        <v>-5</v>
      </c>
      <c r="F20" s="263">
        <v>0.45</v>
      </c>
      <c r="G20" s="264">
        <v>0.5</v>
      </c>
      <c r="H20" s="265">
        <v>0.6</v>
      </c>
      <c r="I20" s="282">
        <f>'Pasāk&lt;-&gt;AtkrVeidi'!BJ56</f>
        <v>0.43120000000000003</v>
      </c>
      <c r="J20" s="223">
        <v>0.75</v>
      </c>
      <c r="K20" s="218">
        <v>0.8</v>
      </c>
      <c r="L20" s="231">
        <v>0.85</v>
      </c>
      <c r="M20" s="649" t="str">
        <f>PasākRakst!E19</f>
        <v>1/R</v>
      </c>
      <c r="N20" s="609">
        <f t="shared" si="2"/>
        <v>-0.43659000000000009</v>
      </c>
      <c r="O20" s="688">
        <f t="shared" si="0"/>
        <v>-0.68992000000000009</v>
      </c>
      <c r="P20" s="273">
        <f t="shared" si="1"/>
        <v>-1.0995600000000001</v>
      </c>
      <c r="R20" s="429">
        <f>O20/$O$22*100</f>
        <v>2.831919487594067</v>
      </c>
      <c r="S20" s="683"/>
    </row>
    <row r="21" spans="1:20" ht="13.5" thickBot="1" x14ac:dyDescent="0.4">
      <c r="A21" s="601"/>
      <c r="B21" s="698" t="s">
        <v>670</v>
      </c>
      <c r="C21" s="602">
        <v>-10</v>
      </c>
      <c r="D21" s="603">
        <v>-20</v>
      </c>
      <c r="E21" s="604">
        <v>-30</v>
      </c>
      <c r="F21" s="605">
        <f>AVERAGE(F7:F20)</f>
        <v>0.90357142857142847</v>
      </c>
      <c r="G21" s="368">
        <v>0.95</v>
      </c>
      <c r="H21" s="606">
        <v>1</v>
      </c>
      <c r="I21" s="607">
        <f>1-'Pasāk&lt;-&gt;AtkrVeidi'!BI6</f>
        <v>0.14349999999999985</v>
      </c>
      <c r="J21" s="374">
        <v>0.7</v>
      </c>
      <c r="K21" s="369">
        <v>0.75</v>
      </c>
      <c r="L21" s="375">
        <v>0.8</v>
      </c>
      <c r="M21" s="650"/>
      <c r="N21" s="610">
        <f t="shared" si="2"/>
        <v>-0.90763749999999899</v>
      </c>
      <c r="O21" s="690">
        <f t="shared" si="0"/>
        <v>-2.044874999999998</v>
      </c>
      <c r="P21" s="611">
        <f t="shared" si="1"/>
        <v>-3.4439999999999964</v>
      </c>
      <c r="R21" s="429">
        <f>O21/$O$22*100</f>
        <v>8.3936128278552751</v>
      </c>
      <c r="S21" s="683"/>
    </row>
    <row r="22" spans="1:20" s="338" customFormat="1" ht="15.5" x14ac:dyDescent="0.35">
      <c r="A22" s="333"/>
      <c r="B22" s="746"/>
      <c r="C22" s="334"/>
      <c r="D22" s="334"/>
      <c r="E22" s="334"/>
      <c r="F22" s="335"/>
      <c r="G22" s="335"/>
      <c r="H22" s="335"/>
      <c r="I22" s="336"/>
      <c r="J22" s="337"/>
      <c r="K22" s="337"/>
      <c r="L22" s="337"/>
      <c r="M22" s="335" t="s">
        <v>581</v>
      </c>
      <c r="N22" s="336">
        <f t="shared" ref="N22:O22" si="3">SUM(N7:N21)</f>
        <v>-13.09356884402586</v>
      </c>
      <c r="O22" s="336">
        <f t="shared" si="3"/>
        <v>-24.362274528720452</v>
      </c>
      <c r="P22" s="336">
        <f>SUM(P7:P21)</f>
        <v>-34.493189062361068</v>
      </c>
      <c r="R22" s="404">
        <f>SUM(R7:R21)</f>
        <v>100</v>
      </c>
      <c r="S22" s="685"/>
      <c r="T22" s="674"/>
    </row>
    <row r="23" spans="1:20" s="228" customFormat="1" ht="16" thickBot="1" x14ac:dyDescent="0.4">
      <c r="A23" s="622" t="s">
        <v>626</v>
      </c>
      <c r="B23" s="270"/>
      <c r="C23" s="274"/>
      <c r="D23" s="274"/>
      <c r="E23" s="274"/>
      <c r="F23" s="275"/>
      <c r="G23" s="275"/>
      <c r="H23" s="275"/>
      <c r="I23" s="277"/>
      <c r="J23" s="276"/>
      <c r="K23" s="276"/>
      <c r="L23" s="276"/>
      <c r="M23" s="275"/>
      <c r="N23" s="277"/>
      <c r="O23" s="277"/>
      <c r="P23" s="277"/>
      <c r="Q23" s="313"/>
    </row>
    <row r="24" spans="1:20" ht="39" customHeight="1" x14ac:dyDescent="0.35">
      <c r="A24" s="323" t="s">
        <v>2</v>
      </c>
      <c r="B24" s="324" t="s">
        <v>3</v>
      </c>
      <c r="C24" s="915" t="s">
        <v>607</v>
      </c>
      <c r="D24" s="916"/>
      <c r="E24" s="917"/>
      <c r="F24" s="918" t="s">
        <v>590</v>
      </c>
      <c r="G24" s="916"/>
      <c r="H24" s="919"/>
      <c r="I24" s="659" t="s">
        <v>591</v>
      </c>
      <c r="J24" s="918" t="s">
        <v>592</v>
      </c>
      <c r="K24" s="916"/>
      <c r="L24" s="919"/>
      <c r="M24" s="331" t="s">
        <v>579</v>
      </c>
      <c r="N24" s="920" t="s">
        <v>620</v>
      </c>
      <c r="O24" s="921"/>
      <c r="P24" s="922"/>
    </row>
    <row r="25" spans="1:20" ht="13.5" thickBot="1" x14ac:dyDescent="0.4">
      <c r="A25" s="325"/>
      <c r="B25" s="326"/>
      <c r="C25" s="327" t="s">
        <v>616</v>
      </c>
      <c r="D25" s="328" t="s">
        <v>593</v>
      </c>
      <c r="E25" s="329" t="s">
        <v>617</v>
      </c>
      <c r="F25" s="327" t="s">
        <v>616</v>
      </c>
      <c r="G25" s="328" t="s">
        <v>593</v>
      </c>
      <c r="H25" s="329" t="s">
        <v>617</v>
      </c>
      <c r="I25" s="660" t="s">
        <v>659</v>
      </c>
      <c r="J25" s="653" t="s">
        <v>616</v>
      </c>
      <c r="K25" s="328" t="s">
        <v>593</v>
      </c>
      <c r="L25" s="329" t="s">
        <v>617</v>
      </c>
      <c r="M25" s="332"/>
      <c r="N25" s="342" t="s">
        <v>616</v>
      </c>
      <c r="O25" s="340" t="s">
        <v>593</v>
      </c>
      <c r="P25" s="341" t="s">
        <v>617</v>
      </c>
    </row>
    <row r="26" spans="1:20" ht="52.5" thickBot="1" x14ac:dyDescent="0.4">
      <c r="A26" s="286" t="s">
        <v>571</v>
      </c>
      <c r="B26" s="703" t="s">
        <v>598</v>
      </c>
      <c r="C26" s="707">
        <f>-30-C12</f>
        <v>-20</v>
      </c>
      <c r="D26" s="708">
        <f>-45-D12</f>
        <v>-21</v>
      </c>
      <c r="E26" s="709">
        <f>-60-E12</f>
        <v>-30</v>
      </c>
      <c r="F26" s="287">
        <v>1</v>
      </c>
      <c r="G26" s="288">
        <v>1</v>
      </c>
      <c r="H26" s="289">
        <v>1</v>
      </c>
      <c r="I26" s="661">
        <f>'Pasāk&lt;-&gt;AtkrVeidi'!$BJ$26</f>
        <v>0.32500000000000001</v>
      </c>
      <c r="J26" s="290">
        <f>SlodzesAvotuNov!$U$6+SlodzesAvotuNov!$X$6</f>
        <v>0.8</v>
      </c>
      <c r="K26" s="291">
        <f>SlodzesAvotuNov!$V$6+SlodzesAvotuNov!$Y$6</f>
        <v>0.8214285714285714</v>
      </c>
      <c r="L26" s="292">
        <f>SlodzesAvotuNov!$W$6+SlodzesAvotuNov!$Z$6</f>
        <v>0.83333333333333337</v>
      </c>
      <c r="M26" s="293" t="str">
        <f>PasākRakst!E9</f>
        <v>1/R; 2/A; (4/S)</v>
      </c>
      <c r="N26" s="710">
        <f>C26*F26*J26*I26</f>
        <v>-5.2</v>
      </c>
      <c r="O26" s="720">
        <f>D26*G26*K26*I26</f>
        <v>-5.6062500000000002</v>
      </c>
      <c r="P26" s="711">
        <f>E26*H26*L26*I26</f>
        <v>-8.125</v>
      </c>
    </row>
    <row r="27" spans="1:20" ht="26.5" thickBot="1" x14ac:dyDescent="0.4">
      <c r="A27" s="286" t="s">
        <v>527</v>
      </c>
      <c r="B27" s="706" t="s">
        <v>42</v>
      </c>
      <c r="C27" s="359">
        <v>-10</v>
      </c>
      <c r="D27" s="360">
        <v>-20</v>
      </c>
      <c r="E27" s="361">
        <v>-30</v>
      </c>
      <c r="F27" s="343">
        <v>0.15</v>
      </c>
      <c r="G27" s="344">
        <v>0.2</v>
      </c>
      <c r="H27" s="345">
        <v>0.3</v>
      </c>
      <c r="I27" s="661">
        <f>'Pasāk&lt;-&gt;AtkrVeidi'!BJ47</f>
        <v>8.0000000000000002E-3</v>
      </c>
      <c r="J27" s="290">
        <f>SlodzesAvotuNov!U17+SlodzesAvotuNov!X17</f>
        <v>0.77777777777777779</v>
      </c>
      <c r="K27" s="291">
        <f>SlodzesAvotuNov!V17+SlodzesAvotuNov!Y17</f>
        <v>0.8</v>
      </c>
      <c r="L27" s="292">
        <f>SlodzesAvotuNov!W17+SlodzesAvotuNov!Z17</f>
        <v>0.8125</v>
      </c>
      <c r="M27" s="362" t="str">
        <f>PasākRakst!E16</f>
        <v>1/R</v>
      </c>
      <c r="N27" s="363">
        <f>C27*F27*J27*I27</f>
        <v>-9.3333333333333341E-3</v>
      </c>
      <c r="O27" s="723">
        <f>D27*G27*K27*I27</f>
        <v>-2.5600000000000001E-2</v>
      </c>
      <c r="P27" s="364">
        <f>E27*H27*L27*I27</f>
        <v>-5.8500000000000003E-2</v>
      </c>
    </row>
    <row r="28" spans="1:20" ht="26" x14ac:dyDescent="0.35">
      <c r="A28" s="399" t="s">
        <v>528</v>
      </c>
      <c r="B28" s="704" t="s">
        <v>596</v>
      </c>
      <c r="C28" s="319">
        <v>-5</v>
      </c>
      <c r="D28" s="366">
        <v>-10</v>
      </c>
      <c r="E28" s="320">
        <v>-15</v>
      </c>
      <c r="F28" s="285">
        <v>0.3</v>
      </c>
      <c r="G28" s="355">
        <v>0.4</v>
      </c>
      <c r="H28" s="269">
        <v>0.5</v>
      </c>
      <c r="I28" s="680">
        <v>1</v>
      </c>
      <c r="J28" s="654">
        <f>SlodzesAvotuNov!U68+SlodzesAvotuNov!X68+SlodzesAvotuNov!AA68</f>
        <v>1</v>
      </c>
      <c r="K28" s="284">
        <f>SlodzesAvotuNov!V68+SlodzesAvotuNov!Y68+SlodzesAvotuNov!AB68</f>
        <v>1</v>
      </c>
      <c r="L28" s="358">
        <f>SlodzesAvotuNov!W68+SlodzesAvotuNov!Z68+SlodzesAvotuNov!AC68</f>
        <v>0.99999999999999989</v>
      </c>
      <c r="M28" s="597" t="str">
        <f>PasākRakst!E17</f>
        <v>4/S</v>
      </c>
      <c r="N28" s="676">
        <f>C28*F28*J28*I28</f>
        <v>-1.5</v>
      </c>
      <c r="O28" s="677">
        <f>D28*G28*K28*I28</f>
        <v>-4</v>
      </c>
      <c r="P28" s="678">
        <f>E28*H28*L28*I28</f>
        <v>-7.4999999999999991</v>
      </c>
    </row>
    <row r="29" spans="1:20" ht="26.5" thickBot="1" x14ac:dyDescent="0.4">
      <c r="A29" s="400"/>
      <c r="B29" s="712" t="s">
        <v>595</v>
      </c>
      <c r="C29" s="370"/>
      <c r="D29" s="367"/>
      <c r="E29" s="371"/>
      <c r="F29" s="372"/>
      <c r="G29" s="368"/>
      <c r="H29" s="373"/>
      <c r="I29" s="681"/>
      <c r="J29" s="655"/>
      <c r="K29" s="369"/>
      <c r="L29" s="375"/>
      <c r="M29" s="713" t="str">
        <f>PasākRakst!E17</f>
        <v>4/S</v>
      </c>
      <c r="N29" s="714">
        <f>(1+N22/100)*N28</f>
        <v>-1.3035964673396121</v>
      </c>
      <c r="O29" s="721">
        <f>(1+O22/100)*O28</f>
        <v>-3.025509018851182</v>
      </c>
      <c r="P29" s="715">
        <f>(1+P22/100)*P28</f>
        <v>-4.9130108203229188</v>
      </c>
    </row>
    <row r="30" spans="1:20" ht="26" x14ac:dyDescent="0.35">
      <c r="A30" s="399" t="s">
        <v>537</v>
      </c>
      <c r="B30" s="705" t="s">
        <v>621</v>
      </c>
      <c r="C30" s="346"/>
      <c r="D30" s="347"/>
      <c r="E30" s="348"/>
      <c r="F30" s="349"/>
      <c r="G30" s="350"/>
      <c r="H30" s="351"/>
      <c r="I30" s="682">
        <f>SUM(I32:I36)</f>
        <v>1</v>
      </c>
      <c r="J30" s="656">
        <v>1</v>
      </c>
      <c r="K30" s="352">
        <v>1</v>
      </c>
      <c r="L30" s="365">
        <v>1</v>
      </c>
      <c r="M30" s="598" t="str">
        <f>PasākRakst!E18</f>
        <v>1/R; 2/A; 4/S</v>
      </c>
      <c r="N30" s="679">
        <f>SUM(N32:N36)</f>
        <v>-0.94390000000000007</v>
      </c>
      <c r="O30" s="677">
        <f>SUM(O32:O36)</f>
        <v>-4.2527249999999999</v>
      </c>
      <c r="P30" s="678">
        <f>SUM(P32:P36)</f>
        <v>-9.2665999999999968</v>
      </c>
    </row>
    <row r="31" spans="1:20" ht="26" x14ac:dyDescent="0.35">
      <c r="A31" s="401"/>
      <c r="B31" s="719" t="s">
        <v>595</v>
      </c>
      <c r="C31" s="356"/>
      <c r="D31" s="353"/>
      <c r="E31" s="357"/>
      <c r="F31" s="311"/>
      <c r="G31" s="354"/>
      <c r="H31" s="312"/>
      <c r="I31" s="662"/>
      <c r="J31" s="657"/>
      <c r="K31" s="218"/>
      <c r="L31" s="231"/>
      <c r="M31" s="716" t="str">
        <f>PasākRakst!E18</f>
        <v>1/R; 2/A; 4/S</v>
      </c>
      <c r="N31" s="717">
        <f>(1+N22/100)*N30</f>
        <v>-0.82030980368123996</v>
      </c>
      <c r="O31" s="722">
        <f>(1+O22/100)*O30</f>
        <v>-3.2166644605484729</v>
      </c>
      <c r="P31" s="718">
        <f>(1+P22/100)*P30</f>
        <v>-6.0702541423472463</v>
      </c>
    </row>
    <row r="32" spans="1:20" x14ac:dyDescent="0.35">
      <c r="A32" s="402"/>
      <c r="B32" s="397" t="s">
        <v>582</v>
      </c>
      <c r="C32" s="377">
        <v>-12</v>
      </c>
      <c r="D32" s="376">
        <v>-24</v>
      </c>
      <c r="E32" s="378">
        <v>-35</v>
      </c>
      <c r="F32" s="379">
        <v>0.2</v>
      </c>
      <c r="G32" s="380">
        <v>0.3</v>
      </c>
      <c r="H32" s="381">
        <v>0.4</v>
      </c>
      <c r="I32" s="663">
        <f>'Pasāk&lt;-&gt;AtkrVeidi'!Q6</f>
        <v>0.32500000000000001</v>
      </c>
      <c r="J32" s="386">
        <f>SlodzesAvotuNov!$U$68+SlodzesAvotuNov!$X$68+SlodzesAvotuNov!$AA$68</f>
        <v>1</v>
      </c>
      <c r="K32" s="382">
        <f>SlodzesAvotuNov!$V$68+SlodzesAvotuNov!$Y$68+SlodzesAvotuNov!$AB$68</f>
        <v>1</v>
      </c>
      <c r="L32" s="383">
        <f>SlodzesAvotuNov!$W$68+SlodzesAvotuNov!$Z$68+SlodzesAvotuNov!$AC$68</f>
        <v>0.99999999999999989</v>
      </c>
      <c r="M32" s="599"/>
      <c r="N32" s="651">
        <f>C32*F32*J32*I32</f>
        <v>-0.78000000000000014</v>
      </c>
      <c r="O32" s="384">
        <f>D32*G32*K32*I32</f>
        <v>-2.34</v>
      </c>
      <c r="P32" s="385">
        <f>E32*H32*L32*I32</f>
        <v>-4.55</v>
      </c>
    </row>
    <row r="33" spans="1:16" x14ac:dyDescent="0.35">
      <c r="A33" s="402"/>
      <c r="B33" s="397" t="s">
        <v>583</v>
      </c>
      <c r="C33" s="377">
        <v>-6</v>
      </c>
      <c r="D33" s="376">
        <v>-20</v>
      </c>
      <c r="E33" s="378">
        <v>-33</v>
      </c>
      <c r="F33" s="379">
        <v>0.2</v>
      </c>
      <c r="G33" s="380">
        <v>0.3</v>
      </c>
      <c r="H33" s="381">
        <v>0.4</v>
      </c>
      <c r="I33" s="663">
        <f>(SUM('Pasāk&lt;-&gt;AtkrVeidi'!F6:I6)+SUM('Pasāk&lt;-&gt;AtkrVeidi'!L6:N6))*1</f>
        <v>1.8000000000000002E-2</v>
      </c>
      <c r="J33" s="386">
        <f>SlodzesAvotuNov!$U$68+SlodzesAvotuNov!$X$68+SlodzesAvotuNov!$AA$68</f>
        <v>1</v>
      </c>
      <c r="K33" s="382">
        <f>SlodzesAvotuNov!$V$68+SlodzesAvotuNov!$Y$68+SlodzesAvotuNov!$AB$68</f>
        <v>1</v>
      </c>
      <c r="L33" s="383">
        <f>SlodzesAvotuNov!$W$68+SlodzesAvotuNov!$Z$68+SlodzesAvotuNov!$AC$68</f>
        <v>0.99999999999999989</v>
      </c>
      <c r="M33" s="599"/>
      <c r="N33" s="651">
        <f>C33*F33*J33*I33</f>
        <v>-2.1600000000000005E-2</v>
      </c>
      <c r="O33" s="384">
        <f>D33*G33*K33*I33</f>
        <v>-0.10800000000000001</v>
      </c>
      <c r="P33" s="385">
        <f>E33*H33*L33*I33</f>
        <v>-0.23760000000000001</v>
      </c>
    </row>
    <row r="34" spans="1:16" x14ac:dyDescent="0.35">
      <c r="A34" s="402"/>
      <c r="B34" s="397" t="s">
        <v>584</v>
      </c>
      <c r="C34" s="377">
        <v>-31</v>
      </c>
      <c r="D34" s="376">
        <v>-48</v>
      </c>
      <c r="E34" s="378">
        <v>-60</v>
      </c>
      <c r="F34" s="379">
        <v>0.2</v>
      </c>
      <c r="G34" s="380">
        <v>0.3</v>
      </c>
      <c r="H34" s="381">
        <v>0.4</v>
      </c>
      <c r="I34" s="664">
        <f>SUM('Pasāk&lt;-&gt;AtkrVeidi'!BE6:BG6)*1</f>
        <v>6.4999999999999997E-3</v>
      </c>
      <c r="J34" s="386">
        <f>SlodzesAvotuNov!$U$68+SlodzesAvotuNov!$X$68+SlodzesAvotuNov!$AA$68</f>
        <v>1</v>
      </c>
      <c r="K34" s="382">
        <f>SlodzesAvotuNov!$V$68+SlodzesAvotuNov!$Y$68+SlodzesAvotuNov!$AB$68</f>
        <v>1</v>
      </c>
      <c r="L34" s="383">
        <f>SlodzesAvotuNov!$W$68+SlodzesAvotuNov!$Z$68+SlodzesAvotuNov!$AC$68</f>
        <v>0.99999999999999989</v>
      </c>
      <c r="M34" s="599"/>
      <c r="N34" s="651">
        <f>C34*F34*J34*I34</f>
        <v>-4.0300000000000002E-2</v>
      </c>
      <c r="O34" s="384">
        <f>D34*G34*K34*I34</f>
        <v>-9.3599999999999989E-2</v>
      </c>
      <c r="P34" s="385">
        <f>E34*H34*L34*I34</f>
        <v>-0.15599999999999997</v>
      </c>
    </row>
    <row r="35" spans="1:16" x14ac:dyDescent="0.35">
      <c r="A35" s="402"/>
      <c r="B35" s="397" t="s">
        <v>585</v>
      </c>
      <c r="C35" s="377">
        <v>-17</v>
      </c>
      <c r="D35" s="376">
        <v>-35</v>
      </c>
      <c r="E35" s="378">
        <v>-50</v>
      </c>
      <c r="F35" s="379">
        <v>0.2</v>
      </c>
      <c r="G35" s="380">
        <v>0.3</v>
      </c>
      <c r="H35" s="381">
        <v>0.4</v>
      </c>
      <c r="I35" s="664">
        <f>(SUM('Pasāk&lt;-&gt;AtkrVeidi'!B6:E6)+SUM('Pasāk&lt;-&gt;AtkrVeidi'!J6:K6))*1</f>
        <v>0.03</v>
      </c>
      <c r="J35" s="386">
        <f>SlodzesAvotuNov!$U$68+SlodzesAvotuNov!$X$68+SlodzesAvotuNov!$AA$68</f>
        <v>1</v>
      </c>
      <c r="K35" s="382">
        <f>SlodzesAvotuNov!$V$68+SlodzesAvotuNov!$Y$68+SlodzesAvotuNov!$AB$68</f>
        <v>1</v>
      </c>
      <c r="L35" s="383">
        <f>SlodzesAvotuNov!$W$68+SlodzesAvotuNov!$Z$68+SlodzesAvotuNov!$AC$68</f>
        <v>0.99999999999999989</v>
      </c>
      <c r="M35" s="599"/>
      <c r="N35" s="651">
        <f>C35*F35*J35*I35</f>
        <v>-0.10200000000000001</v>
      </c>
      <c r="O35" s="384">
        <f>D35*G35*K35*I35</f>
        <v>-0.315</v>
      </c>
      <c r="P35" s="385">
        <f>E35*H35*L35*I35</f>
        <v>-0.59999999999999987</v>
      </c>
    </row>
    <row r="36" spans="1:16" ht="13.5" thickBot="1" x14ac:dyDescent="0.4">
      <c r="A36" s="403"/>
      <c r="B36" s="398" t="s">
        <v>586</v>
      </c>
      <c r="C36" s="388">
        <v>0</v>
      </c>
      <c r="D36" s="387">
        <f>(C36+E36)/2</f>
        <v>-7.5</v>
      </c>
      <c r="E36" s="389">
        <v>-15</v>
      </c>
      <c r="F36" s="390">
        <v>0.2</v>
      </c>
      <c r="G36" s="391">
        <v>0.3</v>
      </c>
      <c r="H36" s="392">
        <v>0.4</v>
      </c>
      <c r="I36" s="665">
        <f>1-SUM(I32:I35)</f>
        <v>0.62049999999999994</v>
      </c>
      <c r="J36" s="658">
        <f>SlodzesAvotuNov!$U$68+SlodzesAvotuNov!$X$68+SlodzesAvotuNov!$AA$68</f>
        <v>1</v>
      </c>
      <c r="K36" s="393">
        <f>SlodzesAvotuNov!$V$68+SlodzesAvotuNov!$Y$68+SlodzesAvotuNov!$AB$68</f>
        <v>1</v>
      </c>
      <c r="L36" s="394">
        <f>SlodzesAvotuNov!$W$68+SlodzesAvotuNov!$Z$68+SlodzesAvotuNov!$AC$68</f>
        <v>0.99999999999999989</v>
      </c>
      <c r="M36" s="600"/>
      <c r="N36" s="652">
        <f>C36*F36*J36*I36</f>
        <v>0</v>
      </c>
      <c r="O36" s="395">
        <f>D36*G36*K36*I36</f>
        <v>-1.3961249999999998</v>
      </c>
      <c r="P36" s="396">
        <f>E36*H36*L36*I36</f>
        <v>-3.722999999999999</v>
      </c>
    </row>
    <row r="37" spans="1:16" s="338" customFormat="1" ht="15.5" x14ac:dyDescent="0.35">
      <c r="B37" s="746"/>
      <c r="C37" s="339"/>
      <c r="D37" s="339"/>
      <c r="E37" s="339"/>
      <c r="I37" s="339"/>
      <c r="M37" s="335" t="s">
        <v>581</v>
      </c>
      <c r="N37" s="336">
        <f>N26+N27+N29+N31</f>
        <v>-7.3332396043541852</v>
      </c>
      <c r="O37" s="336">
        <f t="shared" ref="O37:P37" si="4">O26+O27+O29+O31</f>
        <v>-11.874023479399654</v>
      </c>
      <c r="P37" s="336">
        <f t="shared" si="4"/>
        <v>-19.166764962670165</v>
      </c>
    </row>
    <row r="39" spans="1:16" x14ac:dyDescent="0.35">
      <c r="N39" s="724"/>
      <c r="O39" s="724"/>
      <c r="P39" s="724"/>
    </row>
  </sheetData>
  <mergeCells count="14">
    <mergeCell ref="N5:P5"/>
    <mergeCell ref="B15:B16"/>
    <mergeCell ref="A15:A16"/>
    <mergeCell ref="J5:L5"/>
    <mergeCell ref="B10:B11"/>
    <mergeCell ref="A10:A11"/>
    <mergeCell ref="C5:E5"/>
    <mergeCell ref="F5:H5"/>
    <mergeCell ref="R10:R11"/>
    <mergeCell ref="R15:R16"/>
    <mergeCell ref="C24:E24"/>
    <mergeCell ref="F24:H24"/>
    <mergeCell ref="J24:L24"/>
    <mergeCell ref="N24:P24"/>
  </mergeCells>
  <conditionalFormatting sqref="R7:S21">
    <cfRule type="colorScale" priority="2">
      <colorScale>
        <cfvo type="min"/>
        <cfvo type="max"/>
        <color rgb="FFFCFCFF"/>
        <color rgb="FF63BE7B"/>
      </colorScale>
    </cfRule>
  </conditionalFormatting>
  <pageMargins left="0.7" right="0.7" top="0.75" bottom="0.75" header="0.3" footer="0.3"/>
  <pageSetup paperSize="9" orientation="portrait"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41"/>
  <sheetViews>
    <sheetView zoomScale="80" zoomScaleNormal="80" workbookViewId="0">
      <selection activeCell="B39" sqref="B39:C41"/>
    </sheetView>
  </sheetViews>
  <sheetFormatPr defaultRowHeight="13" x14ac:dyDescent="0.35"/>
  <cols>
    <col min="1" max="1" width="52.81640625" style="111" customWidth="1"/>
    <col min="2" max="2" width="9" style="235" customWidth="1"/>
    <col min="3" max="3" width="8.7265625" style="235"/>
    <col min="4" max="4" width="6.1796875" style="111" customWidth="1"/>
    <col min="5" max="5" width="55.7265625" style="111" customWidth="1"/>
    <col min="6" max="6" width="8.90625" style="111" customWidth="1"/>
    <col min="7" max="16384" width="8.7265625" style="111"/>
  </cols>
  <sheetData>
    <row r="1" spans="1:6" ht="17" x14ac:dyDescent="0.35">
      <c r="A1" s="626" t="s">
        <v>553</v>
      </c>
    </row>
    <row r="2" spans="1:6" x14ac:dyDescent="0.35">
      <c r="A2" s="111" t="s">
        <v>649</v>
      </c>
    </row>
    <row r="3" spans="1:6" x14ac:dyDescent="0.35">
      <c r="A3" s="111" t="s">
        <v>556</v>
      </c>
    </row>
    <row r="4" spans="1:6" ht="54.5" customHeight="1" x14ac:dyDescent="0.35">
      <c r="A4" s="936" t="s">
        <v>656</v>
      </c>
      <c r="B4" s="936"/>
      <c r="C4" s="936"/>
      <c r="E4" s="936" t="s">
        <v>654</v>
      </c>
      <c r="F4" s="936"/>
    </row>
    <row r="5" spans="1:6" ht="26" customHeight="1" x14ac:dyDescent="0.35">
      <c r="A5" s="935" t="s">
        <v>655</v>
      </c>
      <c r="B5" s="935"/>
      <c r="C5" s="935"/>
      <c r="E5" s="935" t="s">
        <v>650</v>
      </c>
      <c r="F5" s="935"/>
    </row>
    <row r="6" spans="1:6" x14ac:dyDescent="0.35">
      <c r="A6" s="745" t="s">
        <v>681</v>
      </c>
      <c r="B6" s="726"/>
      <c r="C6" s="726"/>
      <c r="E6" s="726"/>
      <c r="F6" s="726"/>
    </row>
    <row r="7" spans="1:6" x14ac:dyDescent="0.35">
      <c r="A7" s="940" t="s">
        <v>671</v>
      </c>
      <c r="B7" s="940"/>
      <c r="C7" s="940"/>
      <c r="E7" s="940" t="s">
        <v>671</v>
      </c>
      <c r="F7" s="940"/>
    </row>
    <row r="8" spans="1:6" x14ac:dyDescent="0.35">
      <c r="A8" s="230" t="s">
        <v>552</v>
      </c>
      <c r="B8" s="942">
        <v>20</v>
      </c>
      <c r="C8" s="942"/>
      <c r="E8" s="230" t="s">
        <v>552</v>
      </c>
      <c r="F8" s="727">
        <v>20</v>
      </c>
    </row>
    <row r="9" spans="1:6" ht="26" x14ac:dyDescent="0.35">
      <c r="A9" s="617" t="s">
        <v>675</v>
      </c>
      <c r="B9" s="295" t="s">
        <v>678</v>
      </c>
      <c r="C9" s="295" t="s">
        <v>651</v>
      </c>
      <c r="E9" s="617" t="s">
        <v>675</v>
      </c>
      <c r="F9" s="295" t="s">
        <v>679</v>
      </c>
    </row>
    <row r="10" spans="1:6" x14ac:dyDescent="0.35">
      <c r="A10" s="940" t="s">
        <v>677</v>
      </c>
      <c r="B10" s="940"/>
      <c r="C10" s="940"/>
      <c r="E10" s="940" t="s">
        <v>677</v>
      </c>
      <c r="F10" s="940"/>
    </row>
    <row r="11" spans="1:6" x14ac:dyDescent="0.35">
      <c r="A11" s="230" t="s">
        <v>686</v>
      </c>
      <c r="B11" s="238">
        <f>'Slodzes dati'!$E$7</f>
        <v>344.92248062015506</v>
      </c>
      <c r="C11" s="238">
        <f>'Slodzes dati'!$E$9</f>
        <v>338.13636363636363</v>
      </c>
      <c r="E11" s="230" t="s">
        <v>676</v>
      </c>
      <c r="F11" s="297">
        <f>'Slodzes dati'!$M$7</f>
        <v>234.96295771097246</v>
      </c>
    </row>
    <row r="12" spans="1:6" x14ac:dyDescent="0.35">
      <c r="A12" s="230" t="s">
        <v>687</v>
      </c>
      <c r="B12" s="238">
        <f>'Slodzes dati'!$E$8</f>
        <v>240.33333333333334</v>
      </c>
      <c r="C12" s="238">
        <f>'Slodzes dati'!$E$10</f>
        <v>255</v>
      </c>
      <c r="E12" s="230"/>
      <c r="F12" s="238"/>
    </row>
    <row r="13" spans="1:6" x14ac:dyDescent="0.35">
      <c r="A13" s="943" t="s">
        <v>680</v>
      </c>
      <c r="B13" s="944"/>
      <c r="C13" s="945"/>
      <c r="E13" s="940" t="s">
        <v>680</v>
      </c>
      <c r="F13" s="940"/>
    </row>
    <row r="14" spans="1:6" x14ac:dyDescent="0.35">
      <c r="A14" s="230" t="s">
        <v>672</v>
      </c>
      <c r="B14" s="728">
        <f>($B$11*(PasākEfektiv!$N$22*-1/100))</f>
        <v>45.162662458521758</v>
      </c>
      <c r="C14" s="728">
        <f>($B$11*(PasākEfektiv!$N$22*-1/100))</f>
        <v>45.162662458521758</v>
      </c>
      <c r="E14" s="230" t="s">
        <v>672</v>
      </c>
      <c r="F14" s="728">
        <f>($B$11*(PasākEfektiv!$N$22*-1/100))</f>
        <v>45.162662458521758</v>
      </c>
    </row>
    <row r="15" spans="1:6" x14ac:dyDescent="0.35">
      <c r="A15" s="230" t="s">
        <v>673</v>
      </c>
      <c r="B15" s="728">
        <f>($B$11*(PasākEfektiv!$O$22*-1/100))</f>
        <v>84.030961639954768</v>
      </c>
      <c r="C15" s="728">
        <f>($B$11*(PasākEfektiv!$O$22*-1/100))</f>
        <v>84.030961639954768</v>
      </c>
      <c r="E15" s="230" t="s">
        <v>673</v>
      </c>
      <c r="F15" s="728">
        <f>($B$11*(PasākEfektiv!$O$22*-1/100))</f>
        <v>84.030961639954768</v>
      </c>
    </row>
    <row r="16" spans="1:6" x14ac:dyDescent="0.35">
      <c r="A16" s="230" t="s">
        <v>674</v>
      </c>
      <c r="B16" s="728">
        <f>($B$11*(PasākEfektiv!$P$22*-1/100))</f>
        <v>118.9747633588958</v>
      </c>
      <c r="C16" s="728">
        <f>($B$11*(PasākEfektiv!$P$22*-1/100))</f>
        <v>118.9747633588958</v>
      </c>
      <c r="E16" s="230" t="s">
        <v>674</v>
      </c>
      <c r="F16" s="728">
        <f>($B$11*(PasākEfektiv!$P$22*-1/100))</f>
        <v>118.9747633588958</v>
      </c>
    </row>
    <row r="17" spans="1:6" ht="25.5" customHeight="1" x14ac:dyDescent="0.35">
      <c r="A17" s="946" t="s">
        <v>723</v>
      </c>
      <c r="B17" s="947"/>
      <c r="C17" s="948"/>
      <c r="E17" s="946" t="s">
        <v>688</v>
      </c>
      <c r="F17" s="948"/>
    </row>
    <row r="18" spans="1:6" x14ac:dyDescent="0.35">
      <c r="A18" s="230" t="s">
        <v>672</v>
      </c>
      <c r="B18" s="728">
        <f>$B$11-B14</f>
        <v>299.75981816163329</v>
      </c>
      <c r="C18" s="728">
        <f>$B$11-C14</f>
        <v>299.75981816163329</v>
      </c>
      <c r="E18" s="230" t="s">
        <v>672</v>
      </c>
      <c r="F18" s="728">
        <f>$B$11-F14</f>
        <v>299.75981816163329</v>
      </c>
    </row>
    <row r="19" spans="1:6" x14ac:dyDescent="0.35">
      <c r="A19" s="230" t="s">
        <v>673</v>
      </c>
      <c r="B19" s="728">
        <f t="shared" ref="B19:C20" si="0">$B$11-B15</f>
        <v>260.89151898020032</v>
      </c>
      <c r="C19" s="728">
        <f t="shared" si="0"/>
        <v>260.89151898020032</v>
      </c>
      <c r="E19" s="230" t="s">
        <v>673</v>
      </c>
      <c r="F19" s="728">
        <f t="shared" ref="F19" si="1">$B$11-F15</f>
        <v>260.89151898020032</v>
      </c>
    </row>
    <row r="20" spans="1:6" x14ac:dyDescent="0.35">
      <c r="A20" s="230" t="s">
        <v>674</v>
      </c>
      <c r="B20" s="728">
        <f t="shared" si="0"/>
        <v>225.94771726125924</v>
      </c>
      <c r="C20" s="728">
        <f>$B$11-C16</f>
        <v>225.94771726125924</v>
      </c>
      <c r="E20" s="230" t="s">
        <v>674</v>
      </c>
      <c r="F20" s="728">
        <f t="shared" ref="F20" si="2">$B$11-F16</f>
        <v>225.94771726125924</v>
      </c>
    </row>
    <row r="21" spans="1:6" ht="27" customHeight="1" x14ac:dyDescent="0.35">
      <c r="A21" s="946" t="s">
        <v>682</v>
      </c>
      <c r="B21" s="947"/>
      <c r="C21" s="948"/>
      <c r="E21" s="941" t="s">
        <v>682</v>
      </c>
      <c r="F21" s="941"/>
    </row>
    <row r="22" spans="1:6" x14ac:dyDescent="0.35">
      <c r="A22" s="294" t="s">
        <v>684</v>
      </c>
      <c r="B22" s="236"/>
      <c r="C22" s="236"/>
      <c r="E22" s="294" t="s">
        <v>684</v>
      </c>
      <c r="F22" s="236"/>
    </row>
    <row r="23" spans="1:6" x14ac:dyDescent="0.35">
      <c r="A23" s="230" t="s">
        <v>672</v>
      </c>
      <c r="B23" s="238">
        <f>$B$11-B14-$B$8</f>
        <v>279.75981816163329</v>
      </c>
      <c r="C23" s="238">
        <f>$C$11-C14-$B$8</f>
        <v>272.97370117784186</v>
      </c>
      <c r="E23" s="230" t="s">
        <v>672</v>
      </c>
      <c r="F23" s="238">
        <f>$F$11-F14-$F$8</f>
        <v>169.8002952524507</v>
      </c>
    </row>
    <row r="24" spans="1:6" x14ac:dyDescent="0.35">
      <c r="A24" s="230" t="s">
        <v>673</v>
      </c>
      <c r="B24" s="238">
        <f>$B$11-B15-$B$8</f>
        <v>240.89151898020032</v>
      </c>
      <c r="C24" s="238">
        <f>$C$11-C15-$B$8</f>
        <v>234.10540199640886</v>
      </c>
      <c r="E24" s="230" t="s">
        <v>673</v>
      </c>
      <c r="F24" s="238">
        <f>$F$11-F15-$F$8</f>
        <v>130.93199607101769</v>
      </c>
    </row>
    <row r="25" spans="1:6" x14ac:dyDescent="0.35">
      <c r="A25" s="230" t="s">
        <v>674</v>
      </c>
      <c r="B25" s="238">
        <f>$B$11-B16-$B$8</f>
        <v>205.94771726125924</v>
      </c>
      <c r="C25" s="238">
        <f>$C$11-C16-$B$8</f>
        <v>199.16160027746781</v>
      </c>
      <c r="E25" s="230" t="s">
        <v>674</v>
      </c>
      <c r="F25" s="238">
        <f>$F$11-F16-$F$8</f>
        <v>95.988194352076661</v>
      </c>
    </row>
    <row r="26" spans="1:6" x14ac:dyDescent="0.35">
      <c r="A26" s="294" t="s">
        <v>685</v>
      </c>
      <c r="B26" s="236"/>
      <c r="C26" s="236"/>
      <c r="E26" s="725"/>
      <c r="F26" s="227"/>
    </row>
    <row r="27" spans="1:6" x14ac:dyDescent="0.35">
      <c r="A27" s="230" t="s">
        <v>672</v>
      </c>
      <c r="B27" s="238">
        <f>$B$12-B14-$B$8</f>
        <v>175.17067087481158</v>
      </c>
      <c r="C27" s="238">
        <f>$C$12-C14-$B$8</f>
        <v>189.83733754147823</v>
      </c>
      <c r="E27" s="725"/>
      <c r="F27" s="297"/>
    </row>
    <row r="28" spans="1:6" x14ac:dyDescent="0.35">
      <c r="A28" s="230" t="s">
        <v>673</v>
      </c>
      <c r="B28" s="238">
        <f>$B$12-B15-$B$8</f>
        <v>136.30237169337857</v>
      </c>
      <c r="C28" s="238">
        <f>$C$12-C15-$B$8</f>
        <v>150.96903836004523</v>
      </c>
      <c r="E28" s="725"/>
      <c r="F28" s="297"/>
    </row>
    <row r="29" spans="1:6" ht="13.5" thickBot="1" x14ac:dyDescent="0.4">
      <c r="A29" s="732" t="s">
        <v>674</v>
      </c>
      <c r="B29" s="733">
        <f>$B$12-B16-$B$8</f>
        <v>101.35856997443754</v>
      </c>
      <c r="C29" s="733">
        <f>$C$12-C16-$B$8</f>
        <v>116.02523664110419</v>
      </c>
      <c r="E29" s="725"/>
      <c r="F29" s="297"/>
    </row>
    <row r="30" spans="1:6" x14ac:dyDescent="0.35">
      <c r="A30" s="937" t="s">
        <v>683</v>
      </c>
      <c r="B30" s="938"/>
      <c r="C30" s="939"/>
      <c r="E30" s="940" t="s">
        <v>683</v>
      </c>
      <c r="F30" s="940"/>
    </row>
    <row r="31" spans="1:6" x14ac:dyDescent="0.35">
      <c r="A31" s="736" t="s">
        <v>689</v>
      </c>
      <c r="B31" s="236"/>
      <c r="C31" s="737"/>
      <c r="E31" s="294" t="s">
        <v>684</v>
      </c>
      <c r="F31" s="236"/>
    </row>
    <row r="32" spans="1:6" x14ac:dyDescent="0.35">
      <c r="A32" s="738" t="s">
        <v>672</v>
      </c>
      <c r="B32" s="730">
        <f>B23/$B$11</f>
        <v>0.81108026840882552</v>
      </c>
      <c r="C32" s="739">
        <f>C23/$C$11</f>
        <v>0.80728880574170203</v>
      </c>
      <c r="E32" s="230" t="s">
        <v>672</v>
      </c>
      <c r="F32" s="730">
        <f>F23/$F$11</f>
        <v>0.7226683597561866</v>
      </c>
    </row>
    <row r="33" spans="1:6" x14ac:dyDescent="0.35">
      <c r="A33" s="740" t="s">
        <v>673</v>
      </c>
      <c r="B33" s="731">
        <f>B24/$B$11</f>
        <v>0.69839321156187972</v>
      </c>
      <c r="C33" s="741">
        <f>C24/$C$11</f>
        <v>0.69234021292122527</v>
      </c>
      <c r="E33" s="296" t="s">
        <v>673</v>
      </c>
      <c r="F33" s="731">
        <f>F24/$F$11</f>
        <v>0.55724526685639075</v>
      </c>
    </row>
    <row r="34" spans="1:6" ht="13.5" thickBot="1" x14ac:dyDescent="0.4">
      <c r="A34" s="742" t="s">
        <v>674</v>
      </c>
      <c r="B34" s="743">
        <f>B25/$B$11</f>
        <v>0.5970840662254735</v>
      </c>
      <c r="C34" s="744">
        <f>C25/$C$11</f>
        <v>0.5889978768791897</v>
      </c>
      <c r="E34" s="230" t="s">
        <v>674</v>
      </c>
      <c r="F34" s="730">
        <f>F25/$F$11</f>
        <v>0.40852479593890528</v>
      </c>
    </row>
    <row r="35" spans="1:6" x14ac:dyDescent="0.35">
      <c r="A35" s="734" t="s">
        <v>690</v>
      </c>
      <c r="B35" s="735"/>
      <c r="C35" s="735"/>
    </row>
    <row r="36" spans="1:6" x14ac:dyDescent="0.35">
      <c r="A36" s="230" t="s">
        <v>672</v>
      </c>
      <c r="B36" s="730">
        <f>B27/$B$12</f>
        <v>0.72886548214207314</v>
      </c>
      <c r="C36" s="730">
        <f>C27/$C$12</f>
        <v>0.74446014722148324</v>
      </c>
    </row>
    <row r="37" spans="1:6" x14ac:dyDescent="0.35">
      <c r="A37" s="296" t="s">
        <v>673</v>
      </c>
      <c r="B37" s="731">
        <f>B28/$B$12</f>
        <v>0.56713885586703983</v>
      </c>
      <c r="C37" s="731">
        <f>C28/$C$12</f>
        <v>0.59203544454919699</v>
      </c>
    </row>
    <row r="38" spans="1:6" x14ac:dyDescent="0.35">
      <c r="A38" s="230" t="s">
        <v>674</v>
      </c>
      <c r="B38" s="730">
        <f>B29/$B$12</f>
        <v>0.42174162263982334</v>
      </c>
      <c r="C38" s="730">
        <f>C29/$C$12</f>
        <v>0.45500092800433012</v>
      </c>
    </row>
    <row r="40" spans="1:6" x14ac:dyDescent="0.35">
      <c r="B40" s="729"/>
      <c r="C40" s="729"/>
    </row>
    <row r="41" spans="1:6" x14ac:dyDescent="0.35">
      <c r="B41" s="729"/>
      <c r="C41" s="729"/>
    </row>
  </sheetData>
  <mergeCells count="17">
    <mergeCell ref="E17:F17"/>
    <mergeCell ref="A5:C5"/>
    <mergeCell ref="E5:F5"/>
    <mergeCell ref="E4:F4"/>
    <mergeCell ref="A4:C4"/>
    <mergeCell ref="A30:C30"/>
    <mergeCell ref="E7:F7"/>
    <mergeCell ref="E21:F21"/>
    <mergeCell ref="E13:F13"/>
    <mergeCell ref="E10:F10"/>
    <mergeCell ref="E30:F30"/>
    <mergeCell ref="A10:C10"/>
    <mergeCell ref="A7:C7"/>
    <mergeCell ref="B8:C8"/>
    <mergeCell ref="A13:C13"/>
    <mergeCell ref="A21:C21"/>
    <mergeCell ref="A17:C17"/>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Apraksts</vt:lpstr>
      <vt:lpstr>Rīka saturs</vt:lpstr>
      <vt:lpstr>Slodzes dati</vt:lpstr>
      <vt:lpstr>SlodzesAvotuNov</vt:lpstr>
      <vt:lpstr>BSPasākApkop</vt:lpstr>
      <vt:lpstr>PasākRakst</vt:lpstr>
      <vt:lpstr>Pasāk&lt;-&gt;AtkrVeidi</vt:lpstr>
      <vt:lpstr>PasākEfektiv</vt:lpstr>
      <vt:lpstr>BSPasākEfekt&amp;Pietiek</vt:lpstr>
      <vt:lpstr>LabklājIeguv</vt:lpstr>
      <vt:lpstr>SocIetekmes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Pakalniete, AKTiiVS</dc:creator>
  <cp:lastModifiedBy>Kristine Pakalniete</cp:lastModifiedBy>
  <dcterms:created xsi:type="dcterms:W3CDTF">2025-12-09T22:07:55Z</dcterms:created>
  <dcterms:modified xsi:type="dcterms:W3CDTF">2026-04-27T22:53:43Z</dcterms:modified>
</cp:coreProperties>
</file>