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DieseArbeitsmappe"/>
  <mc:AlternateContent xmlns:mc="http://schemas.openxmlformats.org/markup-compatibility/2006">
    <mc:Choice Requires="x15">
      <x15ac:absPath xmlns:x15ac="http://schemas.microsoft.com/office/spreadsheetml/2010/11/ac" url="C:\Users\Dace.Vesterdala\Downloads\"/>
    </mc:Choice>
  </mc:AlternateContent>
  <xr:revisionPtr revIDLastSave="0" documentId="8_{810642D0-93F9-4404-8F0B-5D8F66D3C9DA}" xr6:coauthVersionLast="47" xr6:coauthVersionMax="47" xr10:uidLastSave="{00000000-0000-0000-0000-000000000000}"/>
  <bookViews>
    <workbookView xWindow="-120" yWindow="-120" windowWidth="20730" windowHeight="11160" xr2:uid="{00000000-000D-0000-FFFF-FFFF00000000}"/>
  </bookViews>
  <sheets>
    <sheet name="a_Contents" sheetId="9" r:id="rId1"/>
    <sheet name="b_Guidelines and conditions" sheetId="10" r:id="rId2"/>
    <sheet name="A_MPversions" sheetId="55" r:id="rId3"/>
    <sheet name="B_Operator&amp;Inst.ID" sheetId="37" r:id="rId4"/>
    <sheet name="C_InstallationDescription" sheetId="38" r:id="rId5"/>
    <sheet name="D_CalculationBasedApproaches" sheetId="44" r:id="rId6"/>
    <sheet name="E_SourceStreams" sheetId="50" r:id="rId7"/>
    <sheet name="F_MeasurementBasedApproaches" sheetId="46" r:id="rId8"/>
    <sheet name="G_Fall-backApproach" sheetId="28" r:id="rId9"/>
    <sheet name="H_N2O" sheetId="48" r:id="rId10"/>
    <sheet name="I_PFC" sheetId="58" r:id="rId11"/>
    <sheet name="J_Transferred GHG" sheetId="35" r:id="rId12"/>
    <sheet name="J2_PermCCU" sheetId="62" r:id="rId13"/>
    <sheet name="K_ManagementControl" sheetId="43" r:id="rId14"/>
    <sheet name="L_MS specific content" sheetId="26" r:id="rId15"/>
    <sheet name="M_Accounting" sheetId="60" r:id="rId16"/>
    <sheet name="UBA_Parameters" sheetId="59" state="veryHidden" r:id="rId17"/>
    <sheet name="MSParameters" sheetId="57" state="hidden" r:id="rId18"/>
    <sheet name="EUwideConstants" sheetId="52" state="hidden" r:id="rId19"/>
    <sheet name="Translations" sheetId="56" state="hidden" r:id="rId20"/>
    <sheet name="VersionDocumentation" sheetId="54" state="hidden" r:id="rId21"/>
    <sheet name="empty" sheetId="61" state="hidden" r:id="rId22"/>
  </sheets>
  <definedNames>
    <definedName name="_xlnm._FilterDatabase" localSheetId="6" hidden="1">E_SourceStreams!$A$6:$W$6</definedName>
    <definedName name="_xlnm._FilterDatabase" localSheetId="10" hidden="1">I_PFC!#REF!</definedName>
    <definedName name="ActivityDataTiers">EUwideConstants!$A$179:$A$184</definedName>
    <definedName name="AnalysisFrequency">EUwideConstants!$A$109:$A$116</definedName>
    <definedName name="AnnexIActivities">EUwideConstants!$A$61:$A$89</definedName>
    <definedName name="BiomassTiers">EUwideConstants!$A$165:$A$170</definedName>
    <definedName name="CarbonContentTiers">EUwideConstants!$A$204:$A$209</definedName>
    <definedName name="CNTR_ActivityListActivities">C_InstallationDescription!$Y$56:$Y$60</definedName>
    <definedName name="CNTR_ActivityListAx">C_InstallationDescription!$X$56:$X$63</definedName>
    <definedName name="CNTR_Category">C_InstallationDescription!$I$71</definedName>
    <definedName name="CNTR_CheckPFC">C_InstallationDescription!$Z$194:$Z$204</definedName>
    <definedName name="CNTR_EmissionPointsListEPx">C_InstallationDescription!$W$141:$W$151</definedName>
    <definedName name="CNTR_InformationSourceListISx">D_CalculationBasedApproaches!$W$109:$W$124</definedName>
    <definedName name="CNTR_InstHasCalculation">C_InstallationDescription!$I$96</definedName>
    <definedName name="CNTR_InstHasCCU">C_InstallationDescription!$I$102</definedName>
    <definedName name="CNTR_InstHasFallBack">C_InstallationDescription!$I$98</definedName>
    <definedName name="CNTR_InstHasMeasurement">C_InstallationDescription!$I$97</definedName>
    <definedName name="CNTR_InstHasN2O">C_InstallationDescription!$I$99</definedName>
    <definedName name="CNTR_InstHasPFC">C_InstallationDescription!$I$100</definedName>
    <definedName name="CNTR_InstHasTransferredCO2">C_InstallationDescription!$I$101</definedName>
    <definedName name="CNTR_LaboratoriesListLCx">F_MeasurementBasedApproaches!$W$103:$W$118</definedName>
    <definedName name="CNTR_LaboratoriesListLx">D_CalculationBasedApproaches!$W$139:$W$154</definedName>
    <definedName name="CNTR_ListPFCmethods">I_PFC!$U$50:$U$55</definedName>
    <definedName name="CNTR_ListRelevantSections">C_InstallationDescription!$I$96:$I$102</definedName>
    <definedName name="CNTR_MeasurementInstrumentListMIx">D_CalculationBasedApproaches!$V$67:$V$88</definedName>
    <definedName name="CNTR_MeasurementInstrumentListMx">F_MeasurementBasedApproaches!$V$64:$V$85</definedName>
    <definedName name="CNTR_PFCSourceStreams">EUwideConstants!$Q$540:$Q$541</definedName>
    <definedName name="CNTR_SmallEmitter">C_InstallationDescription!$I$73</definedName>
    <definedName name="CNTR_SourceStreamListSx">C_InstallationDescription!$W$116:$W$126</definedName>
    <definedName name="CNTR_TierList">EUwideConstants!$D$793:$D$800</definedName>
    <definedName name="CNTR_TierListColumn">EUwideConstants!$C$793:$C$800</definedName>
    <definedName name="CNTR_TotalEmissions">C_InstallationDescription!$I$70</definedName>
    <definedName name="CNTR_TransportApproach">'J_Transferred GHG'!$P$84</definedName>
    <definedName name="ConversionFactorTiers">EUwideConstants!$A$173:$A$176</definedName>
    <definedName name="EFTiers">EUwideConstants!$A$195:$A$201</definedName>
    <definedName name="EFUnits">EUwideConstants!$A$217:$A$220</definedName>
    <definedName name="EUconst_ActivityDeterminationMethod">EUwideConstants!$B$23:$C$23</definedName>
    <definedName name="EUconst_AnnexIList">EUwideConstants!$B$230:$B$258</definedName>
    <definedName name="EUConst_AnnexIListGHG">EUwideConstants!$L$230:$L$258</definedName>
    <definedName name="EUconst_CEMSHighestTiers">EUwideConstants!$P$778:$P$781</definedName>
    <definedName name="EUconst_CEMSMinimumTiers">EUwideConstants!$G$778:$G$781</definedName>
    <definedName name="EUconst_CEMSTiers">EUwideConstants!$E$817:$E$820</definedName>
    <definedName name="EUconst_CEMSTiersMsg">EUwideConstants!$F$817:$F$820</definedName>
    <definedName name="EUconst_CEMSType">EUwideConstants!$B$51:$E$51</definedName>
    <definedName name="EUconst_CEMSTypes">EUwideConstants!$B$778:$B$781</definedName>
    <definedName name="EUconst_CNTR_ActivityData">EUwideConstants!$B$6</definedName>
    <definedName name="EUconst_CNTR_BiomassContent">EUwideConstants!$B$10</definedName>
    <definedName name="EUconst_CNTR_CarbonContent">EUwideConstants!$B$9</definedName>
    <definedName name="EUconst_CNTR_CEMS">EUwideConstants!$B$18</definedName>
    <definedName name="EUconst_CNTR_ConversionFactor">EUwideConstants!$B$12</definedName>
    <definedName name="EUconst_CNTR_EF">EUwideConstants!$B$8</definedName>
    <definedName name="EUconst_CNTR_NCV">EUwideConstants!$B$7</definedName>
    <definedName name="EUconst_CNTR_NoSmallEmitter">EUwideConstants!$B$17</definedName>
    <definedName name="EUconst_CNTR_OxidationFactor">EUwideConstants!$B$11</definedName>
    <definedName name="EUconst_CNTR_SmallEmitter">EUwideConstants!$B$16</definedName>
    <definedName name="EUconst_CNTR_SourceCategory">EUwideConstants!$B$13</definedName>
    <definedName name="EUconst_CNTR_SourceStreamClass">EUwideConstants!$B$15</definedName>
    <definedName name="EUconst_CNTR_SourceStreamName">EUwideConstants!$B$14</definedName>
    <definedName name="EUconst_CO2TransferTypes">EUwideConstants!$B$53:$H$53</definedName>
    <definedName name="EUConst_CombustionList">EUwideConstants!$Q$265:$Q$272</definedName>
    <definedName name="EUconst_ERR_CheckEstimatedEmissions">EUwideConstants!$B$39</definedName>
    <definedName name="EUconst_ERR_NoN2OSmallEmitters">EUwideConstants!$B$36</definedName>
    <definedName name="EUconst_ERR_ThreshholdDeminimis">EUwideConstants!$B$37</definedName>
    <definedName name="EUconst_ERR_ThreshholdMinor">EUwideConstants!$B$38</definedName>
    <definedName name="EUconst_Fuel">EUwideConstants!$B$3</definedName>
    <definedName name="EUconst_FurtherGuidancePoint1">EUwideConstants!$B$24</definedName>
    <definedName name="EUconst_IRMonth">EUwideConstants!$B$56:$F$56</definedName>
    <definedName name="EUconst_MassBalance">EUwideConstants!$B$5</definedName>
    <definedName name="EUconst_MeasurementPoint">EUwideConstants!$B$21</definedName>
    <definedName name="Euconst_MPReferenceDateTypes">EUwideConstants!$B$43:$G$43</definedName>
    <definedName name="EUconst_MsgEnterThisSection">EUwideConstants!$B$32</definedName>
    <definedName name="EUconst_MsgGoOn">EUwideConstants!$B$33</definedName>
    <definedName name="EUconst_MsgNextSheet">EUwideConstants!$B$31</definedName>
    <definedName name="EUconst_MsgSmallEmitters">EUwideConstants!$B$34</definedName>
    <definedName name="EUconst_MsgTierActivityLevel">EUwideConstants!$B$29</definedName>
    <definedName name="EUconst_MsgTierCKD">EUwideConstants!$B$30</definedName>
    <definedName name="EUconst_MSlist">EUwideConstants!$B$41:$AF$41</definedName>
    <definedName name="EUconst_MSlistISOcodes">EUwideConstants!$B$42:$AF$42</definedName>
    <definedName name="EUconst_NA">EUwideConstants!$B$25</definedName>
    <definedName name="EUconst_NotApplicable">EUwideConstants!$B$28</definedName>
    <definedName name="EUconst_NoTier">EUwideConstants!$B$35</definedName>
    <definedName name="EUconst_NotRelevant">EUwideConstants!$B$27</definedName>
    <definedName name="EUconst_OwnerInstrument">EUwideConstants!$B$22:$C$22</definedName>
    <definedName name="EUconst_PipelineApproaches">EUwideConstants!$B$55:$C$55</definedName>
    <definedName name="EUconst_ProcessCarbonate">EUwideConstants!$B$4</definedName>
    <definedName name="EUconst_ProcessPFC">EUwideConstants!$B$52</definedName>
    <definedName name="EUconst_Relevant">EUwideConstants!$B$26</definedName>
    <definedName name="EUConst_RelSectionCalc">EUwideConstants!$B$44</definedName>
    <definedName name="EUConst_RelSectionCCS">EUwideConstants!$B$49</definedName>
    <definedName name="EUConst_RelSectionCCU">EUwideConstants!$B$50</definedName>
    <definedName name="EUConst_RelSectionFallback">EUwideConstants!$B$46</definedName>
    <definedName name="EUConst_RelSectionMeasure">EUwideConstants!$B$45</definedName>
    <definedName name="EUConst_RelSectionN2O">EUwideConstants!$B$47</definedName>
    <definedName name="EUConst_RelSectionPFC">EUwideConstants!$B$48</definedName>
    <definedName name="EUconst_SmallEmiSouStream">EUwideConstants!$E$803:$E$814</definedName>
    <definedName name="EUconst_SmallEmiSouStreamMsg">EUwideConstants!$F$803:$F$814</definedName>
    <definedName name="Euconst_SourceStream">EUwideConstants!$B$20</definedName>
    <definedName name="EUConst_TierActivityListNames">EUwideConstants!$Q$265:$Q$334</definedName>
    <definedName name="EUconst_TransCO2Approach">EUwideConstants!$B$54:$D$54</definedName>
    <definedName name="EUconst_TransportApproaches">EUwideConstants!$B$55:$C$55</definedName>
    <definedName name="EUconst_TrueFalse">EUwideConstants!$B$2:$C$2</definedName>
    <definedName name="Euconst_VersionTracking">EUwideConstants!$B$40:$C$40</definedName>
    <definedName name="InformationSources">EUwideConstants!$A$150:$A$152</definedName>
    <definedName name="JUMP_14">I_PFC!$C$10</definedName>
    <definedName name="JUMP_15">I_PFC!$C$63</definedName>
    <definedName name="JUMP_16">I_PFC!$C$441</definedName>
    <definedName name="JUMP_6d">C_InstallationDescription!$D$157</definedName>
    <definedName name="JUMP_7a">D_CalculationBasedApproaches!$D$15</definedName>
    <definedName name="JUMP_7b">D_CalculationBasedApproaches!$D$49</definedName>
    <definedName name="JUMP_7d">D_CalculationBasedApproaches!$D$98</definedName>
    <definedName name="JUMP_7e">D_CalculationBasedApproaches!$D$130</definedName>
    <definedName name="JUMP_7f">D_CalculationBasedApproaches!$D$160</definedName>
    <definedName name="JUMP_A_1">A_MPversions!$C$8</definedName>
    <definedName name="JUMP_A_Bottom">A_MPversions!$F$54</definedName>
    <definedName name="JUMP_a_Content">a_Contents!$A$1</definedName>
    <definedName name="JUMP_A_Top">A_MPversions!$C$6</definedName>
    <definedName name="JUMP_Accounting">M_Accounting!$B$2</definedName>
    <definedName name="JUMP_B_2">'B_Operator&amp;Inst.ID'!$C$8</definedName>
    <definedName name="JUMP_B_3">'B_Operator&amp;Inst.ID'!$C$18</definedName>
    <definedName name="JUMP_B_4">'B_Operator&amp;Inst.ID'!$C$41</definedName>
    <definedName name="JUMP_B_Bottom">'B_Operator&amp;Inst.ID'!$F$65</definedName>
    <definedName name="JUMP_b_Guidelines_Top">'b_Guidelines and conditions'!$A$5</definedName>
    <definedName name="JUMP_b_Guidlines_Bottom">'b_Guidelines and conditions'!$D$118</definedName>
    <definedName name="JUMP_B_Top">'B_Operator&amp;Inst.ID'!$C$6</definedName>
    <definedName name="JUMP_C_5">C_InstallationDescription!$C$8</definedName>
    <definedName name="JUMP_C_6">C_InstallationDescription!$C$88</definedName>
    <definedName name="JUMP_C_6a">C_InstallationDescription!$D$90</definedName>
    <definedName name="JUMP_C_6b">C_InstallationDescription!$D$106</definedName>
    <definedName name="JUMP_C_6e">C_InstallationDescription!$D$182</definedName>
    <definedName name="JUMP_C_6g">C_InstallationDescription!$D$244</definedName>
    <definedName name="JUMP_C_Bottom">C_InstallationDescription!$F$266</definedName>
    <definedName name="JUMP_C_Top">C_InstallationDescription!$C$6</definedName>
    <definedName name="JUMP_D_7">D_CalculationBasedApproaches!$D$10</definedName>
    <definedName name="JUMP_D_Bottom">D_CalculationBasedApproaches!$F$317</definedName>
    <definedName name="JUMP_D_Top">D_CalculationBasedApproaches!$C$6</definedName>
    <definedName name="JUMP_E_1">E_SourceStreams!$C$19</definedName>
    <definedName name="JUMP_E_2">E_SourceStreams!$C$187</definedName>
    <definedName name="JUMP_E_3">E_SourceStreams!$C$253</definedName>
    <definedName name="JUMP_E_4">E_SourceStreams!$C$319</definedName>
    <definedName name="JUMP_E_5">E_SourceStreams!$C$385</definedName>
    <definedName name="JUMP_E_6">E_SourceStreams!$C$451</definedName>
    <definedName name="JUMP_E_8">E_SourceStreams!$C$10</definedName>
    <definedName name="JUMP_E_Bottom">E_SourceStreams!$F$782</definedName>
    <definedName name="JUMP_E_Top">E_SourceStreams!$C$6</definedName>
    <definedName name="JUMP_F_1">E_SourceStreams!#REF!</definedName>
    <definedName name="JUMP_F_10">F_MeasurementBasedApproaches!$C$125</definedName>
    <definedName name="JUMP_F_11">F_MeasurementBasedApproaches!$C$451</definedName>
    <definedName name="JUMP_F_2">E_SourceStreams!#REF!</definedName>
    <definedName name="JUMP_F_3">E_SourceStreams!#REF!</definedName>
    <definedName name="JUMP_F_4">E_SourceStreams!#REF!</definedName>
    <definedName name="JUMP_F_5">E_SourceStreams!#REF!</definedName>
    <definedName name="JUMP_F_9">F_MeasurementBasedApproaches!$C$10</definedName>
    <definedName name="JUMP_F_Bottom">F_MeasurementBasedApproaches!$F$526</definedName>
    <definedName name="JUMP_F_Top">F_MeasurementBasedApproaches!$C$6</definedName>
    <definedName name="JUMP_G_12">'G_Fall-backApproach'!$C$10</definedName>
    <definedName name="JUMP_G_Bottom">'G_Fall-backApproach'!$F$86</definedName>
    <definedName name="JUMP_G_Top">'G_Fall-backApproach'!$B$6</definedName>
    <definedName name="JUMP_H_13">H_N2O!$C$10</definedName>
    <definedName name="JUMP_H_Bottom">H_N2O!$F$116</definedName>
    <definedName name="JUMP_H_Top">H_N2O!$B$6</definedName>
    <definedName name="JUMP_I_Bottom">I_PFC!$F$500</definedName>
    <definedName name="JUMP_I_Top">I_PFC!$B$6</definedName>
    <definedName name="JUMP_J_17">'J_Transferred GHG'!$C$10</definedName>
    <definedName name="JUMP_J_18">'J_Transferred GHG'!$C$80</definedName>
    <definedName name="JUMP_J_19">'J_Transferred GHG'!$C$193</definedName>
    <definedName name="JUMP_J_Bottom">'J_Transferred GHG'!$F$255</definedName>
    <definedName name="JUMP_J_Top">'J_Transferred GHG'!$B$6</definedName>
    <definedName name="JUMP_J2_19a">J2_PermCCU!$C$10</definedName>
    <definedName name="JUMP_J2_Bottom">J2_PermCCU!$F$67</definedName>
    <definedName name="JUMP_J2_Top">J2_PermCCU!$C$6</definedName>
    <definedName name="JUMP_K_14">K_ManagementControl!$C$10</definedName>
    <definedName name="JUMP_K_15">K_ManagementControl!$C$84</definedName>
    <definedName name="JUMP_K_16">K_ManagementControl!$C$106</definedName>
    <definedName name="JUMP_K_17">K_ManagementControl!$C$231</definedName>
    <definedName name="JUMP_K_18">K_ManagementControl!$C$247</definedName>
    <definedName name="JUMP_K_19">K_ManagementControl!$C$265</definedName>
    <definedName name="JUMP_K_Bottom">K_ManagementControl!$F$285</definedName>
    <definedName name="JUMP_K_Top">K_ManagementControl!$C$6</definedName>
    <definedName name="JUMP_L_26">'L_MS specific content'!$B$7</definedName>
    <definedName name="JUMP_L_Top">'L_MS specific content'!$A$5</definedName>
    <definedName name="MeasurementTiers">EUwideConstants!$A$155:$A$158</definedName>
    <definedName name="MeteringDevices">EUwideConstants!$A$134:$A$147</definedName>
    <definedName name="NCVTiers">EUwideConstants!$A$187:$A$192</definedName>
    <definedName name="NCVUnits">EUwideConstants!$A$212:$A$214</definedName>
    <definedName name="OperationType">EUwideConstants!$A$119:$A$121</definedName>
    <definedName name="PctUnits">EUwideConstants!$A$223:$A$224</definedName>
    <definedName name="PFCCellTypes">EUwideConstants!$A$128:$A$131</definedName>
    <definedName name="PFCMethods">EUwideConstants!$A$124:$A$125</definedName>
    <definedName name="PFCTiers">EUwideConstants!$A$161:$A$162</definedName>
    <definedName name="_xlnm.Print_Area" localSheetId="0">a_Contents!$A$1:$I$73</definedName>
    <definedName name="_xlnm.Print_Area" localSheetId="2">A_MPversions!$B$5:$N$49</definedName>
    <definedName name="_xlnm.Print_Area" localSheetId="1">'b_Guidelines and conditions'!$A$4:$L$115</definedName>
    <definedName name="_xlnm.Print_Area" localSheetId="3">'B_Operator&amp;Inst.ID'!$A$5:$N$64</definedName>
    <definedName name="_xlnm.Print_Area" localSheetId="4">C_InstallationDescription!$B$5:$N$264</definedName>
    <definedName name="_xlnm.Print_Area" localSheetId="5">D_CalculationBasedApproaches!$B$5:$N$315</definedName>
    <definedName name="_xlnm.Print_Area" localSheetId="6">E_SourceStreams!$B$5:$N$185</definedName>
    <definedName name="_xlnm.Print_Area" localSheetId="7">F_MeasurementBasedApproaches!$B$5:$N$524</definedName>
    <definedName name="_xlnm.Print_Area" localSheetId="8">'G_Fall-backApproach'!$B$5:$N$84</definedName>
    <definedName name="_xlnm.Print_Area" localSheetId="9">H_N2O!$B$5:$N$113</definedName>
    <definedName name="_xlnm.Print_Area" localSheetId="10">I_PFC!$B$5:$O$498</definedName>
    <definedName name="_xlnm.Print_Area" localSheetId="11">'J_Transferred GHG'!$B$5:$O$253</definedName>
    <definedName name="_xlnm.Print_Area" localSheetId="13">K_ManagementControl!$B$5:$O$283</definedName>
    <definedName name="_xlnm.Print_Area" localSheetId="14">'L_MS specific content'!$A$4:$M$36</definedName>
    <definedName name="_xlnm.Print_Area" localSheetId="20">VersionDocumentation!$A$1:$E$91</definedName>
    <definedName name="SourceCategory">EUwideConstants!$A$99:$A$101</definedName>
    <definedName name="SourceCategoryCEMS">EUwideConstants!$A$104:$A$105</definedName>
    <definedName name="SpecifiedEmissions2">EUwideConstants!$A$92:$A$96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92" i="52" l="1"/>
  <c r="B552" i="52"/>
  <c r="E78" i="43"/>
  <c r="E77" i="43"/>
  <c r="E54" i="62"/>
  <c r="E41" i="62"/>
  <c r="E18" i="62"/>
  <c r="E17" i="62"/>
  <c r="E16" i="62"/>
  <c r="E15" i="62"/>
  <c r="E14" i="62"/>
  <c r="D12" i="62"/>
  <c r="D10" i="62"/>
  <c r="C6" i="62"/>
  <c r="B38" i="9" s="1"/>
  <c r="B2" i="62"/>
  <c r="E179" i="35"/>
  <c r="E140" i="35"/>
  <c r="E127" i="35"/>
  <c r="E114" i="35"/>
  <c r="E92" i="35"/>
  <c r="E91" i="35"/>
  <c r="E89" i="35"/>
  <c r="E86" i="35"/>
  <c r="E85" i="35"/>
  <c r="E84" i="35"/>
  <c r="D82" i="35"/>
  <c r="D80" i="35"/>
  <c r="E66" i="35"/>
  <c r="D14" i="35"/>
  <c r="D13" i="35"/>
  <c r="D69" i="58"/>
  <c r="D68" i="58"/>
  <c r="U49" i="58"/>
  <c r="F435" i="46"/>
  <c r="F377" i="46"/>
  <c r="F319" i="46"/>
  <c r="F261" i="46"/>
  <c r="F201" i="46"/>
  <c r="E19" i="46"/>
  <c r="F129" i="50"/>
  <c r="E129" i="50"/>
  <c r="E128" i="50"/>
  <c r="F127" i="50"/>
  <c r="G126" i="50"/>
  <c r="E287" i="44"/>
  <c r="E286" i="44"/>
  <c r="E273" i="44"/>
  <c r="E272" i="44"/>
  <c r="E259" i="44"/>
  <c r="E258" i="44"/>
  <c r="E245" i="44"/>
  <c r="E244" i="44"/>
  <c r="F271" i="38"/>
  <c r="E213" i="38"/>
  <c r="E102" i="38"/>
  <c r="E78" i="38"/>
  <c r="E68" i="38"/>
  <c r="E66" i="38"/>
  <c r="B22" i="10"/>
  <c r="B19" i="10"/>
  <c r="V236" i="38"/>
  <c r="V235" i="38"/>
  <c r="V234" i="38"/>
  <c r="V233" i="38"/>
  <c r="V232" i="38"/>
  <c r="V231" i="38"/>
  <c r="V230" i="38"/>
  <c r="A63" i="52"/>
  <c r="A64" i="52"/>
  <c r="A65" i="52"/>
  <c r="A66" i="52"/>
  <c r="A67" i="52"/>
  <c r="A68" i="52"/>
  <c r="A69" i="52"/>
  <c r="A70" i="52"/>
  <c r="A71" i="52"/>
  <c r="A72" i="52"/>
  <c r="A73" i="52"/>
  <c r="A74" i="52"/>
  <c r="A75" i="52"/>
  <c r="A76" i="52"/>
  <c r="A77" i="52"/>
  <c r="A78" i="52"/>
  <c r="A79" i="52"/>
  <c r="A80" i="52"/>
  <c r="A81" i="52"/>
  <c r="A82" i="52"/>
  <c r="A83" i="52"/>
  <c r="A84" i="52"/>
  <c r="A85" i="52"/>
  <c r="A86" i="52"/>
  <c r="A87" i="52"/>
  <c r="A88" i="52"/>
  <c r="A89" i="52"/>
  <c r="A62" i="52"/>
  <c r="A61" i="52"/>
  <c r="B231" i="52"/>
  <c r="AF5" i="60"/>
  <c r="AE5" i="60"/>
  <c r="AF4" i="60"/>
  <c r="E298" i="44"/>
  <c r="E297" i="44"/>
  <c r="E296" i="44"/>
  <c r="E295" i="44"/>
  <c r="E292" i="44"/>
  <c r="E291" i="44"/>
  <c r="E290" i="44"/>
  <c r="E289" i="44"/>
  <c r="J102" i="38"/>
  <c r="K2" i="62"/>
  <c r="E4" i="62"/>
  <c r="E3" i="62"/>
  <c r="I2" i="62"/>
  <c r="G2" i="62"/>
  <c r="E2" i="62"/>
  <c r="C39" i="9"/>
  <c r="DC11" i="60"/>
  <c r="E65" i="62"/>
  <c r="E64" i="62"/>
  <c r="E63" i="62"/>
  <c r="E62" i="62"/>
  <c r="E59" i="62"/>
  <c r="E58" i="62"/>
  <c r="E57" i="62"/>
  <c r="E56" i="62"/>
  <c r="E52" i="62"/>
  <c r="E51" i="62"/>
  <c r="E50" i="62"/>
  <c r="E49" i="62"/>
  <c r="E46" i="62"/>
  <c r="E45" i="62"/>
  <c r="E44" i="62"/>
  <c r="E43" i="62"/>
  <c r="E774" i="50"/>
  <c r="D772" i="50"/>
  <c r="N764" i="50"/>
  <c r="M764" i="50"/>
  <c r="L764" i="50"/>
  <c r="K764" i="50"/>
  <c r="J764" i="50"/>
  <c r="I764" i="50"/>
  <c r="E762" i="50"/>
  <c r="S760" i="50"/>
  <c r="E760" i="50"/>
  <c r="E770" i="50" s="1"/>
  <c r="S759" i="50"/>
  <c r="E759" i="50"/>
  <c r="E769" i="50" s="1"/>
  <c r="S758" i="50"/>
  <c r="E758" i="50"/>
  <c r="E768" i="50"/>
  <c r="S757" i="50"/>
  <c r="E757" i="50"/>
  <c r="E767" i="50" s="1"/>
  <c r="S756" i="50"/>
  <c r="E756" i="50"/>
  <c r="E766" i="50" s="1"/>
  <c r="S755" i="50"/>
  <c r="E755" i="50"/>
  <c r="E765" i="50" s="1"/>
  <c r="J754" i="50"/>
  <c r="I754" i="50"/>
  <c r="H764" i="50" s="1"/>
  <c r="H754" i="50"/>
  <c r="E754" i="50"/>
  <c r="E764" i="50" s="1"/>
  <c r="E752" i="50"/>
  <c r="D750" i="50"/>
  <c r="I748" i="50"/>
  <c r="E748" i="50"/>
  <c r="S747" i="50"/>
  <c r="E747" i="50"/>
  <c r="E746" i="50"/>
  <c r="E741" i="50"/>
  <c r="E739" i="50"/>
  <c r="F737" i="50"/>
  <c r="F735" i="50"/>
  <c r="F733" i="50"/>
  <c r="E731" i="50"/>
  <c r="F729" i="50"/>
  <c r="E727" i="50"/>
  <c r="E725" i="50"/>
  <c r="D723" i="50"/>
  <c r="E719" i="50"/>
  <c r="E718" i="50"/>
  <c r="E717" i="50"/>
  <c r="E708" i="50"/>
  <c r="D706" i="50"/>
  <c r="N698" i="50"/>
  <c r="M698" i="50"/>
  <c r="L698" i="50"/>
  <c r="K698" i="50"/>
  <c r="J698" i="50"/>
  <c r="I698" i="50"/>
  <c r="E696" i="50"/>
  <c r="S694" i="50"/>
  <c r="E694" i="50"/>
  <c r="E704" i="50" s="1"/>
  <c r="S693" i="50"/>
  <c r="E693" i="50"/>
  <c r="E703" i="50" s="1"/>
  <c r="S692" i="50"/>
  <c r="E692" i="50"/>
  <c r="E702" i="50" s="1"/>
  <c r="S691" i="50"/>
  <c r="E691" i="50"/>
  <c r="E701" i="50" s="1"/>
  <c r="S690" i="50"/>
  <c r="E690" i="50"/>
  <c r="E700" i="50" s="1"/>
  <c r="S689" i="50"/>
  <c r="E689" i="50"/>
  <c r="E699" i="50" s="1"/>
  <c r="J688" i="50"/>
  <c r="I688" i="50"/>
  <c r="H698" i="50" s="1"/>
  <c r="H688" i="50"/>
  <c r="E688" i="50"/>
  <c r="E698" i="50" s="1"/>
  <c r="E686" i="50"/>
  <c r="D684" i="50"/>
  <c r="I682" i="50"/>
  <c r="E682" i="50"/>
  <c r="S681" i="50"/>
  <c r="E681" i="50"/>
  <c r="E680" i="50"/>
  <c r="E675" i="50"/>
  <c r="E673" i="50"/>
  <c r="F671" i="50"/>
  <c r="F669" i="50"/>
  <c r="F667" i="50"/>
  <c r="E665" i="50"/>
  <c r="F663" i="50"/>
  <c r="E661" i="50"/>
  <c r="E659" i="50"/>
  <c r="D657" i="50"/>
  <c r="E653" i="50"/>
  <c r="E652" i="50"/>
  <c r="E651" i="50"/>
  <c r="E642" i="50"/>
  <c r="D640" i="50"/>
  <c r="N632" i="50"/>
  <c r="M632" i="50"/>
  <c r="L632" i="50"/>
  <c r="K632" i="50"/>
  <c r="J632" i="50"/>
  <c r="I632" i="50"/>
  <c r="E630" i="50"/>
  <c r="S628" i="50"/>
  <c r="E628" i="50"/>
  <c r="E638" i="50" s="1"/>
  <c r="S627" i="50"/>
  <c r="E627" i="50"/>
  <c r="E637" i="50" s="1"/>
  <c r="S626" i="50"/>
  <c r="E626" i="50"/>
  <c r="E636" i="50" s="1"/>
  <c r="S625" i="50"/>
  <c r="E625" i="50"/>
  <c r="E635" i="50" s="1"/>
  <c r="S624" i="50"/>
  <c r="E624" i="50"/>
  <c r="E634" i="50"/>
  <c r="S623" i="50"/>
  <c r="E623" i="50"/>
  <c r="E633" i="50" s="1"/>
  <c r="J622" i="50"/>
  <c r="I622" i="50"/>
  <c r="H632" i="50" s="1"/>
  <c r="H622" i="50"/>
  <c r="E622" i="50"/>
  <c r="E632" i="50" s="1"/>
  <c r="E620" i="50"/>
  <c r="D618" i="50"/>
  <c r="I616" i="50"/>
  <c r="E616" i="50"/>
  <c r="S615" i="50"/>
  <c r="E615" i="50"/>
  <c r="E614" i="50"/>
  <c r="E609" i="50"/>
  <c r="E607" i="50"/>
  <c r="F605" i="50"/>
  <c r="F603" i="50"/>
  <c r="F601" i="50"/>
  <c r="E599" i="50"/>
  <c r="F597" i="50"/>
  <c r="E595" i="50"/>
  <c r="E593" i="50"/>
  <c r="D591" i="50"/>
  <c r="E587" i="50"/>
  <c r="E586" i="50"/>
  <c r="E585" i="50"/>
  <c r="E576" i="50"/>
  <c r="D574" i="50"/>
  <c r="N566" i="50"/>
  <c r="M566" i="50"/>
  <c r="L566" i="50"/>
  <c r="K566" i="50"/>
  <c r="J566" i="50"/>
  <c r="I566" i="50"/>
  <c r="E564" i="50"/>
  <c r="S562" i="50"/>
  <c r="E562" i="50"/>
  <c r="E572" i="50" s="1"/>
  <c r="S561" i="50"/>
  <c r="E561" i="50"/>
  <c r="E571" i="50"/>
  <c r="S560" i="50"/>
  <c r="E560" i="50"/>
  <c r="E570" i="50" s="1"/>
  <c r="S559" i="50"/>
  <c r="E559" i="50"/>
  <c r="E569" i="50" s="1"/>
  <c r="S558" i="50"/>
  <c r="E558" i="50"/>
  <c r="E568" i="50" s="1"/>
  <c r="S557" i="50"/>
  <c r="E557" i="50"/>
  <c r="E567" i="50" s="1"/>
  <c r="J556" i="50"/>
  <c r="I556" i="50"/>
  <c r="H566" i="50" s="1"/>
  <c r="H556" i="50"/>
  <c r="E556" i="50"/>
  <c r="E566" i="50" s="1"/>
  <c r="E554" i="50"/>
  <c r="D552" i="50"/>
  <c r="I550" i="50"/>
  <c r="E550" i="50"/>
  <c r="S549" i="50"/>
  <c r="E549" i="50"/>
  <c r="E548" i="50"/>
  <c r="E543" i="50"/>
  <c r="E541" i="50"/>
  <c r="F539" i="50"/>
  <c r="F537" i="50"/>
  <c r="F535" i="50"/>
  <c r="E533" i="50"/>
  <c r="F531" i="50"/>
  <c r="E529" i="50"/>
  <c r="E527" i="50"/>
  <c r="D525" i="50"/>
  <c r="E521" i="50"/>
  <c r="E520" i="50"/>
  <c r="E519" i="50"/>
  <c r="E510" i="50"/>
  <c r="D508" i="50"/>
  <c r="N500" i="50"/>
  <c r="M500" i="50"/>
  <c r="L500" i="50"/>
  <c r="K500" i="50"/>
  <c r="J500" i="50"/>
  <c r="I500" i="50"/>
  <c r="E498" i="50"/>
  <c r="S496" i="50"/>
  <c r="E496" i="50"/>
  <c r="E506" i="50" s="1"/>
  <c r="S495" i="50"/>
  <c r="E495" i="50"/>
  <c r="E505" i="50" s="1"/>
  <c r="S494" i="50"/>
  <c r="E494" i="50"/>
  <c r="E504" i="50" s="1"/>
  <c r="S493" i="50"/>
  <c r="E493" i="50"/>
  <c r="E503" i="50" s="1"/>
  <c r="S492" i="50"/>
  <c r="E492" i="50"/>
  <c r="E502" i="50" s="1"/>
  <c r="S491" i="50"/>
  <c r="E491" i="50"/>
  <c r="E501" i="50" s="1"/>
  <c r="J490" i="50"/>
  <c r="I490" i="50"/>
  <c r="H500" i="50"/>
  <c r="H490" i="50"/>
  <c r="E490" i="50"/>
  <c r="E500" i="50" s="1"/>
  <c r="E488" i="50"/>
  <c r="D486" i="50"/>
  <c r="I484" i="50"/>
  <c r="E484" i="50"/>
  <c r="S483" i="50"/>
  <c r="E483" i="50"/>
  <c r="E482" i="50"/>
  <c r="E477" i="50"/>
  <c r="E475" i="50"/>
  <c r="F473" i="50"/>
  <c r="F471" i="50"/>
  <c r="F469" i="50"/>
  <c r="E467" i="50"/>
  <c r="F465" i="50"/>
  <c r="E463" i="50"/>
  <c r="E461" i="50"/>
  <c r="D459" i="50"/>
  <c r="E455" i="50"/>
  <c r="E454" i="50"/>
  <c r="E453" i="50"/>
  <c r="E444" i="50"/>
  <c r="D442" i="50"/>
  <c r="N434" i="50"/>
  <c r="M434" i="50"/>
  <c r="L434" i="50"/>
  <c r="K434" i="50"/>
  <c r="J434" i="50"/>
  <c r="I434" i="50"/>
  <c r="E432" i="50"/>
  <c r="S430" i="50"/>
  <c r="E430" i="50"/>
  <c r="E440" i="50" s="1"/>
  <c r="S429" i="50"/>
  <c r="E429" i="50"/>
  <c r="E439" i="50" s="1"/>
  <c r="S428" i="50"/>
  <c r="E428" i="50"/>
  <c r="E438" i="50" s="1"/>
  <c r="S427" i="50"/>
  <c r="E427" i="50"/>
  <c r="E437" i="50"/>
  <c r="S426" i="50"/>
  <c r="E426" i="50"/>
  <c r="E436" i="50" s="1"/>
  <c r="S425" i="50"/>
  <c r="E425" i="50"/>
  <c r="E435" i="50" s="1"/>
  <c r="J424" i="50"/>
  <c r="I424" i="50"/>
  <c r="H434" i="50" s="1"/>
  <c r="H424" i="50"/>
  <c r="E424" i="50"/>
  <c r="E434" i="50" s="1"/>
  <c r="E422" i="50"/>
  <c r="D420" i="50"/>
  <c r="I418" i="50"/>
  <c r="E418" i="50"/>
  <c r="S417" i="50"/>
  <c r="E417" i="50"/>
  <c r="E416" i="50"/>
  <c r="E411" i="50"/>
  <c r="E409" i="50"/>
  <c r="F407" i="50"/>
  <c r="F405" i="50"/>
  <c r="F403" i="50"/>
  <c r="E401" i="50"/>
  <c r="F399" i="50"/>
  <c r="E397" i="50"/>
  <c r="E395" i="50"/>
  <c r="D393" i="50"/>
  <c r="E389" i="50"/>
  <c r="E388" i="50"/>
  <c r="E387" i="50"/>
  <c r="E378" i="50"/>
  <c r="D376" i="50"/>
  <c r="N368" i="50"/>
  <c r="M368" i="50"/>
  <c r="L368" i="50"/>
  <c r="K368" i="50"/>
  <c r="J368" i="50"/>
  <c r="I368" i="50"/>
  <c r="E366" i="50"/>
  <c r="S364" i="50"/>
  <c r="E364" i="50"/>
  <c r="E374" i="50" s="1"/>
  <c r="S363" i="50"/>
  <c r="E363" i="50"/>
  <c r="E373" i="50" s="1"/>
  <c r="S362" i="50"/>
  <c r="E362" i="50"/>
  <c r="E372" i="50" s="1"/>
  <c r="S361" i="50"/>
  <c r="E361" i="50"/>
  <c r="E371" i="50" s="1"/>
  <c r="S360" i="50"/>
  <c r="E360" i="50"/>
  <c r="E370" i="50"/>
  <c r="S359" i="50"/>
  <c r="E359" i="50"/>
  <c r="E369" i="50" s="1"/>
  <c r="J358" i="50"/>
  <c r="I358" i="50"/>
  <c r="H368" i="50" s="1"/>
  <c r="H358" i="50"/>
  <c r="E358" i="50"/>
  <c r="E368" i="50" s="1"/>
  <c r="E356" i="50"/>
  <c r="D354" i="50"/>
  <c r="I352" i="50"/>
  <c r="E352" i="50"/>
  <c r="S351" i="50"/>
  <c r="E351" i="50"/>
  <c r="E350" i="50"/>
  <c r="E345" i="50"/>
  <c r="E343" i="50"/>
  <c r="F341" i="50"/>
  <c r="F339" i="50"/>
  <c r="F337" i="50"/>
  <c r="E335" i="50"/>
  <c r="F333" i="50"/>
  <c r="E331" i="50"/>
  <c r="E329" i="50"/>
  <c r="D327" i="50"/>
  <c r="E323" i="50"/>
  <c r="E322" i="50"/>
  <c r="E321" i="50"/>
  <c r="S232" i="50"/>
  <c r="S230" i="50"/>
  <c r="S229" i="50"/>
  <c r="S228" i="50"/>
  <c r="S227" i="50"/>
  <c r="M773" i="52"/>
  <c r="I773" i="52"/>
  <c r="H773" i="52"/>
  <c r="L772" i="52"/>
  <c r="K772" i="52"/>
  <c r="J772" i="52"/>
  <c r="H772" i="52"/>
  <c r="L771" i="52"/>
  <c r="K771" i="52"/>
  <c r="J771" i="52"/>
  <c r="H771" i="52"/>
  <c r="O769" i="52"/>
  <c r="L769" i="52"/>
  <c r="I769" i="52"/>
  <c r="H769" i="52"/>
  <c r="D770" i="52"/>
  <c r="D771" i="52" s="1"/>
  <c r="C770" i="52"/>
  <c r="E769" i="52"/>
  <c r="Q769" i="52"/>
  <c r="G350" i="38"/>
  <c r="AO768" i="52"/>
  <c r="Z768" i="52"/>
  <c r="P768" i="52"/>
  <c r="K768" i="52"/>
  <c r="G768" i="52"/>
  <c r="F768" i="52"/>
  <c r="E768" i="52"/>
  <c r="D768" i="52"/>
  <c r="C768" i="52"/>
  <c r="E284" i="44"/>
  <c r="E283" i="44"/>
  <c r="E282" i="44"/>
  <c r="E281" i="44"/>
  <c r="E278" i="44"/>
  <c r="E277" i="44"/>
  <c r="E276" i="44"/>
  <c r="E275" i="44"/>
  <c r="E190" i="35"/>
  <c r="E189" i="35"/>
  <c r="E188" i="35"/>
  <c r="E187" i="35"/>
  <c r="E184" i="35"/>
  <c r="E183" i="35"/>
  <c r="E182" i="35"/>
  <c r="E181" i="35"/>
  <c r="J101" i="38"/>
  <c r="E101" i="38"/>
  <c r="AE4" i="60" s="1"/>
  <c r="AM614" i="52"/>
  <c r="M614" i="52"/>
  <c r="I614" i="52"/>
  <c r="H614" i="52"/>
  <c r="L547" i="52"/>
  <c r="K547" i="52"/>
  <c r="J547" i="52"/>
  <c r="H547" i="52"/>
  <c r="L543" i="52"/>
  <c r="K543" i="52"/>
  <c r="J543" i="52"/>
  <c r="H543" i="52"/>
  <c r="L542" i="52"/>
  <c r="K542" i="52"/>
  <c r="J542" i="52"/>
  <c r="H542" i="52"/>
  <c r="H406" i="52"/>
  <c r="H405" i="52"/>
  <c r="H404" i="52"/>
  <c r="H402" i="52"/>
  <c r="H401" i="52"/>
  <c r="I406" i="52"/>
  <c r="I405" i="52"/>
  <c r="I404" i="52"/>
  <c r="I402" i="52"/>
  <c r="I401" i="52"/>
  <c r="I400" i="52"/>
  <c r="L406" i="52"/>
  <c r="L405" i="52"/>
  <c r="L404" i="52"/>
  <c r="L402" i="52"/>
  <c r="L401" i="52"/>
  <c r="L400" i="52"/>
  <c r="D406" i="52"/>
  <c r="D478" i="52" s="1"/>
  <c r="D550" i="52" s="1"/>
  <c r="D622" i="52" s="1"/>
  <c r="D694" i="52" s="1"/>
  <c r="D766" i="52" s="1"/>
  <c r="D405" i="52"/>
  <c r="D477" i="52" s="1"/>
  <c r="D549" i="52" s="1"/>
  <c r="D621" i="52" s="1"/>
  <c r="D693" i="52" s="1"/>
  <c r="D765" i="52" s="1"/>
  <c r="D404" i="52"/>
  <c r="D403" i="52"/>
  <c r="D475" i="52" s="1"/>
  <c r="D547" i="52" s="1"/>
  <c r="D619" i="52" s="1"/>
  <c r="D691" i="52" s="1"/>
  <c r="D763" i="52" s="1"/>
  <c r="C403" i="52"/>
  <c r="D402" i="52"/>
  <c r="D474" i="52" s="1"/>
  <c r="D546" i="52" s="1"/>
  <c r="D618" i="52"/>
  <c r="D690" i="52" s="1"/>
  <c r="D762" i="52" s="1"/>
  <c r="D401" i="52"/>
  <c r="D473" i="52"/>
  <c r="D545" i="52" s="1"/>
  <c r="D617" i="52" s="1"/>
  <c r="D689" i="52" s="1"/>
  <c r="D761" i="52" s="1"/>
  <c r="H400" i="52"/>
  <c r="D400" i="52"/>
  <c r="D472" i="52" s="1"/>
  <c r="D544" i="52" s="1"/>
  <c r="D616" i="52" s="1"/>
  <c r="D688" i="52" s="1"/>
  <c r="D760" i="52" s="1"/>
  <c r="D399" i="52"/>
  <c r="C399" i="52"/>
  <c r="D398" i="52"/>
  <c r="C398" i="52"/>
  <c r="C470" i="52"/>
  <c r="C542" i="52" s="1"/>
  <c r="Q331" i="52"/>
  <c r="S331" i="52" s="1"/>
  <c r="Q327" i="52"/>
  <c r="S327" i="52" s="1"/>
  <c r="Q326" i="52"/>
  <c r="S326" i="52" s="1"/>
  <c r="L334" i="52"/>
  <c r="I334" i="52"/>
  <c r="H334" i="52"/>
  <c r="L333" i="52"/>
  <c r="I333" i="52"/>
  <c r="H333" i="52"/>
  <c r="L332" i="52"/>
  <c r="I332" i="52"/>
  <c r="H332" i="52"/>
  <c r="L330" i="52"/>
  <c r="I330" i="52"/>
  <c r="H330" i="52"/>
  <c r="L329" i="52"/>
  <c r="I329" i="52"/>
  <c r="H329" i="52"/>
  <c r="L328" i="52"/>
  <c r="I328" i="52"/>
  <c r="H328" i="52"/>
  <c r="O331" i="52"/>
  <c r="L331" i="52"/>
  <c r="I331" i="52"/>
  <c r="H331" i="52"/>
  <c r="O327" i="52"/>
  <c r="L327" i="52"/>
  <c r="I327" i="52"/>
  <c r="H327" i="52"/>
  <c r="O326" i="52"/>
  <c r="L326" i="52"/>
  <c r="I326" i="52"/>
  <c r="P326" i="52" s="1"/>
  <c r="H326" i="52"/>
  <c r="C332" i="52"/>
  <c r="C328" i="52"/>
  <c r="M611" i="52"/>
  <c r="M610" i="52"/>
  <c r="M609" i="52"/>
  <c r="M607" i="52"/>
  <c r="M606" i="52"/>
  <c r="M604" i="52"/>
  <c r="M603" i="52"/>
  <c r="M602" i="52"/>
  <c r="M601" i="52"/>
  <c r="M600" i="52"/>
  <c r="M596" i="52"/>
  <c r="M595" i="52"/>
  <c r="M593" i="52"/>
  <c r="M592" i="52"/>
  <c r="M588" i="52"/>
  <c r="M587" i="52"/>
  <c r="M585" i="52"/>
  <c r="M581" i="52"/>
  <c r="M579" i="52"/>
  <c r="M578" i="52"/>
  <c r="M576" i="52"/>
  <c r="M575" i="52"/>
  <c r="M573" i="52"/>
  <c r="M572" i="52"/>
  <c r="M570" i="52"/>
  <c r="M568" i="52"/>
  <c r="M567" i="52"/>
  <c r="M565" i="52"/>
  <c r="M564" i="52"/>
  <c r="M563" i="52"/>
  <c r="M562" i="52"/>
  <c r="M558" i="52"/>
  <c r="M557" i="52"/>
  <c r="M556" i="52"/>
  <c r="M555" i="52"/>
  <c r="M554" i="52"/>
  <c r="M553" i="52"/>
  <c r="N263" i="52"/>
  <c r="M263" i="52"/>
  <c r="O263" i="52"/>
  <c r="AF41" i="52"/>
  <c r="AE41" i="52"/>
  <c r="AD41" i="52"/>
  <c r="AC41" i="52"/>
  <c r="AB41" i="52"/>
  <c r="AA41" i="52"/>
  <c r="Z41" i="52"/>
  <c r="Y41" i="52"/>
  <c r="X41" i="52"/>
  <c r="W41" i="52"/>
  <c r="V41" i="52"/>
  <c r="U41" i="52"/>
  <c r="T41" i="52"/>
  <c r="S41" i="52"/>
  <c r="R41" i="52"/>
  <c r="Q41" i="52"/>
  <c r="P41" i="52"/>
  <c r="O41" i="52"/>
  <c r="N41" i="52"/>
  <c r="M41" i="52"/>
  <c r="F128" i="50"/>
  <c r="D267" i="52"/>
  <c r="D339" i="52" s="1"/>
  <c r="D411" i="52" s="1"/>
  <c r="D483" i="52" s="1"/>
  <c r="D555" i="52" s="1"/>
  <c r="D627" i="52" s="1"/>
  <c r="D699" i="52" s="1"/>
  <c r="E24" i="37"/>
  <c r="B4" i="60" s="1"/>
  <c r="F281" i="38"/>
  <c r="P628" i="52"/>
  <c r="L628" i="52"/>
  <c r="I628" i="52"/>
  <c r="H628" i="52"/>
  <c r="AM556" i="52"/>
  <c r="I556" i="52"/>
  <c r="H556" i="52"/>
  <c r="AO412" i="52"/>
  <c r="L412" i="52"/>
  <c r="K412" i="52"/>
  <c r="J412" i="52"/>
  <c r="H412" i="52"/>
  <c r="D268" i="52"/>
  <c r="D340" i="52" s="1"/>
  <c r="D412" i="52" s="1"/>
  <c r="D484" i="52" s="1"/>
  <c r="D556" i="52" s="1"/>
  <c r="D628" i="52" s="1"/>
  <c r="D700" i="52" s="1"/>
  <c r="L340" i="52"/>
  <c r="K340" i="52"/>
  <c r="J340" i="52"/>
  <c r="H340" i="52"/>
  <c r="O268" i="52"/>
  <c r="L268" i="52"/>
  <c r="I268" i="52"/>
  <c r="H268" i="52"/>
  <c r="E268" i="52"/>
  <c r="A231" i="52"/>
  <c r="L366" i="52"/>
  <c r="I366" i="52"/>
  <c r="H366" i="52"/>
  <c r="E164" i="38"/>
  <c r="G467" i="52"/>
  <c r="G466" i="52"/>
  <c r="G465" i="52"/>
  <c r="G460" i="52"/>
  <c r="G459" i="52"/>
  <c r="G456" i="52"/>
  <c r="G454" i="52"/>
  <c r="G437" i="52"/>
  <c r="G431" i="52"/>
  <c r="G426" i="52"/>
  <c r="G420" i="52"/>
  <c r="G418" i="52"/>
  <c r="G414" i="52"/>
  <c r="F55" i="9"/>
  <c r="E207" i="43"/>
  <c r="B21" i="54"/>
  <c r="E208" i="43"/>
  <c r="F820" i="52"/>
  <c r="F819" i="52"/>
  <c r="F818" i="52"/>
  <c r="F817" i="52"/>
  <c r="F814" i="52"/>
  <c r="F813" i="52"/>
  <c r="F812" i="52"/>
  <c r="F811" i="52"/>
  <c r="F810" i="52"/>
  <c r="F809" i="52"/>
  <c r="F808" i="52"/>
  <c r="F807" i="52"/>
  <c r="F806" i="52"/>
  <c r="F805" i="52"/>
  <c r="F804" i="52"/>
  <c r="F803" i="52"/>
  <c r="B781" i="52"/>
  <c r="I752" i="52"/>
  <c r="H752" i="52"/>
  <c r="I751" i="52"/>
  <c r="H751" i="52"/>
  <c r="I750" i="52"/>
  <c r="H750" i="52"/>
  <c r="I749" i="52"/>
  <c r="H749" i="52"/>
  <c r="I741" i="52"/>
  <c r="H741" i="52"/>
  <c r="I740" i="52"/>
  <c r="H740" i="52"/>
  <c r="I739" i="52"/>
  <c r="H739" i="52"/>
  <c r="I738" i="52"/>
  <c r="H738" i="52"/>
  <c r="I734" i="52"/>
  <c r="H734" i="52"/>
  <c r="I733" i="52"/>
  <c r="H733" i="52"/>
  <c r="I732" i="52"/>
  <c r="H732" i="52"/>
  <c r="I731" i="52"/>
  <c r="H731" i="52"/>
  <c r="I730" i="52"/>
  <c r="H730" i="52"/>
  <c r="I729" i="52"/>
  <c r="H729" i="52"/>
  <c r="I727" i="52"/>
  <c r="H727" i="52"/>
  <c r="I726" i="52"/>
  <c r="H726" i="52"/>
  <c r="I724" i="52"/>
  <c r="H724" i="52"/>
  <c r="I723" i="52"/>
  <c r="H723" i="52"/>
  <c r="I722" i="52"/>
  <c r="H722" i="52"/>
  <c r="I721" i="52"/>
  <c r="H721" i="52"/>
  <c r="I718" i="52"/>
  <c r="H718" i="52"/>
  <c r="I717" i="52"/>
  <c r="H717" i="52"/>
  <c r="I716" i="52"/>
  <c r="H716" i="52"/>
  <c r="I715" i="52"/>
  <c r="H715" i="52"/>
  <c r="I713" i="52"/>
  <c r="H713" i="52"/>
  <c r="I712" i="52"/>
  <c r="H712" i="52"/>
  <c r="I711" i="52"/>
  <c r="H711" i="52"/>
  <c r="I710" i="52"/>
  <c r="H710" i="52"/>
  <c r="AO696" i="52"/>
  <c r="B696" i="52"/>
  <c r="I630" i="52"/>
  <c r="H630" i="52"/>
  <c r="L627" i="52"/>
  <c r="I627" i="52"/>
  <c r="H627" i="52"/>
  <c r="L626" i="52"/>
  <c r="I626" i="52"/>
  <c r="H626" i="52"/>
  <c r="L625" i="52"/>
  <c r="I625" i="52"/>
  <c r="H625" i="52"/>
  <c r="AO624" i="52"/>
  <c r="B624" i="52"/>
  <c r="AM611" i="52"/>
  <c r="I611" i="52"/>
  <c r="H611" i="52"/>
  <c r="AM610" i="52"/>
  <c r="I610" i="52"/>
  <c r="H610" i="52"/>
  <c r="AM609" i="52"/>
  <c r="I609" i="52"/>
  <c r="H609" i="52"/>
  <c r="AM607" i="52"/>
  <c r="I607" i="52"/>
  <c r="H607" i="52"/>
  <c r="AM606" i="52"/>
  <c r="I606" i="52"/>
  <c r="H606" i="52"/>
  <c r="AM604" i="52"/>
  <c r="I604" i="52"/>
  <c r="H604" i="52"/>
  <c r="AM603" i="52"/>
  <c r="I603" i="52"/>
  <c r="H603" i="52"/>
  <c r="AM602" i="52"/>
  <c r="I602" i="52"/>
  <c r="H602" i="52"/>
  <c r="AM601" i="52"/>
  <c r="I601" i="52"/>
  <c r="H601" i="52"/>
  <c r="AM600" i="52"/>
  <c r="I600" i="52"/>
  <c r="H600" i="52"/>
  <c r="AM596" i="52"/>
  <c r="I596" i="52"/>
  <c r="H596" i="52"/>
  <c r="AM595" i="52"/>
  <c r="I595" i="52"/>
  <c r="H595" i="52"/>
  <c r="AM593" i="52"/>
  <c r="I593" i="52"/>
  <c r="H593" i="52"/>
  <c r="AM592" i="52"/>
  <c r="I592" i="52"/>
  <c r="H592" i="52"/>
  <c r="AM588" i="52"/>
  <c r="I588" i="52"/>
  <c r="H588" i="52"/>
  <c r="AM587" i="52"/>
  <c r="I587" i="52"/>
  <c r="H587" i="52"/>
  <c r="AM585" i="52"/>
  <c r="I585" i="52"/>
  <c r="H585" i="52"/>
  <c r="AM581" i="52"/>
  <c r="I581" i="52"/>
  <c r="H581" i="52"/>
  <c r="AM579" i="52"/>
  <c r="I579" i="52"/>
  <c r="H579" i="52"/>
  <c r="AM578" i="52"/>
  <c r="I578" i="52"/>
  <c r="H578" i="52"/>
  <c r="AM576" i="52"/>
  <c r="I576" i="52"/>
  <c r="H576" i="52"/>
  <c r="AM575" i="52"/>
  <c r="I575" i="52"/>
  <c r="H575" i="52"/>
  <c r="AM573" i="52"/>
  <c r="I573" i="52"/>
  <c r="H573" i="52"/>
  <c r="AM572" i="52"/>
  <c r="I572" i="52"/>
  <c r="H572" i="52"/>
  <c r="AM570" i="52"/>
  <c r="I570" i="52"/>
  <c r="H570" i="52"/>
  <c r="AM568" i="52"/>
  <c r="I568" i="52"/>
  <c r="H568" i="52"/>
  <c r="AM567" i="52"/>
  <c r="I567" i="52"/>
  <c r="H567" i="52"/>
  <c r="AM565" i="52"/>
  <c r="I565" i="52"/>
  <c r="H565" i="52"/>
  <c r="AM564" i="52"/>
  <c r="I564" i="52"/>
  <c r="H564" i="52"/>
  <c r="AM563" i="52"/>
  <c r="I563" i="52"/>
  <c r="H563" i="52"/>
  <c r="AM562" i="52"/>
  <c r="I562" i="52"/>
  <c r="H562" i="52"/>
  <c r="AM558" i="52"/>
  <c r="I558" i="52"/>
  <c r="H558" i="52"/>
  <c r="AM557" i="52"/>
  <c r="I557" i="52"/>
  <c r="H557" i="52"/>
  <c r="AM555" i="52"/>
  <c r="I555" i="52"/>
  <c r="H555" i="52"/>
  <c r="AM554" i="52"/>
  <c r="I554" i="52"/>
  <c r="H554" i="52"/>
  <c r="AM553" i="52"/>
  <c r="I553" i="52"/>
  <c r="H553" i="52"/>
  <c r="AO552" i="52"/>
  <c r="L539" i="52"/>
  <c r="K539" i="52"/>
  <c r="J539" i="52"/>
  <c r="H539" i="52"/>
  <c r="L538" i="52"/>
  <c r="K538" i="52"/>
  <c r="J538" i="52"/>
  <c r="H538" i="52"/>
  <c r="L537" i="52"/>
  <c r="K537" i="52"/>
  <c r="J537" i="52"/>
  <c r="H537" i="52"/>
  <c r="L532" i="52"/>
  <c r="K532" i="52"/>
  <c r="J532" i="52"/>
  <c r="H532" i="52"/>
  <c r="L531" i="52"/>
  <c r="K531" i="52"/>
  <c r="J531" i="52"/>
  <c r="H531" i="52"/>
  <c r="L528" i="52"/>
  <c r="K528" i="52"/>
  <c r="J528" i="52"/>
  <c r="H528" i="52"/>
  <c r="L509" i="52"/>
  <c r="K509" i="52"/>
  <c r="J509" i="52"/>
  <c r="H509" i="52"/>
  <c r="L503" i="52"/>
  <c r="K503" i="52"/>
  <c r="J503" i="52"/>
  <c r="H503" i="52"/>
  <c r="L498" i="52"/>
  <c r="K498" i="52"/>
  <c r="J498" i="52"/>
  <c r="H498" i="52"/>
  <c r="L492" i="52"/>
  <c r="K492" i="52"/>
  <c r="J492" i="52"/>
  <c r="H492" i="52"/>
  <c r="L490" i="52"/>
  <c r="K490" i="52"/>
  <c r="J490" i="52"/>
  <c r="H490" i="52"/>
  <c r="L485" i="52"/>
  <c r="K485" i="52"/>
  <c r="J485" i="52"/>
  <c r="H485" i="52"/>
  <c r="AO480" i="52"/>
  <c r="B480" i="52"/>
  <c r="AO467" i="52"/>
  <c r="L467" i="52"/>
  <c r="K467" i="52"/>
  <c r="J467" i="52"/>
  <c r="H467" i="52"/>
  <c r="AO466" i="52"/>
  <c r="L466" i="52"/>
  <c r="K466" i="52"/>
  <c r="J466" i="52"/>
  <c r="H466" i="52"/>
  <c r="AO465" i="52"/>
  <c r="L465" i="52"/>
  <c r="K465" i="52"/>
  <c r="J465" i="52"/>
  <c r="H465" i="52"/>
  <c r="AO463" i="52"/>
  <c r="L463" i="52"/>
  <c r="K463" i="52"/>
  <c r="J463" i="52"/>
  <c r="H463" i="52"/>
  <c r="AO462" i="52"/>
  <c r="L462" i="52"/>
  <c r="K462" i="52"/>
  <c r="J462" i="52"/>
  <c r="H462" i="52"/>
  <c r="AO460" i="52"/>
  <c r="L460" i="52"/>
  <c r="K460" i="52"/>
  <c r="J460" i="52"/>
  <c r="H460" i="52"/>
  <c r="AO459" i="52"/>
  <c r="L459" i="52"/>
  <c r="K459" i="52"/>
  <c r="J459" i="52"/>
  <c r="H459" i="52"/>
  <c r="AO458" i="52"/>
  <c r="L458" i="52"/>
  <c r="K458" i="52"/>
  <c r="J458" i="52"/>
  <c r="H458" i="52"/>
  <c r="AO457" i="52"/>
  <c r="L457" i="52"/>
  <c r="K457" i="52"/>
  <c r="J457" i="52"/>
  <c r="H457" i="52"/>
  <c r="AO456" i="52"/>
  <c r="L456" i="52"/>
  <c r="K456" i="52"/>
  <c r="J456" i="52"/>
  <c r="H456" i="52"/>
  <c r="H454" i="52"/>
  <c r="AO452" i="52"/>
  <c r="L452" i="52"/>
  <c r="K452" i="52"/>
  <c r="J452" i="52"/>
  <c r="H452" i="52"/>
  <c r="AO451" i="52"/>
  <c r="L451" i="52"/>
  <c r="K451" i="52"/>
  <c r="J451" i="52"/>
  <c r="H451" i="52"/>
  <c r="AO449" i="52"/>
  <c r="L449" i="52"/>
  <c r="K449" i="52"/>
  <c r="J449" i="52"/>
  <c r="H449" i="52"/>
  <c r="AO448" i="52"/>
  <c r="L448" i="52"/>
  <c r="K448" i="52"/>
  <c r="J448" i="52"/>
  <c r="H448" i="52"/>
  <c r="AO444" i="52"/>
  <c r="L444" i="52"/>
  <c r="K444" i="52"/>
  <c r="J444" i="52"/>
  <c r="H444" i="52"/>
  <c r="AO443" i="52"/>
  <c r="L443" i="52"/>
  <c r="K443" i="52"/>
  <c r="J443" i="52"/>
  <c r="H443" i="52"/>
  <c r="AO437" i="52"/>
  <c r="L437" i="52"/>
  <c r="K437" i="52"/>
  <c r="J437" i="52"/>
  <c r="H437" i="52"/>
  <c r="AO435" i="52"/>
  <c r="L435" i="52"/>
  <c r="K435" i="52"/>
  <c r="J435" i="52"/>
  <c r="H435" i="52"/>
  <c r="AO434" i="52"/>
  <c r="L434" i="52"/>
  <c r="K434" i="52"/>
  <c r="J434" i="52"/>
  <c r="H434" i="52"/>
  <c r="AO432" i="52"/>
  <c r="L432" i="52"/>
  <c r="K432" i="52"/>
  <c r="J432" i="52"/>
  <c r="H432" i="52"/>
  <c r="AO431" i="52"/>
  <c r="L431" i="52"/>
  <c r="K431" i="52"/>
  <c r="J431" i="52"/>
  <c r="H431" i="52"/>
  <c r="AO429" i="52"/>
  <c r="L429" i="52"/>
  <c r="K429" i="52"/>
  <c r="J429" i="52"/>
  <c r="H429" i="52"/>
  <c r="AO428" i="52"/>
  <c r="L428" i="52"/>
  <c r="K428" i="52"/>
  <c r="J428" i="52"/>
  <c r="H428" i="52"/>
  <c r="AO426" i="52"/>
  <c r="L426" i="52"/>
  <c r="K426" i="52"/>
  <c r="J426" i="52"/>
  <c r="H426" i="52"/>
  <c r="AO424" i="52"/>
  <c r="L424" i="52"/>
  <c r="K424" i="52"/>
  <c r="J424" i="52"/>
  <c r="H424" i="52"/>
  <c r="AO423" i="52"/>
  <c r="L423" i="52"/>
  <c r="K423" i="52"/>
  <c r="J423" i="52"/>
  <c r="H423" i="52"/>
  <c r="AO421" i="52"/>
  <c r="L421" i="52"/>
  <c r="K421" i="52"/>
  <c r="J421" i="52"/>
  <c r="H421" i="52"/>
  <c r="AO420" i="52"/>
  <c r="L420" i="52"/>
  <c r="K420" i="52"/>
  <c r="J420" i="52"/>
  <c r="H420" i="52"/>
  <c r="AO418" i="52"/>
  <c r="L418" i="52"/>
  <c r="K418" i="52"/>
  <c r="J418" i="52"/>
  <c r="H418" i="52"/>
  <c r="AO414" i="52"/>
  <c r="L414" i="52"/>
  <c r="K414" i="52"/>
  <c r="J414" i="52"/>
  <c r="H414" i="52"/>
  <c r="AO413" i="52"/>
  <c r="L413" i="52"/>
  <c r="K413" i="52"/>
  <c r="J413" i="52"/>
  <c r="H413" i="52"/>
  <c r="AO411" i="52"/>
  <c r="L411" i="52"/>
  <c r="K411" i="52"/>
  <c r="J411" i="52"/>
  <c r="H411" i="52"/>
  <c r="AO410" i="52"/>
  <c r="L410" i="52"/>
  <c r="K410" i="52"/>
  <c r="J410" i="52"/>
  <c r="H410" i="52"/>
  <c r="AO409" i="52"/>
  <c r="L409" i="52"/>
  <c r="K409" i="52"/>
  <c r="J409" i="52"/>
  <c r="H409" i="52"/>
  <c r="AO408" i="52"/>
  <c r="B408" i="52"/>
  <c r="I397" i="52"/>
  <c r="H397" i="52"/>
  <c r="I396" i="52"/>
  <c r="H396" i="52"/>
  <c r="L392" i="52"/>
  <c r="I392" i="52"/>
  <c r="H392" i="52"/>
  <c r="L391" i="52"/>
  <c r="I391" i="52"/>
  <c r="H391" i="52"/>
  <c r="AM390" i="52"/>
  <c r="AL390" i="52"/>
  <c r="L390" i="52"/>
  <c r="L389" i="52"/>
  <c r="I389" i="52"/>
  <c r="H389" i="52"/>
  <c r="L386" i="52"/>
  <c r="K386" i="52"/>
  <c r="J386" i="52"/>
  <c r="H386" i="52"/>
  <c r="L385" i="52"/>
  <c r="K385" i="52"/>
  <c r="J385" i="52"/>
  <c r="H385" i="52"/>
  <c r="I383" i="52"/>
  <c r="H383" i="52"/>
  <c r="H382" i="52"/>
  <c r="L381" i="52"/>
  <c r="I381" i="52"/>
  <c r="H381" i="52"/>
  <c r="L380" i="52"/>
  <c r="I380" i="52"/>
  <c r="H380" i="52"/>
  <c r="L379" i="52"/>
  <c r="I379" i="52"/>
  <c r="H379" i="52"/>
  <c r="L378" i="52"/>
  <c r="I378" i="52"/>
  <c r="H378" i="52"/>
  <c r="I377" i="52"/>
  <c r="H377" i="52"/>
  <c r="AM376" i="52"/>
  <c r="AL376" i="52"/>
  <c r="L376" i="52"/>
  <c r="I375" i="52"/>
  <c r="H375" i="52"/>
  <c r="L374" i="52"/>
  <c r="I374" i="52"/>
  <c r="H374" i="52"/>
  <c r="L373" i="52"/>
  <c r="I373" i="52"/>
  <c r="H373" i="52"/>
  <c r="I372" i="52"/>
  <c r="H372" i="52"/>
  <c r="AM371" i="52"/>
  <c r="AL371" i="52"/>
  <c r="L371" i="52"/>
  <c r="L370" i="52"/>
  <c r="I370" i="52"/>
  <c r="H370" i="52"/>
  <c r="I369" i="52"/>
  <c r="H369" i="52"/>
  <c r="I368" i="52"/>
  <c r="H368" i="52"/>
  <c r="L367" i="52"/>
  <c r="I367" i="52"/>
  <c r="H367" i="52"/>
  <c r="L364" i="52"/>
  <c r="I364" i="52"/>
  <c r="H364" i="52"/>
  <c r="L363" i="52"/>
  <c r="I363" i="52"/>
  <c r="H363" i="52"/>
  <c r="L362" i="52"/>
  <c r="L361" i="52"/>
  <c r="I361" i="52"/>
  <c r="H361" i="52"/>
  <c r="L360" i="52"/>
  <c r="K360" i="52"/>
  <c r="J360" i="52"/>
  <c r="H360" i="52"/>
  <c r="L358" i="52"/>
  <c r="I358" i="52"/>
  <c r="H358" i="52"/>
  <c r="L357" i="52"/>
  <c r="I357" i="52"/>
  <c r="H357" i="52"/>
  <c r="AM356" i="52"/>
  <c r="AL356" i="52"/>
  <c r="L356" i="52"/>
  <c r="L355" i="52"/>
  <c r="I355" i="52"/>
  <c r="H355" i="52"/>
  <c r="L353" i="52"/>
  <c r="I353" i="52"/>
  <c r="H353" i="52"/>
  <c r="L352" i="52"/>
  <c r="I352" i="52"/>
  <c r="H352" i="52"/>
  <c r="AM351" i="52"/>
  <c r="AL351" i="52"/>
  <c r="L351" i="52"/>
  <c r="L350" i="52"/>
  <c r="I350" i="52"/>
  <c r="H350" i="52"/>
  <c r="L349" i="52"/>
  <c r="I349" i="52"/>
  <c r="H349" i="52"/>
  <c r="H345" i="52"/>
  <c r="H344" i="52"/>
  <c r="H343" i="52"/>
  <c r="AO342" i="52"/>
  <c r="L342" i="52"/>
  <c r="K342" i="52"/>
  <c r="J342" i="52"/>
  <c r="L339" i="52"/>
  <c r="K339" i="52"/>
  <c r="J339" i="52"/>
  <c r="H339" i="52"/>
  <c r="L338" i="52"/>
  <c r="K338" i="52"/>
  <c r="J338" i="52"/>
  <c r="H338" i="52"/>
  <c r="L337" i="52"/>
  <c r="K337" i="52"/>
  <c r="J337" i="52"/>
  <c r="H337" i="52"/>
  <c r="AO336" i="52"/>
  <c r="B336" i="52"/>
  <c r="D320" i="52"/>
  <c r="D392" i="52"/>
  <c r="E319" i="52"/>
  <c r="D319" i="52"/>
  <c r="E318" i="52"/>
  <c r="D318" i="52"/>
  <c r="E317" i="52"/>
  <c r="D317" i="52"/>
  <c r="D389" i="52" s="1"/>
  <c r="D461" i="52"/>
  <c r="D533" i="52" s="1"/>
  <c r="D605" i="52" s="1"/>
  <c r="D677" i="52" s="1"/>
  <c r="D749" i="52"/>
  <c r="E309" i="52"/>
  <c r="D309" i="52"/>
  <c r="D381" i="52" s="1"/>
  <c r="D453" i="52" s="1"/>
  <c r="D525" i="52" s="1"/>
  <c r="D597" i="52" s="1"/>
  <c r="D669" i="52" s="1"/>
  <c r="D741" i="52" s="1"/>
  <c r="E308" i="52"/>
  <c r="D308" i="52"/>
  <c r="D380" i="52" s="1"/>
  <c r="D452" i="52"/>
  <c r="D524" i="52" s="1"/>
  <c r="D596" i="52" s="1"/>
  <c r="D668" i="52" s="1"/>
  <c r="D740" i="52"/>
  <c r="E307" i="52"/>
  <c r="D307" i="52"/>
  <c r="D379" i="52" s="1"/>
  <c r="D451" i="52" s="1"/>
  <c r="D523" i="52" s="1"/>
  <c r="D595" i="52" s="1"/>
  <c r="D667" i="52" s="1"/>
  <c r="D739" i="52" s="1"/>
  <c r="E306" i="52"/>
  <c r="D306" i="52"/>
  <c r="D378" i="52" s="1"/>
  <c r="D450" i="52"/>
  <c r="D522" i="52" s="1"/>
  <c r="E305" i="52"/>
  <c r="D305" i="52"/>
  <c r="D377" i="52" s="1"/>
  <c r="D449" i="52" s="1"/>
  <c r="D521" i="52" s="1"/>
  <c r="D593" i="52" s="1"/>
  <c r="D665" i="52" s="1"/>
  <c r="D737" i="52" s="1"/>
  <c r="E304" i="52"/>
  <c r="D304" i="52"/>
  <c r="D376" i="52" s="1"/>
  <c r="D448" i="52" s="1"/>
  <c r="D520" i="52" s="1"/>
  <c r="D592" i="52" s="1"/>
  <c r="D664" i="52" s="1"/>
  <c r="D736" i="52" s="1"/>
  <c r="E303" i="52"/>
  <c r="D303" i="52"/>
  <c r="D301" i="52"/>
  <c r="D373" i="52" s="1"/>
  <c r="D445" i="52" s="1"/>
  <c r="D517" i="52" s="1"/>
  <c r="D589" i="52" s="1"/>
  <c r="D661" i="52" s="1"/>
  <c r="D733" i="52" s="1"/>
  <c r="E300" i="52"/>
  <c r="D300" i="52"/>
  <c r="D372" i="52" s="1"/>
  <c r="E299" i="52"/>
  <c r="D299" i="52"/>
  <c r="E298" i="52"/>
  <c r="D298" i="52"/>
  <c r="D370" i="52" s="1"/>
  <c r="D442" i="52" s="1"/>
  <c r="D514" i="52" s="1"/>
  <c r="D586" i="52" s="1"/>
  <c r="D658" i="52" s="1"/>
  <c r="D730" i="52" s="1"/>
  <c r="D292" i="52"/>
  <c r="D364" i="52" s="1"/>
  <c r="D436" i="52" s="1"/>
  <c r="D508" i="52" s="1"/>
  <c r="D580" i="52" s="1"/>
  <c r="D652" i="52" s="1"/>
  <c r="D724" i="52" s="1"/>
  <c r="E291" i="52"/>
  <c r="D291" i="52"/>
  <c r="D363" i="52" s="1"/>
  <c r="D435" i="52" s="1"/>
  <c r="D507" i="52" s="1"/>
  <c r="D579" i="52" s="1"/>
  <c r="D651" i="52" s="1"/>
  <c r="D723" i="52" s="1"/>
  <c r="E290" i="52"/>
  <c r="D290" i="52"/>
  <c r="D362" i="52" s="1"/>
  <c r="D434" i="52" s="1"/>
  <c r="D506" i="52" s="1"/>
  <c r="D578" i="52" s="1"/>
  <c r="D650" i="52" s="1"/>
  <c r="D722" i="52" s="1"/>
  <c r="E289" i="52"/>
  <c r="D289" i="52"/>
  <c r="D361" i="52" s="1"/>
  <c r="D433" i="52" s="1"/>
  <c r="D505" i="52" s="1"/>
  <c r="D577" i="52" s="1"/>
  <c r="D649" i="52" s="1"/>
  <c r="D721" i="52" s="1"/>
  <c r="D286" i="52"/>
  <c r="D358" i="52" s="1"/>
  <c r="D430" i="52" s="1"/>
  <c r="D502" i="52" s="1"/>
  <c r="D574" i="52" s="1"/>
  <c r="D646" i="52" s="1"/>
  <c r="D718" i="52" s="1"/>
  <c r="E285" i="52"/>
  <c r="D285" i="52"/>
  <c r="D357" i="52"/>
  <c r="D429" i="52" s="1"/>
  <c r="D501" i="52" s="1"/>
  <c r="D573" i="52" s="1"/>
  <c r="D645" i="52"/>
  <c r="D717" i="52" s="1"/>
  <c r="E284" i="52"/>
  <c r="D284" i="52"/>
  <c r="D356" i="52" s="1"/>
  <c r="D428" i="52" s="1"/>
  <c r="E283" i="52"/>
  <c r="D283" i="52"/>
  <c r="D355" i="52" s="1"/>
  <c r="D427" i="52" s="1"/>
  <c r="D499" i="52" s="1"/>
  <c r="D571" i="52" s="1"/>
  <c r="D643" i="52" s="1"/>
  <c r="D715" i="52" s="1"/>
  <c r="D281" i="52"/>
  <c r="D353" i="52" s="1"/>
  <c r="D425" i="52" s="1"/>
  <c r="D497" i="52"/>
  <c r="D569" i="52" s="1"/>
  <c r="D641" i="52" s="1"/>
  <c r="D713" i="52" s="1"/>
  <c r="E280" i="52"/>
  <c r="D280" i="52"/>
  <c r="D352" i="52" s="1"/>
  <c r="D424" i="52" s="1"/>
  <c r="D496" i="52" s="1"/>
  <c r="D568" i="52" s="1"/>
  <c r="D640" i="52" s="1"/>
  <c r="D712" i="52" s="1"/>
  <c r="E279" i="52"/>
  <c r="D279" i="52"/>
  <c r="D351" i="52" s="1"/>
  <c r="D423" i="52" s="1"/>
  <c r="D495" i="52" s="1"/>
  <c r="D567" i="52" s="1"/>
  <c r="D639" i="52" s="1"/>
  <c r="D711" i="52" s="1"/>
  <c r="E278" i="52"/>
  <c r="D278" i="52"/>
  <c r="D350" i="52" s="1"/>
  <c r="D422" i="52" s="1"/>
  <c r="D494" i="52" s="1"/>
  <c r="D566" i="52" s="1"/>
  <c r="D638" i="52" s="1"/>
  <c r="D710" i="52" s="1"/>
  <c r="O276" i="52"/>
  <c r="L276" i="52"/>
  <c r="I276" i="52"/>
  <c r="H276" i="52"/>
  <c r="E273" i="52"/>
  <c r="D273" i="52"/>
  <c r="D345" i="52" s="1"/>
  <c r="D417" i="52" s="1"/>
  <c r="D489" i="52" s="1"/>
  <c r="D561" i="52" s="1"/>
  <c r="D633" i="52" s="1"/>
  <c r="D705" i="52" s="1"/>
  <c r="B229" i="52"/>
  <c r="A219" i="52"/>
  <c r="A218" i="52"/>
  <c r="A217" i="52"/>
  <c r="A213" i="52"/>
  <c r="A212" i="52"/>
  <c r="A151" i="52"/>
  <c r="A150" i="52"/>
  <c r="F56" i="52"/>
  <c r="E56" i="52"/>
  <c r="D56" i="52"/>
  <c r="C56" i="52"/>
  <c r="H53" i="52"/>
  <c r="G53" i="52"/>
  <c r="E51" i="52"/>
  <c r="B123" i="60"/>
  <c r="I110" i="60"/>
  <c r="B108" i="60"/>
  <c r="X90" i="60"/>
  <c r="B88" i="60"/>
  <c r="BT10" i="60"/>
  <c r="B8" i="60"/>
  <c r="B2" i="60"/>
  <c r="D265" i="43"/>
  <c r="E222" i="43"/>
  <c r="E194" i="43"/>
  <c r="E193" i="43"/>
  <c r="E192" i="43"/>
  <c r="E178" i="43"/>
  <c r="E164" i="43"/>
  <c r="E150" i="43"/>
  <c r="E136" i="43"/>
  <c r="E122" i="43"/>
  <c r="E108" i="43"/>
  <c r="E86" i="43"/>
  <c r="E76" i="43"/>
  <c r="E75" i="43"/>
  <c r="E73" i="43"/>
  <c r="E72" i="43"/>
  <c r="E71" i="43"/>
  <c r="E69" i="43"/>
  <c r="E28" i="43"/>
  <c r="E12" i="43"/>
  <c r="K4" i="43"/>
  <c r="F49" i="35"/>
  <c r="F48" i="35"/>
  <c r="F45" i="35"/>
  <c r="E44" i="35"/>
  <c r="E18" i="35"/>
  <c r="E17" i="35"/>
  <c r="E16" i="35"/>
  <c r="D12" i="35"/>
  <c r="D10" i="35"/>
  <c r="C6" i="35"/>
  <c r="E489" i="46"/>
  <c r="E443" i="46"/>
  <c r="E385" i="46"/>
  <c r="E327" i="46"/>
  <c r="E269" i="46"/>
  <c r="E209" i="46"/>
  <c r="H60" i="46"/>
  <c r="E13" i="46"/>
  <c r="E312" i="50"/>
  <c r="E246" i="50"/>
  <c r="E178" i="50"/>
  <c r="E177" i="50"/>
  <c r="E127" i="50"/>
  <c r="G125" i="50"/>
  <c r="G124" i="50"/>
  <c r="G123" i="50"/>
  <c r="F122" i="50"/>
  <c r="E122" i="50"/>
  <c r="F121" i="50"/>
  <c r="F120" i="50"/>
  <c r="E120" i="50"/>
  <c r="E119" i="50"/>
  <c r="E116" i="50"/>
  <c r="G115" i="50"/>
  <c r="G114" i="50"/>
  <c r="G113" i="50"/>
  <c r="F112" i="50"/>
  <c r="E112" i="50"/>
  <c r="G111" i="50"/>
  <c r="G110" i="50"/>
  <c r="F109" i="50"/>
  <c r="E109" i="50"/>
  <c r="E103" i="50"/>
  <c r="E37" i="50"/>
  <c r="E19" i="44"/>
  <c r="E83" i="38"/>
  <c r="E82" i="38"/>
  <c r="M53" i="38"/>
  <c r="J21" i="55"/>
  <c r="J20" i="55"/>
  <c r="J19" i="55"/>
  <c r="J18" i="55"/>
  <c r="J17" i="55"/>
  <c r="I17" i="55"/>
  <c r="E14" i="55"/>
  <c r="E10" i="55"/>
  <c r="D8" i="55"/>
  <c r="B28" i="10"/>
  <c r="B26" i="10"/>
  <c r="B11" i="10"/>
  <c r="B49" i="9"/>
  <c r="C46" i="9"/>
  <c r="AD5" i="60"/>
  <c r="AC5" i="60"/>
  <c r="AB5" i="60"/>
  <c r="AA5" i="60"/>
  <c r="Z5" i="60"/>
  <c r="D441" i="46"/>
  <c r="F438" i="46"/>
  <c r="F432" i="46"/>
  <c r="F429" i="46"/>
  <c r="F426" i="46"/>
  <c r="E424" i="46"/>
  <c r="E418" i="46"/>
  <c r="E417" i="46"/>
  <c r="D415" i="46"/>
  <c r="I413" i="46"/>
  <c r="E413" i="46"/>
  <c r="S412" i="46"/>
  <c r="E412" i="46"/>
  <c r="E411" i="46"/>
  <c r="E405" i="46"/>
  <c r="E403" i="46"/>
  <c r="D401" i="46"/>
  <c r="D396" i="46"/>
  <c r="E394" i="46"/>
  <c r="D383" i="46"/>
  <c r="F380" i="46"/>
  <c r="F374" i="46"/>
  <c r="F371" i="46"/>
  <c r="F368" i="46"/>
  <c r="E366" i="46"/>
  <c r="E360" i="46"/>
  <c r="E359" i="46"/>
  <c r="D357" i="46"/>
  <c r="I355" i="46"/>
  <c r="E355" i="46"/>
  <c r="S354" i="46"/>
  <c r="E354" i="46"/>
  <c r="E353" i="46"/>
  <c r="E347" i="46"/>
  <c r="E345" i="46"/>
  <c r="D343" i="46"/>
  <c r="D338" i="46"/>
  <c r="E336" i="46"/>
  <c r="DB93" i="60"/>
  <c r="DB94" i="60" s="1"/>
  <c r="DB95" i="60" s="1"/>
  <c r="DB96" i="60"/>
  <c r="DB97" i="60" s="1"/>
  <c r="DB98" i="60" s="1"/>
  <c r="DB99" i="60" s="1"/>
  <c r="DB100" i="60" s="1"/>
  <c r="DB101" i="60" s="1"/>
  <c r="DB102" i="60" s="1"/>
  <c r="DB103" i="60" s="1"/>
  <c r="DB104" i="60" s="1"/>
  <c r="DB105" i="60" s="1"/>
  <c r="DA93" i="60"/>
  <c r="DA94" i="60" s="1"/>
  <c r="DA95" i="60"/>
  <c r="DA96" i="60" s="1"/>
  <c r="DA97" i="60" s="1"/>
  <c r="DA98" i="60" s="1"/>
  <c r="DA99" i="60" s="1"/>
  <c r="DA100" i="60" s="1"/>
  <c r="DA101" i="60" s="1"/>
  <c r="DA102" i="60" s="1"/>
  <c r="DA103" i="60" s="1"/>
  <c r="DA104" i="60" s="1"/>
  <c r="DA105" i="60" s="1"/>
  <c r="CZ93" i="60"/>
  <c r="CZ94" i="60" s="1"/>
  <c r="CZ95" i="60" s="1"/>
  <c r="CZ96" i="60" s="1"/>
  <c r="CZ97" i="60" s="1"/>
  <c r="CZ98" i="60" s="1"/>
  <c r="CZ99" i="60" s="1"/>
  <c r="CZ100" i="60" s="1"/>
  <c r="CZ101" i="60" s="1"/>
  <c r="CZ102" i="60" s="1"/>
  <c r="CZ103" i="60" s="1"/>
  <c r="CZ104" i="60" s="1"/>
  <c r="CZ105" i="60" s="1"/>
  <c r="CY93" i="60"/>
  <c r="CY94" i="60" s="1"/>
  <c r="CY95" i="60" s="1"/>
  <c r="CY96" i="60" s="1"/>
  <c r="CY97" i="60" s="1"/>
  <c r="CY98" i="60" s="1"/>
  <c r="CY99" i="60" s="1"/>
  <c r="CY100" i="60" s="1"/>
  <c r="CY101" i="60" s="1"/>
  <c r="CY102" i="60" s="1"/>
  <c r="CY103" i="60" s="1"/>
  <c r="CY104" i="60" s="1"/>
  <c r="CY105" i="60" s="1"/>
  <c r="CX93" i="60"/>
  <c r="CX94" i="60" s="1"/>
  <c r="CX95" i="60" s="1"/>
  <c r="CX96" i="60"/>
  <c r="CX97" i="60" s="1"/>
  <c r="CX98" i="60" s="1"/>
  <c r="CX99" i="60" s="1"/>
  <c r="CX100" i="60"/>
  <c r="CX101" i="60" s="1"/>
  <c r="CX102" i="60" s="1"/>
  <c r="CX103" i="60" s="1"/>
  <c r="CX104" i="60" s="1"/>
  <c r="CX105" i="60" s="1"/>
  <c r="CW93" i="60"/>
  <c r="CW94" i="60" s="1"/>
  <c r="CW95" i="60" s="1"/>
  <c r="CW96" i="60" s="1"/>
  <c r="CW97" i="60" s="1"/>
  <c r="CW98" i="60" s="1"/>
  <c r="CW99" i="60" s="1"/>
  <c r="CW100" i="60" s="1"/>
  <c r="CW101" i="60" s="1"/>
  <c r="CW102" i="60" s="1"/>
  <c r="CW103" i="60" s="1"/>
  <c r="CW104" i="60" s="1"/>
  <c r="CW105" i="60" s="1"/>
  <c r="CV93" i="60"/>
  <c r="CV94" i="60" s="1"/>
  <c r="CV95" i="60" s="1"/>
  <c r="CV96" i="60" s="1"/>
  <c r="CV97" i="60" s="1"/>
  <c r="CV98" i="60" s="1"/>
  <c r="CV99" i="60" s="1"/>
  <c r="CV100" i="60" s="1"/>
  <c r="CV101" i="60" s="1"/>
  <c r="CV102" i="60" s="1"/>
  <c r="CV103" i="60" s="1"/>
  <c r="CV104" i="60" s="1"/>
  <c r="CV105" i="60" s="1"/>
  <c r="CU93" i="60"/>
  <c r="CU94" i="60" s="1"/>
  <c r="CU95" i="60" s="1"/>
  <c r="CU96" i="60" s="1"/>
  <c r="CU97" i="60" s="1"/>
  <c r="CU98" i="60" s="1"/>
  <c r="CU99" i="60" s="1"/>
  <c r="CU100" i="60" s="1"/>
  <c r="CU101" i="60" s="1"/>
  <c r="CU102" i="60" s="1"/>
  <c r="CU103" i="60" s="1"/>
  <c r="CU104" i="60" s="1"/>
  <c r="CU105" i="60" s="1"/>
  <c r="CT93" i="60"/>
  <c r="CT94" i="60" s="1"/>
  <c r="CT95" i="60" s="1"/>
  <c r="CT96" i="60" s="1"/>
  <c r="CT97" i="60" s="1"/>
  <c r="CT98" i="60" s="1"/>
  <c r="CT99" i="60" s="1"/>
  <c r="CT100" i="60" s="1"/>
  <c r="CT101" i="60" s="1"/>
  <c r="CT102" i="60" s="1"/>
  <c r="CT103" i="60" s="1"/>
  <c r="CT104" i="60" s="1"/>
  <c r="CT105" i="60" s="1"/>
  <c r="CS93" i="60"/>
  <c r="CS94" i="60"/>
  <c r="CS95" i="60" s="1"/>
  <c r="CS96" i="60" s="1"/>
  <c r="CS97" i="60" s="1"/>
  <c r="CS98" i="60" s="1"/>
  <c r="CS99" i="60" s="1"/>
  <c r="CS100" i="60" s="1"/>
  <c r="CS101" i="60" s="1"/>
  <c r="CS102" i="60" s="1"/>
  <c r="CS103" i="60" s="1"/>
  <c r="CS104" i="60" s="1"/>
  <c r="CS105" i="60" s="1"/>
  <c r="CR93" i="60"/>
  <c r="CR94" i="60"/>
  <c r="CR95" i="60" s="1"/>
  <c r="CR96" i="60" s="1"/>
  <c r="CR97" i="60" s="1"/>
  <c r="CR98" i="60" s="1"/>
  <c r="CR99" i="60" s="1"/>
  <c r="CR100" i="60" s="1"/>
  <c r="CR101" i="60" s="1"/>
  <c r="CR102" i="60" s="1"/>
  <c r="CR103" i="60" s="1"/>
  <c r="CR104" i="60" s="1"/>
  <c r="CR105" i="60" s="1"/>
  <c r="CQ93" i="60"/>
  <c r="CQ94" i="60" s="1"/>
  <c r="CQ95" i="60" s="1"/>
  <c r="CQ96" i="60" s="1"/>
  <c r="CQ97" i="60" s="1"/>
  <c r="CQ98" i="60" s="1"/>
  <c r="CQ99" i="60" s="1"/>
  <c r="CQ100" i="60" s="1"/>
  <c r="CQ101" i="60" s="1"/>
  <c r="CQ102" i="60" s="1"/>
  <c r="CQ103" i="60" s="1"/>
  <c r="CQ104" i="60" s="1"/>
  <c r="CQ105" i="60" s="1"/>
  <c r="CP93" i="60"/>
  <c r="CP94" i="60" s="1"/>
  <c r="CP95" i="60" s="1"/>
  <c r="CP96" i="60" s="1"/>
  <c r="CP97" i="60" s="1"/>
  <c r="CP98" i="60" s="1"/>
  <c r="CP99" i="60" s="1"/>
  <c r="CP100" i="60" s="1"/>
  <c r="CP101" i="60" s="1"/>
  <c r="CP102" i="60" s="1"/>
  <c r="CP103" i="60" s="1"/>
  <c r="CP104" i="60" s="1"/>
  <c r="CP105" i="60" s="1"/>
  <c r="CO93" i="60"/>
  <c r="CO94" i="60" s="1"/>
  <c r="CO95" i="60"/>
  <c r="CO96" i="60" s="1"/>
  <c r="CO97" i="60" s="1"/>
  <c r="CO98" i="60" s="1"/>
  <c r="CO99" i="60" s="1"/>
  <c r="CO100" i="60" s="1"/>
  <c r="CO101" i="60" s="1"/>
  <c r="CO102" i="60" s="1"/>
  <c r="CO103" i="60" s="1"/>
  <c r="CO104" i="60" s="1"/>
  <c r="CO105" i="60" s="1"/>
  <c r="CN93" i="60"/>
  <c r="CN94" i="60"/>
  <c r="CN95" i="60"/>
  <c r="CN96" i="60" s="1"/>
  <c r="CN97" i="60" s="1"/>
  <c r="CN98" i="60" s="1"/>
  <c r="CN99" i="60" s="1"/>
  <c r="CN100" i="60" s="1"/>
  <c r="CN101" i="60" s="1"/>
  <c r="CN102" i="60" s="1"/>
  <c r="CN103" i="60" s="1"/>
  <c r="CN104" i="60" s="1"/>
  <c r="CN105" i="60" s="1"/>
  <c r="CM93" i="60"/>
  <c r="CM94" i="60" s="1"/>
  <c r="CM95" i="60" s="1"/>
  <c r="CM96" i="60" s="1"/>
  <c r="CM97" i="60" s="1"/>
  <c r="CM98" i="60" s="1"/>
  <c r="CM99" i="60" s="1"/>
  <c r="CM100" i="60" s="1"/>
  <c r="CM101" i="60" s="1"/>
  <c r="CM102" i="60" s="1"/>
  <c r="CM103" i="60" s="1"/>
  <c r="CM104" i="60" s="1"/>
  <c r="CM105" i="60" s="1"/>
  <c r="CL93" i="60"/>
  <c r="CL94" i="60" s="1"/>
  <c r="CL95" i="60" s="1"/>
  <c r="CL96" i="60" s="1"/>
  <c r="CL97" i="60" s="1"/>
  <c r="CL98" i="60" s="1"/>
  <c r="CL99" i="60" s="1"/>
  <c r="CL100" i="60" s="1"/>
  <c r="CL101" i="60" s="1"/>
  <c r="CL102" i="60" s="1"/>
  <c r="CL103" i="60" s="1"/>
  <c r="CL104" i="60" s="1"/>
  <c r="CL105" i="60" s="1"/>
  <c r="Q276" i="46"/>
  <c r="D325" i="46"/>
  <c r="F322" i="46"/>
  <c r="F316" i="46"/>
  <c r="F313" i="46"/>
  <c r="F310" i="46"/>
  <c r="E308" i="46"/>
  <c r="E302" i="46"/>
  <c r="E301" i="46"/>
  <c r="D299" i="46"/>
  <c r="I297" i="46"/>
  <c r="E297" i="46"/>
  <c r="S296" i="46"/>
  <c r="E296" i="46"/>
  <c r="E295" i="46"/>
  <c r="E289" i="46"/>
  <c r="E287" i="46"/>
  <c r="D285" i="46"/>
  <c r="D280" i="46"/>
  <c r="E278" i="46"/>
  <c r="D267" i="46"/>
  <c r="F264" i="46"/>
  <c r="F258" i="46"/>
  <c r="F255" i="46"/>
  <c r="F252" i="46"/>
  <c r="E250" i="46"/>
  <c r="E244" i="46"/>
  <c r="E243" i="46"/>
  <c r="D241" i="46"/>
  <c r="I239" i="46"/>
  <c r="E239" i="46"/>
  <c r="S238" i="46"/>
  <c r="E238" i="46"/>
  <c r="E237" i="46"/>
  <c r="E231" i="46"/>
  <c r="E229" i="46"/>
  <c r="D227" i="46"/>
  <c r="D222" i="46"/>
  <c r="E220" i="46"/>
  <c r="C218" i="46"/>
  <c r="EY13" i="60"/>
  <c r="EY14" i="60" s="1"/>
  <c r="EY15" i="60" s="1"/>
  <c r="EY16" i="60" s="1"/>
  <c r="EY17" i="60" s="1"/>
  <c r="EY18" i="60" s="1"/>
  <c r="EY19" i="60" s="1"/>
  <c r="EY20" i="60" s="1"/>
  <c r="EY21" i="60" s="1"/>
  <c r="EY22" i="60" s="1"/>
  <c r="EY23" i="60" s="1"/>
  <c r="EY24" i="60" s="1"/>
  <c r="EY25" i="60" s="1"/>
  <c r="EY26" i="60" s="1"/>
  <c r="EY27" i="60" s="1"/>
  <c r="EY28" i="60" s="1"/>
  <c r="EY29" i="60" s="1"/>
  <c r="EY30" i="60" s="1"/>
  <c r="EY31" i="60" s="1"/>
  <c r="EY32" i="60" s="1"/>
  <c r="EY33" i="60" s="1"/>
  <c r="EY34" i="60" s="1"/>
  <c r="EY35" i="60" s="1"/>
  <c r="EY36" i="60" s="1"/>
  <c r="EY37" i="60" s="1"/>
  <c r="EY38" i="60" s="1"/>
  <c r="EY39" i="60" s="1"/>
  <c r="EY40" i="60" s="1"/>
  <c r="EY41" i="60" s="1"/>
  <c r="EY42" i="60" s="1"/>
  <c r="EY43" i="60" s="1"/>
  <c r="EY44" i="60" s="1"/>
  <c r="EY45" i="60" s="1"/>
  <c r="EY46" i="60" s="1"/>
  <c r="EY47" i="60" s="1"/>
  <c r="EY48" i="60" s="1"/>
  <c r="EY49" i="60" s="1"/>
  <c r="EY50" i="60" s="1"/>
  <c r="EY51" i="60" s="1"/>
  <c r="EY52" i="60" s="1"/>
  <c r="EY53" i="60" s="1"/>
  <c r="EY54" i="60" s="1"/>
  <c r="EY55" i="60" s="1"/>
  <c r="EY56" i="60" s="1"/>
  <c r="EY57" i="60" s="1"/>
  <c r="EY58" i="60" s="1"/>
  <c r="EY59" i="60" s="1"/>
  <c r="EY60" i="60" s="1"/>
  <c r="EY61" i="60" s="1"/>
  <c r="EY62" i="60" s="1"/>
  <c r="EY63" i="60" s="1"/>
  <c r="EY64" i="60" s="1"/>
  <c r="EY65" i="60" s="1"/>
  <c r="EY66" i="60" s="1"/>
  <c r="EY67" i="60" s="1"/>
  <c r="EY68" i="60" s="1"/>
  <c r="EY69" i="60" s="1"/>
  <c r="EY70" i="60" s="1"/>
  <c r="EY71" i="60" s="1"/>
  <c r="EY72" i="60" s="1"/>
  <c r="EY73" i="60" s="1"/>
  <c r="EY74" i="60" s="1"/>
  <c r="EY75" i="60" s="1"/>
  <c r="EY76" i="60" s="1"/>
  <c r="EY77" i="60" s="1"/>
  <c r="EY78" i="60" s="1"/>
  <c r="EY79" i="60" s="1"/>
  <c r="EY80" i="60" s="1"/>
  <c r="EY81" i="60" s="1"/>
  <c r="EY82" i="60" s="1"/>
  <c r="EY83" i="60" s="1"/>
  <c r="EY84" i="60" s="1"/>
  <c r="EY85" i="60" s="1"/>
  <c r="DD13" i="60"/>
  <c r="DD14" i="60" s="1"/>
  <c r="DD15" i="60" s="1"/>
  <c r="DD16" i="60" s="1"/>
  <c r="DD17" i="60" s="1"/>
  <c r="DD18" i="60" s="1"/>
  <c r="DD19" i="60" s="1"/>
  <c r="DD20" i="60" s="1"/>
  <c r="DD21" i="60" s="1"/>
  <c r="DD22" i="60" s="1"/>
  <c r="DD23" i="60" s="1"/>
  <c r="DD24" i="60" s="1"/>
  <c r="DD25" i="60" s="1"/>
  <c r="DD26" i="60" s="1"/>
  <c r="DD27" i="60" s="1"/>
  <c r="DD28" i="60" s="1"/>
  <c r="DD29" i="60" s="1"/>
  <c r="DD30" i="60" s="1"/>
  <c r="DD31" i="60" s="1"/>
  <c r="DD32" i="60" s="1"/>
  <c r="DD33" i="60" s="1"/>
  <c r="DD34" i="60" s="1"/>
  <c r="DD35" i="60" s="1"/>
  <c r="DD36" i="60" s="1"/>
  <c r="DD37" i="60" s="1"/>
  <c r="DD38" i="60" s="1"/>
  <c r="DD39" i="60" s="1"/>
  <c r="DD40" i="60" s="1"/>
  <c r="DD41" i="60" s="1"/>
  <c r="DD42" i="60" s="1"/>
  <c r="DD43" i="60" s="1"/>
  <c r="DD44" i="60" s="1"/>
  <c r="DD45" i="60" s="1"/>
  <c r="DD46" i="60" s="1"/>
  <c r="DD47" i="60" s="1"/>
  <c r="DD48" i="60" s="1"/>
  <c r="DD49" i="60" s="1"/>
  <c r="DD50" i="60" s="1"/>
  <c r="DD51" i="60" s="1"/>
  <c r="DD52" i="60" s="1"/>
  <c r="DD53" i="60" s="1"/>
  <c r="DD54" i="60" s="1"/>
  <c r="DD55" i="60" s="1"/>
  <c r="DD56" i="60" s="1"/>
  <c r="DD57" i="60" s="1"/>
  <c r="DD58" i="60" s="1"/>
  <c r="DD59" i="60" s="1"/>
  <c r="DD60" i="60" s="1"/>
  <c r="DD61" i="60" s="1"/>
  <c r="DD62" i="60" s="1"/>
  <c r="DD63" i="60" s="1"/>
  <c r="DD64" i="60" s="1"/>
  <c r="DD65" i="60" s="1"/>
  <c r="DD66" i="60" s="1"/>
  <c r="DD67" i="60" s="1"/>
  <c r="DD68" i="60" s="1"/>
  <c r="DD69" i="60" s="1"/>
  <c r="DD70" i="60" s="1"/>
  <c r="DD71" i="60" s="1"/>
  <c r="DD72" i="60" s="1"/>
  <c r="DD73" i="60" s="1"/>
  <c r="DD74" i="60" s="1"/>
  <c r="DD75" i="60" s="1"/>
  <c r="DD76" i="60" s="1"/>
  <c r="DD77" i="60" s="1"/>
  <c r="DD78" i="60" s="1"/>
  <c r="DD79" i="60" s="1"/>
  <c r="DD80" i="60" s="1"/>
  <c r="DD81" i="60" s="1"/>
  <c r="DD82" i="60" s="1"/>
  <c r="DD83" i="60" s="1"/>
  <c r="DD84" i="60" s="1"/>
  <c r="DD85" i="60" s="1"/>
  <c r="DC13" i="60"/>
  <c r="DC14" i="60" s="1"/>
  <c r="DC15" i="60" s="1"/>
  <c r="DC16" i="60" s="1"/>
  <c r="DC17" i="60" s="1"/>
  <c r="DC18" i="60" s="1"/>
  <c r="DC19" i="60" s="1"/>
  <c r="DC20" i="60" s="1"/>
  <c r="DC21" i="60" s="1"/>
  <c r="DC22" i="60" s="1"/>
  <c r="DC23" i="60" s="1"/>
  <c r="DC24" i="60" s="1"/>
  <c r="DC25" i="60" s="1"/>
  <c r="DC26" i="60" s="1"/>
  <c r="DC27" i="60" s="1"/>
  <c r="DC28" i="60" s="1"/>
  <c r="DC29" i="60" s="1"/>
  <c r="DC30" i="60" s="1"/>
  <c r="DC31" i="60" s="1"/>
  <c r="DC32" i="60" s="1"/>
  <c r="DC33" i="60" s="1"/>
  <c r="DC34" i="60" s="1"/>
  <c r="DC35" i="60" s="1"/>
  <c r="DC36" i="60" s="1"/>
  <c r="DC37" i="60" s="1"/>
  <c r="DC38" i="60" s="1"/>
  <c r="DC39" i="60" s="1"/>
  <c r="DC40" i="60" s="1"/>
  <c r="DC41" i="60" s="1"/>
  <c r="DC42" i="60" s="1"/>
  <c r="DC43" i="60" s="1"/>
  <c r="DC44" i="60" s="1"/>
  <c r="DC45" i="60" s="1"/>
  <c r="DC46" i="60" s="1"/>
  <c r="DC47" i="60" s="1"/>
  <c r="DC48" i="60" s="1"/>
  <c r="DC49" i="60" s="1"/>
  <c r="DC50" i="60" s="1"/>
  <c r="DC51" i="60" s="1"/>
  <c r="DC52" i="60" s="1"/>
  <c r="DC53" i="60" s="1"/>
  <c r="DC54" i="60" s="1"/>
  <c r="DC55" i="60" s="1"/>
  <c r="DC56" i="60" s="1"/>
  <c r="DC57" i="60" s="1"/>
  <c r="DC58" i="60" s="1"/>
  <c r="DC59" i="60" s="1"/>
  <c r="DC60" i="60" s="1"/>
  <c r="DC61" i="60" s="1"/>
  <c r="DC62" i="60" s="1"/>
  <c r="DC63" i="60" s="1"/>
  <c r="DC64" i="60" s="1"/>
  <c r="DC65" i="60" s="1"/>
  <c r="DC66" i="60" s="1"/>
  <c r="DC67" i="60" s="1"/>
  <c r="DC68" i="60" s="1"/>
  <c r="DC69" i="60" s="1"/>
  <c r="DC70" i="60" s="1"/>
  <c r="DC71" i="60" s="1"/>
  <c r="DC72" i="60" s="1"/>
  <c r="DC73" i="60" s="1"/>
  <c r="DC74" i="60" s="1"/>
  <c r="DC75" i="60" s="1"/>
  <c r="DC76" i="60" s="1"/>
  <c r="DC77" i="60" s="1"/>
  <c r="DC78" i="60" s="1"/>
  <c r="DC79" i="60" s="1"/>
  <c r="DC80" i="60" s="1"/>
  <c r="DC81" i="60" s="1"/>
  <c r="DC82" i="60" s="1"/>
  <c r="DC83" i="60" s="1"/>
  <c r="DC84" i="60" s="1"/>
  <c r="DC85" i="60" s="1"/>
  <c r="DB13" i="60"/>
  <c r="DB14" i="60" s="1"/>
  <c r="DB15" i="60" s="1"/>
  <c r="DB16" i="60" s="1"/>
  <c r="DB17" i="60" s="1"/>
  <c r="DB18" i="60" s="1"/>
  <c r="DB19" i="60" s="1"/>
  <c r="DB20" i="60" s="1"/>
  <c r="DB21" i="60" s="1"/>
  <c r="DB22" i="60" s="1"/>
  <c r="DB23" i="60" s="1"/>
  <c r="DB24" i="60" s="1"/>
  <c r="DB25" i="60" s="1"/>
  <c r="DB26" i="60" s="1"/>
  <c r="DB27" i="60" s="1"/>
  <c r="DB28" i="60" s="1"/>
  <c r="DB29" i="60" s="1"/>
  <c r="DB30" i="60" s="1"/>
  <c r="DB31" i="60" s="1"/>
  <c r="DB32" i="60" s="1"/>
  <c r="DB33" i="60" s="1"/>
  <c r="DB34" i="60" s="1"/>
  <c r="DB35" i="60" s="1"/>
  <c r="DB36" i="60" s="1"/>
  <c r="DB37" i="60" s="1"/>
  <c r="DB38" i="60" s="1"/>
  <c r="DB39" i="60" s="1"/>
  <c r="DB40" i="60" s="1"/>
  <c r="DB41" i="60" s="1"/>
  <c r="DB42" i="60" s="1"/>
  <c r="DB43" i="60" s="1"/>
  <c r="DB44" i="60" s="1"/>
  <c r="DB45" i="60" s="1"/>
  <c r="DB46" i="60" s="1"/>
  <c r="DB47" i="60" s="1"/>
  <c r="DB48" i="60" s="1"/>
  <c r="DB49" i="60" s="1"/>
  <c r="DB50" i="60" s="1"/>
  <c r="DB51" i="60" s="1"/>
  <c r="DB52" i="60" s="1"/>
  <c r="DB53" i="60" s="1"/>
  <c r="DB54" i="60" s="1"/>
  <c r="DB55" i="60" s="1"/>
  <c r="DB56" i="60" s="1"/>
  <c r="DB57" i="60" s="1"/>
  <c r="DB58" i="60" s="1"/>
  <c r="DB59" i="60" s="1"/>
  <c r="DB60" i="60" s="1"/>
  <c r="DB61" i="60" s="1"/>
  <c r="DB62" i="60" s="1"/>
  <c r="DB63" i="60" s="1"/>
  <c r="DB64" i="60" s="1"/>
  <c r="DB65" i="60" s="1"/>
  <c r="DB66" i="60" s="1"/>
  <c r="DB67" i="60" s="1"/>
  <c r="DB68" i="60" s="1"/>
  <c r="DB69" i="60" s="1"/>
  <c r="DB70" i="60" s="1"/>
  <c r="DB71" i="60" s="1"/>
  <c r="DB72" i="60" s="1"/>
  <c r="DB73" i="60" s="1"/>
  <c r="DB74" i="60" s="1"/>
  <c r="DB75" i="60" s="1"/>
  <c r="DB76" i="60" s="1"/>
  <c r="DB77" i="60" s="1"/>
  <c r="DB78" i="60" s="1"/>
  <c r="DB79" i="60" s="1"/>
  <c r="DB80" i="60" s="1"/>
  <c r="DB81" i="60" s="1"/>
  <c r="DB82" i="60" s="1"/>
  <c r="DB83" i="60" s="1"/>
  <c r="DB84" i="60" s="1"/>
  <c r="DB85" i="60" s="1"/>
  <c r="DA13" i="60"/>
  <c r="DA14" i="60" s="1"/>
  <c r="DA15" i="60" s="1"/>
  <c r="DA16" i="60" s="1"/>
  <c r="DA17" i="60" s="1"/>
  <c r="DA18" i="60" s="1"/>
  <c r="DA19" i="60" s="1"/>
  <c r="DA20" i="60" s="1"/>
  <c r="DA21" i="60" s="1"/>
  <c r="DA22" i="60" s="1"/>
  <c r="DA23" i="60" s="1"/>
  <c r="DA24" i="60" s="1"/>
  <c r="DA25" i="60" s="1"/>
  <c r="DA26" i="60" s="1"/>
  <c r="DA27" i="60" s="1"/>
  <c r="DA28" i="60" s="1"/>
  <c r="DA29" i="60" s="1"/>
  <c r="DA30" i="60" s="1"/>
  <c r="DA31" i="60" s="1"/>
  <c r="DA32" i="60" s="1"/>
  <c r="DA33" i="60" s="1"/>
  <c r="DA34" i="60" s="1"/>
  <c r="DA35" i="60" s="1"/>
  <c r="DA36" i="60" s="1"/>
  <c r="DA37" i="60" s="1"/>
  <c r="DA38" i="60" s="1"/>
  <c r="DA39" i="60" s="1"/>
  <c r="DA40" i="60" s="1"/>
  <c r="DA41" i="60" s="1"/>
  <c r="DA42" i="60" s="1"/>
  <c r="DA43" i="60" s="1"/>
  <c r="DA44" i="60" s="1"/>
  <c r="DA45" i="60" s="1"/>
  <c r="DA46" i="60" s="1"/>
  <c r="DA47" i="60" s="1"/>
  <c r="DA48" i="60" s="1"/>
  <c r="DA49" i="60" s="1"/>
  <c r="DA50" i="60" s="1"/>
  <c r="DA51" i="60" s="1"/>
  <c r="DA52" i="60" s="1"/>
  <c r="DA53" i="60" s="1"/>
  <c r="DA54" i="60" s="1"/>
  <c r="DA55" i="60" s="1"/>
  <c r="DA56" i="60" s="1"/>
  <c r="DA57" i="60" s="1"/>
  <c r="DA58" i="60" s="1"/>
  <c r="DA59" i="60" s="1"/>
  <c r="DA60" i="60" s="1"/>
  <c r="DA61" i="60" s="1"/>
  <c r="DA62" i="60" s="1"/>
  <c r="DA63" i="60" s="1"/>
  <c r="DA64" i="60" s="1"/>
  <c r="DA65" i="60" s="1"/>
  <c r="DA66" i="60" s="1"/>
  <c r="DA67" i="60" s="1"/>
  <c r="DA68" i="60" s="1"/>
  <c r="DA69" i="60" s="1"/>
  <c r="DA70" i="60" s="1"/>
  <c r="DA71" i="60" s="1"/>
  <c r="DA72" i="60" s="1"/>
  <c r="DA73" i="60" s="1"/>
  <c r="DA74" i="60" s="1"/>
  <c r="DA75" i="60" s="1"/>
  <c r="DA76" i="60" s="1"/>
  <c r="DA77" i="60" s="1"/>
  <c r="DA78" i="60" s="1"/>
  <c r="DA79" i="60" s="1"/>
  <c r="DA80" i="60" s="1"/>
  <c r="DA81" i="60" s="1"/>
  <c r="DA82" i="60" s="1"/>
  <c r="DA83" i="60" s="1"/>
  <c r="DA84" i="60" s="1"/>
  <c r="DA85" i="60" s="1"/>
  <c r="CZ13" i="60"/>
  <c r="CZ14" i="60" s="1"/>
  <c r="CZ15" i="60" s="1"/>
  <c r="CZ16" i="60"/>
  <c r="CZ17" i="60" s="1"/>
  <c r="CZ18" i="60" s="1"/>
  <c r="CZ19" i="60" s="1"/>
  <c r="CZ20" i="60" s="1"/>
  <c r="CZ21" i="60" s="1"/>
  <c r="CZ22" i="60" s="1"/>
  <c r="CZ23" i="60" s="1"/>
  <c r="CZ24" i="60" s="1"/>
  <c r="CZ25" i="60" s="1"/>
  <c r="CZ26" i="60" s="1"/>
  <c r="CZ27" i="60" s="1"/>
  <c r="CZ28" i="60" s="1"/>
  <c r="CZ29" i="60" s="1"/>
  <c r="CZ30" i="60" s="1"/>
  <c r="CZ31" i="60" s="1"/>
  <c r="CZ32" i="60" s="1"/>
  <c r="CZ33" i="60" s="1"/>
  <c r="CZ34" i="60" s="1"/>
  <c r="CZ35" i="60" s="1"/>
  <c r="CZ36" i="60" s="1"/>
  <c r="CZ37" i="60" s="1"/>
  <c r="CZ38" i="60" s="1"/>
  <c r="CZ39" i="60" s="1"/>
  <c r="CZ40" i="60" s="1"/>
  <c r="CZ41" i="60" s="1"/>
  <c r="CZ42" i="60" s="1"/>
  <c r="CZ43" i="60" s="1"/>
  <c r="CZ44" i="60" s="1"/>
  <c r="CZ45" i="60" s="1"/>
  <c r="CZ46" i="60" s="1"/>
  <c r="CZ47" i="60" s="1"/>
  <c r="CZ48" i="60" s="1"/>
  <c r="CZ49" i="60" s="1"/>
  <c r="CZ50" i="60" s="1"/>
  <c r="CZ51" i="60" s="1"/>
  <c r="CZ52" i="60" s="1"/>
  <c r="CZ53" i="60" s="1"/>
  <c r="CZ54" i="60" s="1"/>
  <c r="CZ55" i="60" s="1"/>
  <c r="CZ56" i="60" s="1"/>
  <c r="CZ57" i="60" s="1"/>
  <c r="CZ58" i="60" s="1"/>
  <c r="CZ59" i="60" s="1"/>
  <c r="CZ60" i="60" s="1"/>
  <c r="CZ61" i="60" s="1"/>
  <c r="CZ62" i="60" s="1"/>
  <c r="CZ63" i="60" s="1"/>
  <c r="CZ64" i="60" s="1"/>
  <c r="CZ65" i="60" s="1"/>
  <c r="CZ66" i="60" s="1"/>
  <c r="CZ67" i="60" s="1"/>
  <c r="CZ68" i="60" s="1"/>
  <c r="CZ69" i="60" s="1"/>
  <c r="CZ70" i="60" s="1"/>
  <c r="CZ71" i="60" s="1"/>
  <c r="CZ72" i="60" s="1"/>
  <c r="CZ73" i="60" s="1"/>
  <c r="CZ74" i="60" s="1"/>
  <c r="CZ75" i="60" s="1"/>
  <c r="CZ76" i="60" s="1"/>
  <c r="CZ77" i="60" s="1"/>
  <c r="CZ78" i="60" s="1"/>
  <c r="CZ79" i="60" s="1"/>
  <c r="CZ80" i="60" s="1"/>
  <c r="CZ81" i="60" s="1"/>
  <c r="CZ82" i="60" s="1"/>
  <c r="CZ83" i="60" s="1"/>
  <c r="CZ84" i="60" s="1"/>
  <c r="CZ85" i="60" s="1"/>
  <c r="CY13" i="60"/>
  <c r="CY14" i="60" s="1"/>
  <c r="CY15" i="60" s="1"/>
  <c r="CY16" i="60" s="1"/>
  <c r="CY17" i="60" s="1"/>
  <c r="CY18" i="60" s="1"/>
  <c r="CY19" i="60" s="1"/>
  <c r="CY20" i="60" s="1"/>
  <c r="CY21" i="60" s="1"/>
  <c r="CY22" i="60" s="1"/>
  <c r="CY23" i="60" s="1"/>
  <c r="CY24" i="60" s="1"/>
  <c r="CY25" i="60" s="1"/>
  <c r="CY26" i="60" s="1"/>
  <c r="CY27" i="60" s="1"/>
  <c r="CY28" i="60" s="1"/>
  <c r="CY29" i="60" s="1"/>
  <c r="CY30" i="60" s="1"/>
  <c r="CY31" i="60" s="1"/>
  <c r="CY32" i="60" s="1"/>
  <c r="CY33" i="60" s="1"/>
  <c r="CY34" i="60" s="1"/>
  <c r="CY35" i="60" s="1"/>
  <c r="CY36" i="60" s="1"/>
  <c r="CY37" i="60" s="1"/>
  <c r="CY38" i="60" s="1"/>
  <c r="CY39" i="60" s="1"/>
  <c r="CY40" i="60" s="1"/>
  <c r="CY41" i="60" s="1"/>
  <c r="CY42" i="60" s="1"/>
  <c r="CY43" i="60" s="1"/>
  <c r="CY44" i="60" s="1"/>
  <c r="CY45" i="60" s="1"/>
  <c r="CY46" i="60" s="1"/>
  <c r="CY47" i="60" s="1"/>
  <c r="CY48" i="60" s="1"/>
  <c r="CY49" i="60" s="1"/>
  <c r="CY50" i="60" s="1"/>
  <c r="CY51" i="60" s="1"/>
  <c r="CY52" i="60" s="1"/>
  <c r="CY53" i="60" s="1"/>
  <c r="CY54" i="60" s="1"/>
  <c r="CY55" i="60" s="1"/>
  <c r="CY56" i="60" s="1"/>
  <c r="CY57" i="60" s="1"/>
  <c r="CY58" i="60" s="1"/>
  <c r="CY59" i="60" s="1"/>
  <c r="CY60" i="60" s="1"/>
  <c r="CY61" i="60" s="1"/>
  <c r="CY62" i="60" s="1"/>
  <c r="CY63" i="60" s="1"/>
  <c r="CY64" i="60" s="1"/>
  <c r="CY65" i="60" s="1"/>
  <c r="CY66" i="60" s="1"/>
  <c r="CY67" i="60" s="1"/>
  <c r="CY68" i="60" s="1"/>
  <c r="CY69" i="60" s="1"/>
  <c r="CY70" i="60" s="1"/>
  <c r="CY71" i="60" s="1"/>
  <c r="CY72" i="60" s="1"/>
  <c r="CY73" i="60" s="1"/>
  <c r="CY74" i="60" s="1"/>
  <c r="CY75" i="60" s="1"/>
  <c r="CY76" i="60" s="1"/>
  <c r="CY77" i="60" s="1"/>
  <c r="CY78" i="60" s="1"/>
  <c r="CY79" i="60" s="1"/>
  <c r="CY80" i="60" s="1"/>
  <c r="CY81" i="60" s="1"/>
  <c r="CY82" i="60" s="1"/>
  <c r="CY83" i="60" s="1"/>
  <c r="CY84" i="60" s="1"/>
  <c r="CY85" i="60" s="1"/>
  <c r="CX13" i="60"/>
  <c r="CX14" i="60" s="1"/>
  <c r="CX15" i="60" s="1"/>
  <c r="CX16" i="60" s="1"/>
  <c r="CX17" i="60" s="1"/>
  <c r="CX18" i="60" s="1"/>
  <c r="CX19" i="60" s="1"/>
  <c r="CX20" i="60" s="1"/>
  <c r="CX21" i="60" s="1"/>
  <c r="CX22" i="60" s="1"/>
  <c r="CX23" i="60" s="1"/>
  <c r="CX24" i="60" s="1"/>
  <c r="CX25" i="60" s="1"/>
  <c r="CX26" i="60" s="1"/>
  <c r="CX27" i="60" s="1"/>
  <c r="CX28" i="60" s="1"/>
  <c r="CX29" i="60" s="1"/>
  <c r="CX30" i="60" s="1"/>
  <c r="CX31" i="60" s="1"/>
  <c r="CX32" i="60" s="1"/>
  <c r="CX33" i="60" s="1"/>
  <c r="CX34" i="60" s="1"/>
  <c r="CX35" i="60" s="1"/>
  <c r="CX36" i="60" s="1"/>
  <c r="CX37" i="60" s="1"/>
  <c r="CX38" i="60" s="1"/>
  <c r="CX39" i="60" s="1"/>
  <c r="CX40" i="60" s="1"/>
  <c r="CX41" i="60" s="1"/>
  <c r="CX42" i="60" s="1"/>
  <c r="CX43" i="60" s="1"/>
  <c r="CX44" i="60" s="1"/>
  <c r="CX45" i="60" s="1"/>
  <c r="CX46" i="60" s="1"/>
  <c r="CX47" i="60" s="1"/>
  <c r="CX48" i="60" s="1"/>
  <c r="CX49" i="60" s="1"/>
  <c r="CX50" i="60" s="1"/>
  <c r="CX51" i="60" s="1"/>
  <c r="CX52" i="60" s="1"/>
  <c r="CX53" i="60" s="1"/>
  <c r="CX54" i="60" s="1"/>
  <c r="CX55" i="60" s="1"/>
  <c r="CX56" i="60" s="1"/>
  <c r="CX57" i="60" s="1"/>
  <c r="CX58" i="60" s="1"/>
  <c r="CX59" i="60" s="1"/>
  <c r="CX60" i="60" s="1"/>
  <c r="CX61" i="60" s="1"/>
  <c r="CX62" i="60" s="1"/>
  <c r="CX63" i="60" s="1"/>
  <c r="CX64" i="60" s="1"/>
  <c r="CX65" i="60" s="1"/>
  <c r="CX66" i="60" s="1"/>
  <c r="CX67" i="60" s="1"/>
  <c r="CX68" i="60" s="1"/>
  <c r="CX69" i="60" s="1"/>
  <c r="CX70" i="60" s="1"/>
  <c r="CX71" i="60" s="1"/>
  <c r="CX72" i="60" s="1"/>
  <c r="CX73" i="60" s="1"/>
  <c r="CX74" i="60" s="1"/>
  <c r="CX75" i="60" s="1"/>
  <c r="CX76" i="60" s="1"/>
  <c r="CX77" i="60" s="1"/>
  <c r="CX78" i="60" s="1"/>
  <c r="CX79" i="60" s="1"/>
  <c r="CX80" i="60" s="1"/>
  <c r="CX81" i="60" s="1"/>
  <c r="CX82" i="60" s="1"/>
  <c r="CX83" i="60" s="1"/>
  <c r="CX84" i="60" s="1"/>
  <c r="CX85" i="60" s="1"/>
  <c r="CW13" i="60"/>
  <c r="CW14" i="60"/>
  <c r="CW15" i="60" s="1"/>
  <c r="CW16" i="60" s="1"/>
  <c r="CW17" i="60" s="1"/>
  <c r="CW18" i="60" s="1"/>
  <c r="CW19" i="60" s="1"/>
  <c r="CW20" i="60" s="1"/>
  <c r="CW21" i="60" s="1"/>
  <c r="CW22" i="60" s="1"/>
  <c r="CW23" i="60" s="1"/>
  <c r="CW24" i="60" s="1"/>
  <c r="CW25" i="60" s="1"/>
  <c r="CW26" i="60" s="1"/>
  <c r="CW27" i="60" s="1"/>
  <c r="CW28" i="60" s="1"/>
  <c r="CW29" i="60" s="1"/>
  <c r="CW30" i="60" s="1"/>
  <c r="CW31" i="60" s="1"/>
  <c r="CW32" i="60" s="1"/>
  <c r="CW33" i="60" s="1"/>
  <c r="CW34" i="60" s="1"/>
  <c r="CW35" i="60" s="1"/>
  <c r="CW36" i="60" s="1"/>
  <c r="CW37" i="60" s="1"/>
  <c r="CW38" i="60" s="1"/>
  <c r="CW39" i="60" s="1"/>
  <c r="CW40" i="60" s="1"/>
  <c r="CW41" i="60" s="1"/>
  <c r="CW42" i="60" s="1"/>
  <c r="CW43" i="60" s="1"/>
  <c r="CW44" i="60" s="1"/>
  <c r="CW45" i="60" s="1"/>
  <c r="CW46" i="60" s="1"/>
  <c r="CW47" i="60" s="1"/>
  <c r="CW48" i="60" s="1"/>
  <c r="CW49" i="60" s="1"/>
  <c r="CW50" i="60" s="1"/>
  <c r="CW51" i="60" s="1"/>
  <c r="CW52" i="60" s="1"/>
  <c r="CW53" i="60" s="1"/>
  <c r="CW54" i="60" s="1"/>
  <c r="CW55" i="60" s="1"/>
  <c r="CW56" i="60" s="1"/>
  <c r="CW57" i="60" s="1"/>
  <c r="CW58" i="60" s="1"/>
  <c r="CW59" i="60" s="1"/>
  <c r="CW60" i="60" s="1"/>
  <c r="CW61" i="60" s="1"/>
  <c r="CW62" i="60" s="1"/>
  <c r="CW63" i="60" s="1"/>
  <c r="CW64" i="60" s="1"/>
  <c r="CW65" i="60" s="1"/>
  <c r="CW66" i="60" s="1"/>
  <c r="CW67" i="60" s="1"/>
  <c r="CW68" i="60" s="1"/>
  <c r="CW69" i="60" s="1"/>
  <c r="CW70" i="60" s="1"/>
  <c r="CW71" i="60" s="1"/>
  <c r="CW72" i="60" s="1"/>
  <c r="CW73" i="60" s="1"/>
  <c r="CW74" i="60" s="1"/>
  <c r="CW75" i="60" s="1"/>
  <c r="CW76" i="60" s="1"/>
  <c r="CW77" i="60" s="1"/>
  <c r="CW78" i="60" s="1"/>
  <c r="CW79" i="60" s="1"/>
  <c r="CW80" i="60" s="1"/>
  <c r="CW81" i="60" s="1"/>
  <c r="CW82" i="60" s="1"/>
  <c r="CW83" i="60" s="1"/>
  <c r="CW84" i="60" s="1"/>
  <c r="CW85" i="60" s="1"/>
  <c r="CV13" i="60"/>
  <c r="CV14" i="60"/>
  <c r="CV15" i="60" s="1"/>
  <c r="CV16" i="60" s="1"/>
  <c r="CV17" i="60" s="1"/>
  <c r="CV18" i="60" s="1"/>
  <c r="CV19" i="60" s="1"/>
  <c r="CV20" i="60" s="1"/>
  <c r="CV21" i="60" s="1"/>
  <c r="CV22" i="60" s="1"/>
  <c r="CV23" i="60" s="1"/>
  <c r="CV24" i="60" s="1"/>
  <c r="CV25" i="60" s="1"/>
  <c r="CV26" i="60" s="1"/>
  <c r="CV27" i="60" s="1"/>
  <c r="CV28" i="60" s="1"/>
  <c r="CV29" i="60" s="1"/>
  <c r="CV30" i="60" s="1"/>
  <c r="CV31" i="60" s="1"/>
  <c r="CV32" i="60" s="1"/>
  <c r="CV33" i="60" s="1"/>
  <c r="CV34" i="60" s="1"/>
  <c r="CV35" i="60" s="1"/>
  <c r="CV36" i="60" s="1"/>
  <c r="CV37" i="60" s="1"/>
  <c r="CV38" i="60" s="1"/>
  <c r="CV39" i="60" s="1"/>
  <c r="CV40" i="60" s="1"/>
  <c r="CV41" i="60" s="1"/>
  <c r="CV42" i="60" s="1"/>
  <c r="CV43" i="60" s="1"/>
  <c r="CV44" i="60" s="1"/>
  <c r="CV45" i="60" s="1"/>
  <c r="CV46" i="60" s="1"/>
  <c r="CV47" i="60" s="1"/>
  <c r="CV48" i="60" s="1"/>
  <c r="CV49" i="60" s="1"/>
  <c r="CV50" i="60" s="1"/>
  <c r="CV51" i="60" s="1"/>
  <c r="CV52" i="60" s="1"/>
  <c r="CV53" i="60" s="1"/>
  <c r="CV54" i="60" s="1"/>
  <c r="CV55" i="60" s="1"/>
  <c r="CV56" i="60" s="1"/>
  <c r="CV57" i="60" s="1"/>
  <c r="CV58" i="60" s="1"/>
  <c r="CV59" i="60" s="1"/>
  <c r="CV60" i="60" s="1"/>
  <c r="CV61" i="60" s="1"/>
  <c r="CV62" i="60" s="1"/>
  <c r="CV63" i="60" s="1"/>
  <c r="CV64" i="60" s="1"/>
  <c r="CV65" i="60" s="1"/>
  <c r="CV66" i="60" s="1"/>
  <c r="CV67" i="60" s="1"/>
  <c r="CV68" i="60" s="1"/>
  <c r="CV69" i="60" s="1"/>
  <c r="CV70" i="60" s="1"/>
  <c r="CV71" i="60" s="1"/>
  <c r="CV72" i="60" s="1"/>
  <c r="CV73" i="60" s="1"/>
  <c r="CV74" i="60" s="1"/>
  <c r="CV75" i="60" s="1"/>
  <c r="CV76" i="60" s="1"/>
  <c r="CV77" i="60" s="1"/>
  <c r="CV78" i="60" s="1"/>
  <c r="CV79" i="60" s="1"/>
  <c r="CV80" i="60" s="1"/>
  <c r="CV81" i="60" s="1"/>
  <c r="CV82" i="60" s="1"/>
  <c r="CV83" i="60" s="1"/>
  <c r="CV84" i="60" s="1"/>
  <c r="CV85" i="60" s="1"/>
  <c r="CU13" i="60"/>
  <c r="CU14" i="60"/>
  <c r="CU15" i="60" s="1"/>
  <c r="CU16" i="60" s="1"/>
  <c r="CU17" i="60" s="1"/>
  <c r="CU18" i="60" s="1"/>
  <c r="CU19" i="60" s="1"/>
  <c r="CU20" i="60" s="1"/>
  <c r="CU21" i="60" s="1"/>
  <c r="CU22" i="60" s="1"/>
  <c r="CU23" i="60" s="1"/>
  <c r="CU24" i="60" s="1"/>
  <c r="CU25" i="60" s="1"/>
  <c r="CU26" i="60" s="1"/>
  <c r="CU27" i="60" s="1"/>
  <c r="CU28" i="60" s="1"/>
  <c r="CU29" i="60" s="1"/>
  <c r="CU30" i="60" s="1"/>
  <c r="CU31" i="60" s="1"/>
  <c r="CU32" i="60" s="1"/>
  <c r="CU33" i="60" s="1"/>
  <c r="CU34" i="60" s="1"/>
  <c r="CU35" i="60" s="1"/>
  <c r="CU36" i="60" s="1"/>
  <c r="CU37" i="60" s="1"/>
  <c r="CU38" i="60" s="1"/>
  <c r="CU39" i="60" s="1"/>
  <c r="CU40" i="60" s="1"/>
  <c r="CU41" i="60" s="1"/>
  <c r="CU42" i="60" s="1"/>
  <c r="CU43" i="60" s="1"/>
  <c r="CU44" i="60" s="1"/>
  <c r="CU45" i="60" s="1"/>
  <c r="CU46" i="60" s="1"/>
  <c r="CU47" i="60" s="1"/>
  <c r="CU48" i="60" s="1"/>
  <c r="CU49" i="60" s="1"/>
  <c r="CU50" i="60" s="1"/>
  <c r="CU51" i="60" s="1"/>
  <c r="CU52" i="60" s="1"/>
  <c r="CU53" i="60" s="1"/>
  <c r="CU54" i="60" s="1"/>
  <c r="CU55" i="60" s="1"/>
  <c r="CU56" i="60" s="1"/>
  <c r="CU57" i="60" s="1"/>
  <c r="CU58" i="60" s="1"/>
  <c r="CU59" i="60" s="1"/>
  <c r="CU60" i="60" s="1"/>
  <c r="CU61" i="60" s="1"/>
  <c r="CU62" i="60" s="1"/>
  <c r="CU63" i="60" s="1"/>
  <c r="CU64" i="60" s="1"/>
  <c r="CU65" i="60" s="1"/>
  <c r="CU66" i="60" s="1"/>
  <c r="CU67" i="60" s="1"/>
  <c r="CU68" i="60" s="1"/>
  <c r="CU69" i="60" s="1"/>
  <c r="CU70" i="60" s="1"/>
  <c r="CU71" i="60" s="1"/>
  <c r="CU72" i="60" s="1"/>
  <c r="CU73" i="60" s="1"/>
  <c r="CU74" i="60" s="1"/>
  <c r="CU75" i="60" s="1"/>
  <c r="CU76" i="60" s="1"/>
  <c r="CU77" i="60" s="1"/>
  <c r="CU78" i="60" s="1"/>
  <c r="CU79" i="60" s="1"/>
  <c r="CU80" i="60" s="1"/>
  <c r="CU81" i="60" s="1"/>
  <c r="CU82" i="60" s="1"/>
  <c r="CU83" i="60" s="1"/>
  <c r="CU84" i="60" s="1"/>
  <c r="CU85" i="60" s="1"/>
  <c r="CT13" i="60"/>
  <c r="CT14" i="60"/>
  <c r="CT15" i="60" s="1"/>
  <c r="CT16" i="60" s="1"/>
  <c r="CT17" i="60" s="1"/>
  <c r="CT18" i="60" s="1"/>
  <c r="CT19" i="60" s="1"/>
  <c r="CT20" i="60" s="1"/>
  <c r="CT21" i="60" s="1"/>
  <c r="CT22" i="60" s="1"/>
  <c r="CT23" i="60" s="1"/>
  <c r="CT24" i="60" s="1"/>
  <c r="CT25" i="60" s="1"/>
  <c r="CT26" i="60" s="1"/>
  <c r="CT27" i="60" s="1"/>
  <c r="CT28" i="60" s="1"/>
  <c r="CT29" i="60" s="1"/>
  <c r="CT30" i="60" s="1"/>
  <c r="CT31" i="60" s="1"/>
  <c r="CT32" i="60" s="1"/>
  <c r="CT33" i="60" s="1"/>
  <c r="CT34" i="60" s="1"/>
  <c r="CT35" i="60" s="1"/>
  <c r="CT36" i="60" s="1"/>
  <c r="CT37" i="60" s="1"/>
  <c r="CT38" i="60" s="1"/>
  <c r="CT39" i="60" s="1"/>
  <c r="CT40" i="60" s="1"/>
  <c r="CT41" i="60" s="1"/>
  <c r="CT42" i="60" s="1"/>
  <c r="CT43" i="60" s="1"/>
  <c r="CT44" i="60" s="1"/>
  <c r="CT45" i="60" s="1"/>
  <c r="CT46" i="60" s="1"/>
  <c r="CT47" i="60" s="1"/>
  <c r="CT48" i="60" s="1"/>
  <c r="CT49" i="60" s="1"/>
  <c r="CT50" i="60" s="1"/>
  <c r="CT51" i="60" s="1"/>
  <c r="CT52" i="60" s="1"/>
  <c r="CT53" i="60" s="1"/>
  <c r="CT54" i="60" s="1"/>
  <c r="CT55" i="60" s="1"/>
  <c r="CT56" i="60" s="1"/>
  <c r="CT57" i="60" s="1"/>
  <c r="CT58" i="60" s="1"/>
  <c r="CT59" i="60" s="1"/>
  <c r="CT60" i="60" s="1"/>
  <c r="CT61" i="60" s="1"/>
  <c r="CT62" i="60" s="1"/>
  <c r="CT63" i="60" s="1"/>
  <c r="CT64" i="60" s="1"/>
  <c r="CT65" i="60" s="1"/>
  <c r="CT66" i="60" s="1"/>
  <c r="CT67" i="60" s="1"/>
  <c r="CT68" i="60" s="1"/>
  <c r="CT69" i="60" s="1"/>
  <c r="CT70" i="60" s="1"/>
  <c r="CT71" i="60" s="1"/>
  <c r="CT72" i="60" s="1"/>
  <c r="CT73" i="60" s="1"/>
  <c r="CT74" i="60" s="1"/>
  <c r="CT75" i="60" s="1"/>
  <c r="CT76" i="60" s="1"/>
  <c r="CT77" i="60" s="1"/>
  <c r="CT78" i="60" s="1"/>
  <c r="CT79" i="60" s="1"/>
  <c r="CT80" i="60" s="1"/>
  <c r="CT81" i="60" s="1"/>
  <c r="CT82" i="60" s="1"/>
  <c r="CT83" i="60" s="1"/>
  <c r="CT84" i="60" s="1"/>
  <c r="CT85" i="60" s="1"/>
  <c r="CS13" i="60"/>
  <c r="CS14" i="60" s="1"/>
  <c r="CS15" i="60" s="1"/>
  <c r="CS16" i="60" s="1"/>
  <c r="CS17" i="60" s="1"/>
  <c r="CS18" i="60" s="1"/>
  <c r="CS19" i="60" s="1"/>
  <c r="CS20" i="60" s="1"/>
  <c r="CS21" i="60" s="1"/>
  <c r="CS22" i="60" s="1"/>
  <c r="CS23" i="60" s="1"/>
  <c r="CS24" i="60" s="1"/>
  <c r="CS25" i="60" s="1"/>
  <c r="CS26" i="60" s="1"/>
  <c r="CS27" i="60" s="1"/>
  <c r="CS28" i="60" s="1"/>
  <c r="CS29" i="60" s="1"/>
  <c r="CS30" i="60" s="1"/>
  <c r="CS31" i="60" s="1"/>
  <c r="CS32" i="60" s="1"/>
  <c r="CS33" i="60" s="1"/>
  <c r="CS34" i="60" s="1"/>
  <c r="CS35" i="60" s="1"/>
  <c r="CS36" i="60" s="1"/>
  <c r="CS37" i="60" s="1"/>
  <c r="CS38" i="60" s="1"/>
  <c r="CS39" i="60" s="1"/>
  <c r="CS40" i="60" s="1"/>
  <c r="CS41" i="60" s="1"/>
  <c r="CS42" i="60" s="1"/>
  <c r="CS43" i="60" s="1"/>
  <c r="CS44" i="60" s="1"/>
  <c r="CS45" i="60" s="1"/>
  <c r="CS46" i="60" s="1"/>
  <c r="CS47" i="60" s="1"/>
  <c r="CS48" i="60" s="1"/>
  <c r="CS49" i="60" s="1"/>
  <c r="CS50" i="60" s="1"/>
  <c r="CS51" i="60" s="1"/>
  <c r="CS52" i="60" s="1"/>
  <c r="CS53" i="60" s="1"/>
  <c r="CS54" i="60" s="1"/>
  <c r="CS55" i="60" s="1"/>
  <c r="CS56" i="60" s="1"/>
  <c r="CS57" i="60" s="1"/>
  <c r="CS58" i="60" s="1"/>
  <c r="CS59" i="60" s="1"/>
  <c r="CS60" i="60" s="1"/>
  <c r="CS61" i="60" s="1"/>
  <c r="CS62" i="60" s="1"/>
  <c r="CS63" i="60" s="1"/>
  <c r="CS64" i="60" s="1"/>
  <c r="CS65" i="60" s="1"/>
  <c r="CS66" i="60" s="1"/>
  <c r="CS67" i="60" s="1"/>
  <c r="CS68" i="60" s="1"/>
  <c r="CS69" i="60" s="1"/>
  <c r="CS70" i="60" s="1"/>
  <c r="CS71" i="60" s="1"/>
  <c r="CS72" i="60" s="1"/>
  <c r="CS73" i="60" s="1"/>
  <c r="CS74" i="60" s="1"/>
  <c r="CS75" i="60" s="1"/>
  <c r="CS76" i="60" s="1"/>
  <c r="CS77" i="60" s="1"/>
  <c r="CS78" i="60" s="1"/>
  <c r="CS79" i="60" s="1"/>
  <c r="CS80" i="60" s="1"/>
  <c r="CS81" i="60" s="1"/>
  <c r="CS82" i="60" s="1"/>
  <c r="CS83" i="60" s="1"/>
  <c r="CS84" i="60" s="1"/>
  <c r="CS85" i="60" s="1"/>
  <c r="CR13" i="60"/>
  <c r="CR14" i="60"/>
  <c r="CR15" i="60" s="1"/>
  <c r="CR16" i="60" s="1"/>
  <c r="CR17" i="60" s="1"/>
  <c r="CR18" i="60" s="1"/>
  <c r="CR19" i="60" s="1"/>
  <c r="CR20" i="60" s="1"/>
  <c r="CR21" i="60" s="1"/>
  <c r="CR22" i="60" s="1"/>
  <c r="CR23" i="60" s="1"/>
  <c r="CR24" i="60" s="1"/>
  <c r="CR25" i="60" s="1"/>
  <c r="CR26" i="60" s="1"/>
  <c r="CR27" i="60" s="1"/>
  <c r="CR28" i="60" s="1"/>
  <c r="CR29" i="60" s="1"/>
  <c r="CR30" i="60" s="1"/>
  <c r="CR31" i="60" s="1"/>
  <c r="CR32" i="60" s="1"/>
  <c r="CR33" i="60" s="1"/>
  <c r="CR34" i="60" s="1"/>
  <c r="CR35" i="60" s="1"/>
  <c r="CR36" i="60" s="1"/>
  <c r="CR37" i="60" s="1"/>
  <c r="CR38" i="60" s="1"/>
  <c r="CR39" i="60" s="1"/>
  <c r="CR40" i="60" s="1"/>
  <c r="CR41" i="60" s="1"/>
  <c r="CR42" i="60" s="1"/>
  <c r="CR43" i="60" s="1"/>
  <c r="CR44" i="60" s="1"/>
  <c r="CR45" i="60" s="1"/>
  <c r="CR46" i="60" s="1"/>
  <c r="CR47" i="60" s="1"/>
  <c r="CR48" i="60" s="1"/>
  <c r="CR49" i="60" s="1"/>
  <c r="CR50" i="60" s="1"/>
  <c r="CR51" i="60" s="1"/>
  <c r="CR52" i="60" s="1"/>
  <c r="CR53" i="60" s="1"/>
  <c r="CR54" i="60" s="1"/>
  <c r="CR55" i="60" s="1"/>
  <c r="CR56" i="60" s="1"/>
  <c r="CR57" i="60" s="1"/>
  <c r="CR58" i="60" s="1"/>
  <c r="CR59" i="60" s="1"/>
  <c r="CR60" i="60" s="1"/>
  <c r="CR61" i="60" s="1"/>
  <c r="CR62" i="60" s="1"/>
  <c r="CR63" i="60" s="1"/>
  <c r="CR64" i="60" s="1"/>
  <c r="CR65" i="60" s="1"/>
  <c r="CR66" i="60" s="1"/>
  <c r="CR67" i="60" s="1"/>
  <c r="CR68" i="60" s="1"/>
  <c r="CR69" i="60" s="1"/>
  <c r="CR70" i="60" s="1"/>
  <c r="CR71" i="60" s="1"/>
  <c r="CR72" i="60" s="1"/>
  <c r="CR73" i="60" s="1"/>
  <c r="CR74" i="60" s="1"/>
  <c r="CR75" i="60" s="1"/>
  <c r="CR76" i="60" s="1"/>
  <c r="CR77" i="60" s="1"/>
  <c r="CR78" i="60" s="1"/>
  <c r="CR79" i="60" s="1"/>
  <c r="CR80" i="60" s="1"/>
  <c r="CR81" i="60" s="1"/>
  <c r="CR82" i="60" s="1"/>
  <c r="CR83" i="60" s="1"/>
  <c r="CR84" i="60" s="1"/>
  <c r="CR85" i="60" s="1"/>
  <c r="CQ13" i="60"/>
  <c r="CQ14" i="60" s="1"/>
  <c r="CQ15" i="60" s="1"/>
  <c r="CQ16" i="60" s="1"/>
  <c r="CQ17" i="60" s="1"/>
  <c r="CQ18" i="60" s="1"/>
  <c r="CQ19" i="60" s="1"/>
  <c r="CQ20" i="60" s="1"/>
  <c r="CQ21" i="60" s="1"/>
  <c r="CQ22" i="60" s="1"/>
  <c r="CQ23" i="60" s="1"/>
  <c r="CQ24" i="60" s="1"/>
  <c r="CQ25" i="60" s="1"/>
  <c r="CQ26" i="60" s="1"/>
  <c r="CQ27" i="60" s="1"/>
  <c r="CQ28" i="60" s="1"/>
  <c r="CQ29" i="60" s="1"/>
  <c r="CQ30" i="60" s="1"/>
  <c r="CQ31" i="60" s="1"/>
  <c r="CQ32" i="60" s="1"/>
  <c r="CQ33" i="60" s="1"/>
  <c r="CQ34" i="60" s="1"/>
  <c r="CQ35" i="60" s="1"/>
  <c r="CQ36" i="60" s="1"/>
  <c r="CQ37" i="60" s="1"/>
  <c r="CQ38" i="60" s="1"/>
  <c r="CQ39" i="60" s="1"/>
  <c r="CQ40" i="60" s="1"/>
  <c r="CQ41" i="60" s="1"/>
  <c r="CQ42" i="60" s="1"/>
  <c r="CQ43" i="60" s="1"/>
  <c r="CQ44" i="60" s="1"/>
  <c r="CQ45" i="60" s="1"/>
  <c r="CQ46" i="60" s="1"/>
  <c r="CQ47" i="60" s="1"/>
  <c r="CQ48" i="60" s="1"/>
  <c r="CQ49" i="60" s="1"/>
  <c r="CQ50" i="60" s="1"/>
  <c r="CQ51" i="60" s="1"/>
  <c r="CQ52" i="60" s="1"/>
  <c r="CQ53" i="60" s="1"/>
  <c r="CQ54" i="60" s="1"/>
  <c r="CQ55" i="60" s="1"/>
  <c r="CQ56" i="60" s="1"/>
  <c r="CQ57" i="60" s="1"/>
  <c r="CQ58" i="60" s="1"/>
  <c r="CQ59" i="60" s="1"/>
  <c r="CQ60" i="60" s="1"/>
  <c r="CQ61" i="60" s="1"/>
  <c r="CQ62" i="60" s="1"/>
  <c r="CQ63" i="60" s="1"/>
  <c r="CQ64" i="60" s="1"/>
  <c r="CQ65" i="60" s="1"/>
  <c r="CQ66" i="60" s="1"/>
  <c r="CQ67" i="60" s="1"/>
  <c r="CQ68" i="60" s="1"/>
  <c r="CQ69" i="60" s="1"/>
  <c r="CQ70" i="60" s="1"/>
  <c r="CQ71" i="60" s="1"/>
  <c r="CQ72" i="60" s="1"/>
  <c r="CQ73" i="60" s="1"/>
  <c r="CQ74" i="60" s="1"/>
  <c r="CQ75" i="60" s="1"/>
  <c r="CQ76" i="60" s="1"/>
  <c r="CQ77" i="60" s="1"/>
  <c r="CQ78" i="60" s="1"/>
  <c r="CQ79" i="60" s="1"/>
  <c r="CQ80" i="60" s="1"/>
  <c r="CQ81" i="60" s="1"/>
  <c r="CQ82" i="60" s="1"/>
  <c r="CQ83" i="60" s="1"/>
  <c r="CQ84" i="60" s="1"/>
  <c r="CQ85" i="60" s="1"/>
  <c r="CP13" i="60"/>
  <c r="CP14" i="60" s="1"/>
  <c r="CP15" i="60" s="1"/>
  <c r="CP16" i="60" s="1"/>
  <c r="CP17" i="60" s="1"/>
  <c r="CP18" i="60" s="1"/>
  <c r="CP19" i="60" s="1"/>
  <c r="CP20" i="60" s="1"/>
  <c r="CP21" i="60" s="1"/>
  <c r="CP22" i="60" s="1"/>
  <c r="CP23" i="60" s="1"/>
  <c r="CP24" i="60" s="1"/>
  <c r="CP25" i="60" s="1"/>
  <c r="CP26" i="60" s="1"/>
  <c r="CP27" i="60" s="1"/>
  <c r="CP28" i="60" s="1"/>
  <c r="CP29" i="60" s="1"/>
  <c r="CP30" i="60" s="1"/>
  <c r="CP31" i="60" s="1"/>
  <c r="CP32" i="60" s="1"/>
  <c r="CP33" i="60" s="1"/>
  <c r="CP34" i="60" s="1"/>
  <c r="CP35" i="60" s="1"/>
  <c r="CP36" i="60" s="1"/>
  <c r="CP37" i="60" s="1"/>
  <c r="CP38" i="60" s="1"/>
  <c r="CP39" i="60" s="1"/>
  <c r="CP40" i="60" s="1"/>
  <c r="CP41" i="60" s="1"/>
  <c r="CP42" i="60" s="1"/>
  <c r="CP43" i="60" s="1"/>
  <c r="CP44" i="60" s="1"/>
  <c r="CP45" i="60" s="1"/>
  <c r="CP46" i="60" s="1"/>
  <c r="CP47" i="60" s="1"/>
  <c r="CP48" i="60" s="1"/>
  <c r="CP49" i="60" s="1"/>
  <c r="CP50" i="60" s="1"/>
  <c r="CP51" i="60" s="1"/>
  <c r="CP52" i="60" s="1"/>
  <c r="CP53" i="60" s="1"/>
  <c r="CP54" i="60" s="1"/>
  <c r="CP55" i="60" s="1"/>
  <c r="CP56" i="60" s="1"/>
  <c r="CP57" i="60" s="1"/>
  <c r="CP58" i="60" s="1"/>
  <c r="CP59" i="60" s="1"/>
  <c r="CP60" i="60" s="1"/>
  <c r="CP61" i="60" s="1"/>
  <c r="CP62" i="60" s="1"/>
  <c r="CP63" i="60" s="1"/>
  <c r="CP64" i="60" s="1"/>
  <c r="CP65" i="60" s="1"/>
  <c r="CP66" i="60" s="1"/>
  <c r="CP67" i="60" s="1"/>
  <c r="CP68" i="60" s="1"/>
  <c r="CP69" i="60" s="1"/>
  <c r="CP70" i="60" s="1"/>
  <c r="CP71" i="60" s="1"/>
  <c r="CP72" i="60" s="1"/>
  <c r="CP73" i="60" s="1"/>
  <c r="CP74" i="60" s="1"/>
  <c r="CP75" i="60" s="1"/>
  <c r="CP76" i="60" s="1"/>
  <c r="CP77" i="60" s="1"/>
  <c r="CP78" i="60" s="1"/>
  <c r="CP79" i="60" s="1"/>
  <c r="CP80" i="60" s="1"/>
  <c r="CP81" i="60" s="1"/>
  <c r="CP82" i="60" s="1"/>
  <c r="CP83" i="60" s="1"/>
  <c r="CP84" i="60" s="1"/>
  <c r="CP85" i="60" s="1"/>
  <c r="CO13" i="60"/>
  <c r="CO14" i="60" s="1"/>
  <c r="CO15" i="60" s="1"/>
  <c r="CO16" i="60" s="1"/>
  <c r="CO17" i="60" s="1"/>
  <c r="CO18" i="60" s="1"/>
  <c r="CO19" i="60" s="1"/>
  <c r="CO20" i="60" s="1"/>
  <c r="CO21" i="60" s="1"/>
  <c r="CO22" i="60" s="1"/>
  <c r="CO23" i="60" s="1"/>
  <c r="CO24" i="60" s="1"/>
  <c r="CO25" i="60" s="1"/>
  <c r="CO26" i="60" s="1"/>
  <c r="CO27" i="60" s="1"/>
  <c r="CO28" i="60" s="1"/>
  <c r="CO29" i="60" s="1"/>
  <c r="CO30" i="60" s="1"/>
  <c r="CO31" i="60" s="1"/>
  <c r="CO32" i="60" s="1"/>
  <c r="CO33" i="60" s="1"/>
  <c r="CO34" i="60" s="1"/>
  <c r="CO35" i="60" s="1"/>
  <c r="CO36" i="60" s="1"/>
  <c r="CO37" i="60" s="1"/>
  <c r="CO38" i="60" s="1"/>
  <c r="CO39" i="60" s="1"/>
  <c r="CO40" i="60" s="1"/>
  <c r="CO41" i="60" s="1"/>
  <c r="CO42" i="60" s="1"/>
  <c r="CO43" i="60" s="1"/>
  <c r="CO44" i="60" s="1"/>
  <c r="CO45" i="60" s="1"/>
  <c r="CO46" i="60" s="1"/>
  <c r="CO47" i="60" s="1"/>
  <c r="CO48" i="60" s="1"/>
  <c r="CO49" i="60" s="1"/>
  <c r="CO50" i="60" s="1"/>
  <c r="CO51" i="60" s="1"/>
  <c r="CO52" i="60" s="1"/>
  <c r="CO53" i="60" s="1"/>
  <c r="CO54" i="60" s="1"/>
  <c r="CO55" i="60" s="1"/>
  <c r="CO56" i="60" s="1"/>
  <c r="CO57" i="60" s="1"/>
  <c r="CO58" i="60" s="1"/>
  <c r="CO59" i="60" s="1"/>
  <c r="CO60" i="60" s="1"/>
  <c r="CO61" i="60" s="1"/>
  <c r="CO62" i="60" s="1"/>
  <c r="CO63" i="60" s="1"/>
  <c r="CO64" i="60" s="1"/>
  <c r="CO65" i="60" s="1"/>
  <c r="CO66" i="60" s="1"/>
  <c r="CO67" i="60" s="1"/>
  <c r="CO68" i="60" s="1"/>
  <c r="CO69" i="60" s="1"/>
  <c r="CO70" i="60" s="1"/>
  <c r="CO71" i="60" s="1"/>
  <c r="CO72" i="60" s="1"/>
  <c r="CO73" i="60" s="1"/>
  <c r="CO74" i="60" s="1"/>
  <c r="CO75" i="60" s="1"/>
  <c r="CO76" i="60" s="1"/>
  <c r="CO77" i="60" s="1"/>
  <c r="CO78" i="60" s="1"/>
  <c r="CO79" i="60" s="1"/>
  <c r="CO80" i="60" s="1"/>
  <c r="CO81" i="60" s="1"/>
  <c r="CO82" i="60" s="1"/>
  <c r="CO83" i="60" s="1"/>
  <c r="CO84" i="60" s="1"/>
  <c r="CO85" i="60" s="1"/>
  <c r="CN13" i="60"/>
  <c r="CN14" i="60" s="1"/>
  <c r="CN15" i="60" s="1"/>
  <c r="CN16" i="60" s="1"/>
  <c r="CN17" i="60" s="1"/>
  <c r="CN18" i="60" s="1"/>
  <c r="CN19" i="60" s="1"/>
  <c r="CN20" i="60" s="1"/>
  <c r="CN21" i="60" s="1"/>
  <c r="CN22" i="60" s="1"/>
  <c r="CN23" i="60" s="1"/>
  <c r="CN24" i="60" s="1"/>
  <c r="CN25" i="60" s="1"/>
  <c r="CN26" i="60" s="1"/>
  <c r="CN27" i="60" s="1"/>
  <c r="CN28" i="60" s="1"/>
  <c r="CN29" i="60" s="1"/>
  <c r="CN30" i="60" s="1"/>
  <c r="CN31" i="60" s="1"/>
  <c r="CN32" i="60" s="1"/>
  <c r="CN33" i="60" s="1"/>
  <c r="CN34" i="60" s="1"/>
  <c r="CN35" i="60" s="1"/>
  <c r="CN36" i="60" s="1"/>
  <c r="CN37" i="60" s="1"/>
  <c r="CN38" i="60" s="1"/>
  <c r="CN39" i="60" s="1"/>
  <c r="CN40" i="60" s="1"/>
  <c r="CN41" i="60" s="1"/>
  <c r="CN42" i="60" s="1"/>
  <c r="CN43" i="60" s="1"/>
  <c r="CN44" i="60" s="1"/>
  <c r="CN45" i="60" s="1"/>
  <c r="CN46" i="60" s="1"/>
  <c r="CN47" i="60" s="1"/>
  <c r="CN48" i="60" s="1"/>
  <c r="CN49" i="60" s="1"/>
  <c r="CN50" i="60" s="1"/>
  <c r="CN51" i="60" s="1"/>
  <c r="CN52" i="60" s="1"/>
  <c r="CN53" i="60" s="1"/>
  <c r="CN54" i="60" s="1"/>
  <c r="CN55" i="60" s="1"/>
  <c r="CN56" i="60" s="1"/>
  <c r="CN57" i="60" s="1"/>
  <c r="CN58" i="60" s="1"/>
  <c r="CN59" i="60" s="1"/>
  <c r="CN60" i="60" s="1"/>
  <c r="CN61" i="60" s="1"/>
  <c r="CN62" i="60" s="1"/>
  <c r="CN63" i="60" s="1"/>
  <c r="CN64" i="60" s="1"/>
  <c r="CN65" i="60" s="1"/>
  <c r="CN66" i="60" s="1"/>
  <c r="CN67" i="60" s="1"/>
  <c r="CN68" i="60" s="1"/>
  <c r="CN69" i="60" s="1"/>
  <c r="CN70" i="60" s="1"/>
  <c r="CN71" i="60" s="1"/>
  <c r="CN72" i="60" s="1"/>
  <c r="CN73" i="60" s="1"/>
  <c r="CN74" i="60" s="1"/>
  <c r="CN75" i="60" s="1"/>
  <c r="CN76" i="60" s="1"/>
  <c r="CN77" i="60" s="1"/>
  <c r="CN78" i="60" s="1"/>
  <c r="CN79" i="60" s="1"/>
  <c r="CN80" i="60" s="1"/>
  <c r="CN81" i="60" s="1"/>
  <c r="CN82" i="60" s="1"/>
  <c r="CN83" i="60" s="1"/>
  <c r="CN84" i="60" s="1"/>
  <c r="CN85" i="60" s="1"/>
  <c r="D310" i="50"/>
  <c r="N302" i="50"/>
  <c r="M302" i="50"/>
  <c r="L302" i="50"/>
  <c r="K302" i="50"/>
  <c r="J302" i="50"/>
  <c r="I302" i="50"/>
  <c r="E300" i="50"/>
  <c r="S298" i="50"/>
  <c r="E298" i="50"/>
  <c r="E308" i="50" s="1"/>
  <c r="E297" i="50"/>
  <c r="E307" i="50" s="1"/>
  <c r="S296" i="50"/>
  <c r="E296" i="50"/>
  <c r="E306" i="50" s="1"/>
  <c r="S295" i="50"/>
  <c r="E295" i="50"/>
  <c r="E305" i="50" s="1"/>
  <c r="S294" i="50"/>
  <c r="E294" i="50"/>
  <c r="E304" i="50" s="1"/>
  <c r="S293" i="50"/>
  <c r="E293" i="50"/>
  <c r="E303" i="50"/>
  <c r="J292" i="50"/>
  <c r="I292" i="50"/>
  <c r="H302" i="50" s="1"/>
  <c r="H292" i="50"/>
  <c r="E292" i="50"/>
  <c r="E302" i="50" s="1"/>
  <c r="E290" i="50"/>
  <c r="D288" i="50"/>
  <c r="I286" i="50"/>
  <c r="E286" i="50"/>
  <c r="S285" i="50"/>
  <c r="E285" i="50"/>
  <c r="E284" i="50"/>
  <c r="E279" i="50"/>
  <c r="E277" i="50"/>
  <c r="F275" i="50"/>
  <c r="F273" i="50"/>
  <c r="F271" i="50"/>
  <c r="E269" i="50"/>
  <c r="F267" i="50"/>
  <c r="E265" i="50"/>
  <c r="E263" i="50"/>
  <c r="D261" i="50"/>
  <c r="E257" i="50"/>
  <c r="E256" i="50"/>
  <c r="E255" i="50"/>
  <c r="X5" i="60"/>
  <c r="T5" i="60"/>
  <c r="S5" i="60"/>
  <c r="R5" i="60"/>
  <c r="Q5" i="60"/>
  <c r="P5" i="60"/>
  <c r="O5" i="60"/>
  <c r="N5" i="60"/>
  <c r="Y5" i="60"/>
  <c r="W5" i="60"/>
  <c r="Q187" i="50"/>
  <c r="Q253" i="50" s="1"/>
  <c r="D244" i="50"/>
  <c r="N236" i="50"/>
  <c r="M236" i="50"/>
  <c r="L236" i="50"/>
  <c r="K236" i="50"/>
  <c r="J236" i="50"/>
  <c r="I236" i="50"/>
  <c r="E234" i="50"/>
  <c r="E232" i="50"/>
  <c r="E242" i="50" s="1"/>
  <c r="E231" i="50"/>
  <c r="E241" i="50" s="1"/>
  <c r="E230" i="50"/>
  <c r="E240" i="50"/>
  <c r="E229" i="50"/>
  <c r="E239" i="50" s="1"/>
  <c r="E228" i="50"/>
  <c r="E238" i="50"/>
  <c r="E227" i="50"/>
  <c r="E237" i="50" s="1"/>
  <c r="J226" i="50"/>
  <c r="I226" i="50"/>
  <c r="H236" i="50" s="1"/>
  <c r="H226" i="50"/>
  <c r="E226" i="50"/>
  <c r="E236" i="50"/>
  <c r="E224" i="50"/>
  <c r="D222" i="50"/>
  <c r="I220" i="50"/>
  <c r="E220" i="50"/>
  <c r="S219" i="50"/>
  <c r="E219" i="50"/>
  <c r="E218" i="50"/>
  <c r="E213" i="50"/>
  <c r="E211" i="50"/>
  <c r="F209" i="50"/>
  <c r="F207" i="50"/>
  <c r="F205" i="50"/>
  <c r="E203" i="50"/>
  <c r="F201" i="50"/>
  <c r="E199" i="50"/>
  <c r="E197" i="50"/>
  <c r="D195" i="50"/>
  <c r="E191" i="50"/>
  <c r="E190" i="50"/>
  <c r="E189" i="50"/>
  <c r="I286" i="52"/>
  <c r="H286" i="52"/>
  <c r="I281" i="52"/>
  <c r="P281" i="52"/>
  <c r="H281" i="52"/>
  <c r="I292" i="52"/>
  <c r="H292" i="52"/>
  <c r="L291" i="52"/>
  <c r="I291" i="52"/>
  <c r="H291" i="52"/>
  <c r="L290" i="52"/>
  <c r="I290" i="52"/>
  <c r="H290" i="52"/>
  <c r="Z204" i="38"/>
  <c r="Z203" i="38"/>
  <c r="Z202" i="38"/>
  <c r="Z201" i="38"/>
  <c r="Z200" i="38"/>
  <c r="Z199" i="38"/>
  <c r="Z198" i="38"/>
  <c r="AB84" i="38"/>
  <c r="J147" i="50"/>
  <c r="E219" i="43"/>
  <c r="E218" i="43"/>
  <c r="E217" i="43"/>
  <c r="E216" i="43"/>
  <c r="E213" i="43"/>
  <c r="E212" i="43"/>
  <c r="E211" i="43"/>
  <c r="E210" i="43"/>
  <c r="Z62" i="38"/>
  <c r="V62" i="38"/>
  <c r="W62" i="38" s="1"/>
  <c r="U62" i="38"/>
  <c r="N62" i="38"/>
  <c r="Z61" i="38"/>
  <c r="V61" i="38"/>
  <c r="W61" i="38" s="1"/>
  <c r="U61" i="38"/>
  <c r="N61" i="38"/>
  <c r="E270" i="44"/>
  <c r="E269" i="44"/>
  <c r="E268" i="44"/>
  <c r="E267" i="44"/>
  <c r="E264" i="44"/>
  <c r="E263" i="44"/>
  <c r="E262" i="44"/>
  <c r="E261" i="44"/>
  <c r="E256" i="44"/>
  <c r="E255" i="44"/>
  <c r="E254" i="44"/>
  <c r="E253" i="44"/>
  <c r="E250" i="44"/>
  <c r="E249" i="44"/>
  <c r="E248" i="44"/>
  <c r="E247" i="44"/>
  <c r="B820" i="52"/>
  <c r="E820" i="52" s="1"/>
  <c r="B819" i="52"/>
  <c r="E819" i="52" s="1"/>
  <c r="B818" i="52"/>
  <c r="E818" i="52" s="1"/>
  <c r="B817" i="52"/>
  <c r="E817" i="52" s="1"/>
  <c r="L781" i="52"/>
  <c r="I781" i="52"/>
  <c r="H781" i="52"/>
  <c r="P752" i="52"/>
  <c r="P751" i="52"/>
  <c r="P750" i="52"/>
  <c r="P749" i="52"/>
  <c r="P741" i="52"/>
  <c r="P740" i="52"/>
  <c r="P739" i="52"/>
  <c r="P738" i="52"/>
  <c r="P734" i="52"/>
  <c r="P733" i="52"/>
  <c r="P732" i="52"/>
  <c r="P731" i="52"/>
  <c r="P730" i="52"/>
  <c r="P729" i="52"/>
  <c r="P727" i="52"/>
  <c r="P726" i="52"/>
  <c r="P724" i="52"/>
  <c r="P723" i="52"/>
  <c r="P722" i="52"/>
  <c r="P721" i="52"/>
  <c r="P718" i="52"/>
  <c r="P717" i="52"/>
  <c r="P716" i="52"/>
  <c r="P715" i="52"/>
  <c r="P713" i="52"/>
  <c r="P712" i="52"/>
  <c r="P711" i="52"/>
  <c r="P710" i="52"/>
  <c r="P630" i="52"/>
  <c r="P627" i="52"/>
  <c r="P626" i="52"/>
  <c r="Z696" i="52"/>
  <c r="P696" i="52"/>
  <c r="K696" i="52"/>
  <c r="G696" i="52"/>
  <c r="F696" i="52"/>
  <c r="E696" i="52"/>
  <c r="D696" i="52"/>
  <c r="C696" i="52"/>
  <c r="P625" i="52"/>
  <c r="Z624" i="52"/>
  <c r="P624" i="52"/>
  <c r="K624" i="52"/>
  <c r="G624" i="52"/>
  <c r="F624" i="52"/>
  <c r="E624" i="52"/>
  <c r="D624" i="52"/>
  <c r="C624" i="52"/>
  <c r="P553" i="52"/>
  <c r="Z552" i="52"/>
  <c r="P552" i="52"/>
  <c r="K552" i="52"/>
  <c r="G552" i="52"/>
  <c r="F552" i="52"/>
  <c r="E552" i="52"/>
  <c r="D552" i="52"/>
  <c r="C552" i="52"/>
  <c r="Z480" i="52"/>
  <c r="P480" i="52"/>
  <c r="K480" i="52"/>
  <c r="G480" i="52"/>
  <c r="F480" i="52"/>
  <c r="E480" i="52"/>
  <c r="D480" i="52"/>
  <c r="C480" i="52"/>
  <c r="P409" i="52"/>
  <c r="Z408" i="52"/>
  <c r="P408" i="52"/>
  <c r="K408" i="52"/>
  <c r="G408" i="52"/>
  <c r="F408" i="52"/>
  <c r="E408" i="52"/>
  <c r="D408" i="52"/>
  <c r="C408" i="52"/>
  <c r="H342" i="52"/>
  <c r="P337" i="52"/>
  <c r="Z336" i="52"/>
  <c r="P336" i="52"/>
  <c r="K336" i="52"/>
  <c r="G336" i="52"/>
  <c r="F336" i="52"/>
  <c r="E336" i="52"/>
  <c r="D336" i="52"/>
  <c r="C336" i="52"/>
  <c r="E108" i="50"/>
  <c r="H273" i="52"/>
  <c r="P273" i="52" s="1"/>
  <c r="E320" i="52"/>
  <c r="I318" i="52"/>
  <c r="H318" i="52"/>
  <c r="C318" i="52"/>
  <c r="C390" i="52" s="1"/>
  <c r="I319" i="52"/>
  <c r="H319" i="52"/>
  <c r="C319" i="52"/>
  <c r="I320" i="52"/>
  <c r="H320" i="52"/>
  <c r="C320" i="52"/>
  <c r="C392" i="52" s="1"/>
  <c r="I304" i="52"/>
  <c r="H304" i="52"/>
  <c r="C304" i="52"/>
  <c r="I305" i="52"/>
  <c r="H305" i="52"/>
  <c r="C305" i="52"/>
  <c r="C377" i="52" s="1"/>
  <c r="Q377" i="52" s="1"/>
  <c r="S377" i="52" s="1"/>
  <c r="E286" i="52"/>
  <c r="E301" i="52"/>
  <c r="L299" i="52"/>
  <c r="I299" i="52"/>
  <c r="P299" i="52" s="1"/>
  <c r="H299" i="52"/>
  <c r="C299" i="52"/>
  <c r="C371" i="52"/>
  <c r="C443" i="52" s="1"/>
  <c r="C515" i="52" s="1"/>
  <c r="C587" i="52" s="1"/>
  <c r="C659" i="52" s="1"/>
  <c r="C731" i="52" s="1"/>
  <c r="L300" i="52"/>
  <c r="I300" i="52"/>
  <c r="H300" i="52"/>
  <c r="C300" i="52"/>
  <c r="Q300" i="52"/>
  <c r="S300" i="52" s="1"/>
  <c r="E292" i="52"/>
  <c r="F277" i="38"/>
  <c r="M277" i="38" s="1"/>
  <c r="L308" i="52"/>
  <c r="I308" i="52"/>
  <c r="H308" i="52"/>
  <c r="L307" i="52"/>
  <c r="I307" i="52"/>
  <c r="H307" i="52"/>
  <c r="L285" i="52"/>
  <c r="I285" i="52"/>
  <c r="H285" i="52"/>
  <c r="L284" i="52"/>
  <c r="I284" i="52"/>
  <c r="H284" i="52"/>
  <c r="L280" i="52"/>
  <c r="I280" i="52"/>
  <c r="H280" i="52"/>
  <c r="L279" i="52"/>
  <c r="I279" i="52"/>
  <c r="H279" i="52"/>
  <c r="T10" i="60"/>
  <c r="CK92" i="60"/>
  <c r="CK93" i="60"/>
  <c r="CK94" i="60"/>
  <c r="CK95" i="60"/>
  <c r="CK96" i="60"/>
  <c r="CK97" i="60"/>
  <c r="CK98" i="60"/>
  <c r="CK99" i="60"/>
  <c r="CK100" i="60"/>
  <c r="CK101" i="60"/>
  <c r="CK102" i="60"/>
  <c r="CK103" i="60"/>
  <c r="CK104" i="60"/>
  <c r="CK105" i="60"/>
  <c r="CK91" i="60"/>
  <c r="B92" i="60"/>
  <c r="CK12" i="60"/>
  <c r="CK13" i="60"/>
  <c r="CK14" i="60"/>
  <c r="CK15" i="60"/>
  <c r="CK16" i="60"/>
  <c r="CK17" i="60"/>
  <c r="CK18" i="60"/>
  <c r="CK19" i="60"/>
  <c r="CK20" i="60"/>
  <c r="CK21" i="60"/>
  <c r="CK22" i="60"/>
  <c r="CK23" i="60"/>
  <c r="CK24" i="60"/>
  <c r="CK25" i="60"/>
  <c r="CK26" i="60"/>
  <c r="CK27" i="60"/>
  <c r="CK28" i="60"/>
  <c r="CK29" i="60"/>
  <c r="CK30" i="60"/>
  <c r="CK31" i="60"/>
  <c r="CK32" i="60"/>
  <c r="CK33" i="60"/>
  <c r="CK34" i="60"/>
  <c r="CK35" i="60"/>
  <c r="CK36" i="60"/>
  <c r="CK37" i="60"/>
  <c r="CK38" i="60"/>
  <c r="CK39" i="60"/>
  <c r="CK40" i="60"/>
  <c r="CK41" i="60"/>
  <c r="CK42" i="60"/>
  <c r="CK43" i="60"/>
  <c r="CK44" i="60"/>
  <c r="CK45" i="60"/>
  <c r="CK46" i="60"/>
  <c r="CK47" i="60"/>
  <c r="CK48" i="60"/>
  <c r="CK49" i="60"/>
  <c r="CK50" i="60"/>
  <c r="CK51" i="60"/>
  <c r="CK52" i="60"/>
  <c r="CK53" i="60"/>
  <c r="CK54" i="60"/>
  <c r="CK55" i="60"/>
  <c r="CK56" i="60"/>
  <c r="CK57" i="60"/>
  <c r="CK58" i="60"/>
  <c r="CK59" i="60"/>
  <c r="CK60" i="60"/>
  <c r="CK61" i="60"/>
  <c r="CK62" i="60"/>
  <c r="CK63" i="60"/>
  <c r="CK64" i="60"/>
  <c r="CK65" i="60"/>
  <c r="CK66" i="60"/>
  <c r="CK67" i="60"/>
  <c r="CK68" i="60"/>
  <c r="CK69" i="60"/>
  <c r="CK70" i="60"/>
  <c r="CK71" i="60"/>
  <c r="CK72" i="60"/>
  <c r="CK73" i="60"/>
  <c r="CK74" i="60"/>
  <c r="CK75" i="60"/>
  <c r="CK76" i="60"/>
  <c r="CK77" i="60"/>
  <c r="CK78" i="60"/>
  <c r="CK79" i="60"/>
  <c r="CK80" i="60"/>
  <c r="CK81" i="60"/>
  <c r="CK82" i="60"/>
  <c r="CK83" i="60"/>
  <c r="CK84" i="60"/>
  <c r="CK85" i="60"/>
  <c r="CK11" i="60"/>
  <c r="CK135" i="60"/>
  <c r="CK134" i="60"/>
  <c r="CK133" i="60"/>
  <c r="CK132" i="60"/>
  <c r="CK131" i="60"/>
  <c r="CK130" i="60"/>
  <c r="B130" i="60"/>
  <c r="CK129" i="60"/>
  <c r="B129" i="60"/>
  <c r="F129" i="60" s="1"/>
  <c r="CK128" i="60"/>
  <c r="B128" i="60"/>
  <c r="CK127" i="60"/>
  <c r="B127" i="60"/>
  <c r="CK126" i="60"/>
  <c r="B126" i="60"/>
  <c r="CK120" i="60"/>
  <c r="CK119" i="60"/>
  <c r="CK118" i="60"/>
  <c r="CK117" i="60"/>
  <c r="CK116" i="60"/>
  <c r="CK115" i="60"/>
  <c r="CK114" i="60"/>
  <c r="CK113" i="60"/>
  <c r="CK112" i="60"/>
  <c r="CK111" i="60"/>
  <c r="BD110" i="60"/>
  <c r="BC110" i="60"/>
  <c r="H110" i="60"/>
  <c r="G110" i="60"/>
  <c r="F110" i="60"/>
  <c r="E110" i="60"/>
  <c r="B110" i="60"/>
  <c r="I89" i="60"/>
  <c r="BS10" i="60"/>
  <c r="BR10" i="60"/>
  <c r="BQ10" i="60"/>
  <c r="BP10" i="60"/>
  <c r="BO10" i="60"/>
  <c r="BN10" i="60"/>
  <c r="BM10" i="60"/>
  <c r="BL10" i="60"/>
  <c r="BK10" i="60"/>
  <c r="BJ10" i="60"/>
  <c r="BI10" i="60"/>
  <c r="BH10" i="60"/>
  <c r="BG10" i="60"/>
  <c r="BF10" i="60"/>
  <c r="BE10" i="60"/>
  <c r="BD10" i="60"/>
  <c r="BC10" i="60"/>
  <c r="BB10" i="60"/>
  <c r="BA10" i="60"/>
  <c r="AZ10" i="60"/>
  <c r="AY10" i="60"/>
  <c r="AX10" i="60"/>
  <c r="AW10" i="60"/>
  <c r="AV10" i="60"/>
  <c r="AU10" i="60"/>
  <c r="AT10" i="60"/>
  <c r="AS10" i="60"/>
  <c r="AR10" i="60"/>
  <c r="AQ10" i="60"/>
  <c r="AP10" i="60"/>
  <c r="AO10" i="60"/>
  <c r="AN10" i="60"/>
  <c r="AM10" i="60"/>
  <c r="AL10" i="60"/>
  <c r="AK10" i="60"/>
  <c r="AJ10" i="60"/>
  <c r="AI10" i="60"/>
  <c r="AH10" i="60"/>
  <c r="AG10" i="60"/>
  <c r="AF10" i="60"/>
  <c r="AE10" i="60"/>
  <c r="AD10" i="60"/>
  <c r="AC10" i="60"/>
  <c r="AB10" i="60"/>
  <c r="AA10" i="60"/>
  <c r="Z10" i="60"/>
  <c r="Y10" i="60"/>
  <c r="X10" i="60"/>
  <c r="W10" i="60"/>
  <c r="V10" i="60"/>
  <c r="U10" i="60"/>
  <c r="N10" i="60"/>
  <c r="M10" i="60"/>
  <c r="L10" i="60"/>
  <c r="K10" i="60"/>
  <c r="J10" i="60"/>
  <c r="I10" i="60"/>
  <c r="H10" i="60"/>
  <c r="G10" i="60"/>
  <c r="F10" i="60"/>
  <c r="E10" i="60"/>
  <c r="D10" i="60"/>
  <c r="C10" i="60"/>
  <c r="B10" i="60"/>
  <c r="BL9" i="60"/>
  <c r="BD9" i="60"/>
  <c r="AV9" i="60"/>
  <c r="AN9" i="60"/>
  <c r="AF9" i="60"/>
  <c r="X9" i="60"/>
  <c r="O9" i="60"/>
  <c r="U5" i="60"/>
  <c r="M5" i="60"/>
  <c r="L5" i="60"/>
  <c r="K5" i="60"/>
  <c r="J5" i="60"/>
  <c r="I5" i="60"/>
  <c r="H5" i="60"/>
  <c r="G5" i="60"/>
  <c r="F5" i="60"/>
  <c r="B5" i="60"/>
  <c r="D5" i="60"/>
  <c r="C5" i="60"/>
  <c r="E5" i="60"/>
  <c r="D4" i="60"/>
  <c r="C4" i="60"/>
  <c r="E4" i="60"/>
  <c r="EF113" i="60"/>
  <c r="EF114" i="60"/>
  <c r="EF115" i="60" s="1"/>
  <c r="EF116" i="60" s="1"/>
  <c r="EF117" i="60" s="1"/>
  <c r="EF118" i="60" s="1"/>
  <c r="EF119" i="60" s="1"/>
  <c r="EF120" i="60" s="1"/>
  <c r="EE113" i="60"/>
  <c r="EE114" i="60" s="1"/>
  <c r="EE115" i="60" s="1"/>
  <c r="EE116" i="60" s="1"/>
  <c r="EE117" i="60" s="1"/>
  <c r="EE118" i="60" s="1"/>
  <c r="EE119" i="60" s="1"/>
  <c r="EE120" i="60" s="1"/>
  <c r="ED112" i="60"/>
  <c r="ED113" i="60" s="1"/>
  <c r="ED114" i="60" s="1"/>
  <c r="ED115" i="60" s="1"/>
  <c r="ED116" i="60" s="1"/>
  <c r="ED117" i="60" s="1"/>
  <c r="ED118" i="60" s="1"/>
  <c r="ED119" i="60" s="1"/>
  <c r="ED120" i="60" s="1"/>
  <c r="EC112" i="60"/>
  <c r="EC113" i="60" s="1"/>
  <c r="EC114" i="60" s="1"/>
  <c r="EC115" i="60" s="1"/>
  <c r="EC116" i="60" s="1"/>
  <c r="EC117" i="60" s="1"/>
  <c r="EC118" i="60" s="1"/>
  <c r="EC119" i="60" s="1"/>
  <c r="EC120" i="60" s="1"/>
  <c r="EB112" i="60"/>
  <c r="EB113" i="60" s="1"/>
  <c r="EB114" i="60" s="1"/>
  <c r="EB115" i="60" s="1"/>
  <c r="EB116" i="60" s="1"/>
  <c r="EB117" i="60" s="1"/>
  <c r="EB118" i="60" s="1"/>
  <c r="EB119" i="60" s="1"/>
  <c r="EB120" i="60" s="1"/>
  <c r="EA112" i="60"/>
  <c r="EA113" i="60"/>
  <c r="EA114" i="60"/>
  <c r="EA115" i="60" s="1"/>
  <c r="EA116" i="60" s="1"/>
  <c r="EA117" i="60" s="1"/>
  <c r="EA118" i="60" s="1"/>
  <c r="EA119" i="60" s="1"/>
  <c r="EA120" i="60" s="1"/>
  <c r="DZ112" i="60"/>
  <c r="DZ113" i="60"/>
  <c r="DZ114" i="60" s="1"/>
  <c r="DZ115" i="60" s="1"/>
  <c r="DZ116" i="60" s="1"/>
  <c r="DZ117" i="60" s="1"/>
  <c r="DZ118" i="60" s="1"/>
  <c r="DZ119" i="60" s="1"/>
  <c r="DZ120" i="60" s="1"/>
  <c r="DY112" i="60"/>
  <c r="DY113" i="60" s="1"/>
  <c r="DY114" i="60" s="1"/>
  <c r="DY115" i="60" s="1"/>
  <c r="DY116" i="60" s="1"/>
  <c r="DY117" i="60" s="1"/>
  <c r="DY118" i="60" s="1"/>
  <c r="DY119" i="60" s="1"/>
  <c r="DY120" i="60" s="1"/>
  <c r="DH112" i="60"/>
  <c r="DH113" i="60" s="1"/>
  <c r="DH114" i="60" s="1"/>
  <c r="DH115" i="60" s="1"/>
  <c r="DH116" i="60" s="1"/>
  <c r="DH117" i="60" s="1"/>
  <c r="DH118" i="60" s="1"/>
  <c r="DH119" i="60" s="1"/>
  <c r="DH120" i="60" s="1"/>
  <c r="DG112" i="60"/>
  <c r="DG113" i="60" s="1"/>
  <c r="DG114" i="60" s="1"/>
  <c r="DG115" i="60" s="1"/>
  <c r="DG116" i="60" s="1"/>
  <c r="DG117" i="60" s="1"/>
  <c r="DG118" i="60" s="1"/>
  <c r="DG119" i="60" s="1"/>
  <c r="DG120" i="60" s="1"/>
  <c r="DF112" i="60"/>
  <c r="DF113" i="60" s="1"/>
  <c r="DF114" i="60" s="1"/>
  <c r="DF115" i="60" s="1"/>
  <c r="DF116" i="60" s="1"/>
  <c r="DF117" i="60" s="1"/>
  <c r="DF118" i="60" s="1"/>
  <c r="DF119" i="60" s="1"/>
  <c r="DF120" i="60" s="1"/>
  <c r="DE112" i="60"/>
  <c r="DE113" i="60" s="1"/>
  <c r="DE114" i="60" s="1"/>
  <c r="DE115" i="60" s="1"/>
  <c r="DE116" i="60" s="1"/>
  <c r="DE117" i="60" s="1"/>
  <c r="DE118" i="60" s="1"/>
  <c r="DE119" i="60" s="1"/>
  <c r="DE120" i="60" s="1"/>
  <c r="DD112" i="60"/>
  <c r="DD113" i="60" s="1"/>
  <c r="DD114" i="60" s="1"/>
  <c r="DD115" i="60" s="1"/>
  <c r="DD116" i="60" s="1"/>
  <c r="DD117" i="60" s="1"/>
  <c r="DD118" i="60" s="1"/>
  <c r="DD119" i="60" s="1"/>
  <c r="DD120" i="60" s="1"/>
  <c r="DC112" i="60"/>
  <c r="DC113" i="60"/>
  <c r="DC114" i="60" s="1"/>
  <c r="DC115" i="60" s="1"/>
  <c r="DC116" i="60" s="1"/>
  <c r="DC117" i="60" s="1"/>
  <c r="DC118" i="60" s="1"/>
  <c r="DC119" i="60" s="1"/>
  <c r="DC120" i="60" s="1"/>
  <c r="DB112" i="60"/>
  <c r="DB113" i="60"/>
  <c r="DB114" i="60" s="1"/>
  <c r="DB115" i="60" s="1"/>
  <c r="DB116" i="60" s="1"/>
  <c r="DB117" i="60" s="1"/>
  <c r="DB118" i="60" s="1"/>
  <c r="DB119" i="60" s="1"/>
  <c r="DB120" i="60" s="1"/>
  <c r="DA112" i="60"/>
  <c r="DA113" i="60" s="1"/>
  <c r="DA114" i="60" s="1"/>
  <c r="DA115" i="60" s="1"/>
  <c r="DA116" i="60" s="1"/>
  <c r="DA117" i="60" s="1"/>
  <c r="DA118" i="60" s="1"/>
  <c r="DA119" i="60" s="1"/>
  <c r="DA120" i="60" s="1"/>
  <c r="CZ112" i="60"/>
  <c r="CZ113" i="60" s="1"/>
  <c r="CZ114" i="60" s="1"/>
  <c r="CZ115" i="60" s="1"/>
  <c r="CZ116" i="60" s="1"/>
  <c r="CZ117" i="60" s="1"/>
  <c r="CZ118" i="60" s="1"/>
  <c r="CZ119" i="60" s="1"/>
  <c r="CZ120" i="60" s="1"/>
  <c r="CY112" i="60"/>
  <c r="CY113" i="60" s="1"/>
  <c r="CY114" i="60" s="1"/>
  <c r="CY115" i="60" s="1"/>
  <c r="CY116" i="60" s="1"/>
  <c r="CY117" i="60" s="1"/>
  <c r="CY118" i="60" s="1"/>
  <c r="CY119" i="60" s="1"/>
  <c r="CY120" i="60" s="1"/>
  <c r="CX112" i="60"/>
  <c r="CX113" i="60"/>
  <c r="CX114" i="60" s="1"/>
  <c r="CX115" i="60" s="1"/>
  <c r="CX116" i="60" s="1"/>
  <c r="CX117" i="60" s="1"/>
  <c r="CX118" i="60" s="1"/>
  <c r="CX119" i="60" s="1"/>
  <c r="CX120" i="60" s="1"/>
  <c r="CW112" i="60"/>
  <c r="CW113" i="60" s="1"/>
  <c r="CW114" i="60" s="1"/>
  <c r="CW115" i="60" s="1"/>
  <c r="CW116" i="60" s="1"/>
  <c r="CW117" i="60" s="1"/>
  <c r="CW118" i="60" s="1"/>
  <c r="CW119" i="60" s="1"/>
  <c r="CW120" i="60" s="1"/>
  <c r="CV112" i="60"/>
  <c r="CV113" i="60" s="1"/>
  <c r="CV114" i="60" s="1"/>
  <c r="CV115" i="60" s="1"/>
  <c r="CV116" i="60" s="1"/>
  <c r="CV117" i="60" s="1"/>
  <c r="CV118" i="60" s="1"/>
  <c r="CV119" i="60" s="1"/>
  <c r="CV120" i="60" s="1"/>
  <c r="CU112" i="60"/>
  <c r="CU113" i="60" s="1"/>
  <c r="CU114" i="60" s="1"/>
  <c r="CU115" i="60" s="1"/>
  <c r="CU116" i="60" s="1"/>
  <c r="CU117" i="60" s="1"/>
  <c r="CU118" i="60" s="1"/>
  <c r="CU119" i="60" s="1"/>
  <c r="CU120" i="60" s="1"/>
  <c r="CT112" i="60"/>
  <c r="CT113" i="60" s="1"/>
  <c r="CT114" i="60" s="1"/>
  <c r="CT115" i="60" s="1"/>
  <c r="CT116" i="60" s="1"/>
  <c r="CT117" i="60" s="1"/>
  <c r="CT118" i="60" s="1"/>
  <c r="CT119" i="60" s="1"/>
  <c r="CT120" i="60" s="1"/>
  <c r="CS112" i="60"/>
  <c r="CS113" i="60" s="1"/>
  <c r="CS114" i="60" s="1"/>
  <c r="CS115" i="60" s="1"/>
  <c r="CS116" i="60" s="1"/>
  <c r="CS117" i="60" s="1"/>
  <c r="CS118" i="60" s="1"/>
  <c r="CS119" i="60" s="1"/>
  <c r="CS120" i="60" s="1"/>
  <c r="CR112" i="60"/>
  <c r="CR113" i="60" s="1"/>
  <c r="CR114" i="60" s="1"/>
  <c r="CR115" i="60" s="1"/>
  <c r="CR116" i="60" s="1"/>
  <c r="CR117" i="60" s="1"/>
  <c r="CR118" i="60" s="1"/>
  <c r="CR119" i="60" s="1"/>
  <c r="CR120" i="60" s="1"/>
  <c r="CQ112" i="60"/>
  <c r="CQ113" i="60"/>
  <c r="CQ114" i="60" s="1"/>
  <c r="CQ115" i="60" s="1"/>
  <c r="CQ116" i="60" s="1"/>
  <c r="CQ117" i="60" s="1"/>
  <c r="CQ118" i="60" s="1"/>
  <c r="CQ119" i="60" s="1"/>
  <c r="CQ120" i="60" s="1"/>
  <c r="CP112" i="60"/>
  <c r="CP113" i="60"/>
  <c r="CP114" i="60" s="1"/>
  <c r="CP115" i="60" s="1"/>
  <c r="CP116" i="60" s="1"/>
  <c r="CP117" i="60" s="1"/>
  <c r="CP118" i="60" s="1"/>
  <c r="CP119" i="60" s="1"/>
  <c r="CP120" i="60" s="1"/>
  <c r="CO112" i="60"/>
  <c r="CO113" i="60" s="1"/>
  <c r="CO114" i="60" s="1"/>
  <c r="CO115" i="60" s="1"/>
  <c r="CO116" i="60" s="1"/>
  <c r="CO117" i="60" s="1"/>
  <c r="CO118" i="60" s="1"/>
  <c r="CO119" i="60" s="1"/>
  <c r="CO120" i="60" s="1"/>
  <c r="CN112" i="60"/>
  <c r="CN113" i="60"/>
  <c r="CN114" i="60" s="1"/>
  <c r="CN115" i="60"/>
  <c r="CN116" i="60" s="1"/>
  <c r="CN117" i="60" s="1"/>
  <c r="CN118" i="60" s="1"/>
  <c r="CN119" i="60" s="1"/>
  <c r="CN120" i="60" s="1"/>
  <c r="CM112" i="60"/>
  <c r="CM113" i="60" s="1"/>
  <c r="CM114" i="60" s="1"/>
  <c r="CM115" i="60" s="1"/>
  <c r="CM116" i="60" s="1"/>
  <c r="CM117" i="60" s="1"/>
  <c r="CM118" i="60" s="1"/>
  <c r="CM119" i="60" s="1"/>
  <c r="CM120" i="60" s="1"/>
  <c r="CL112" i="60"/>
  <c r="CL113" i="60"/>
  <c r="CL114" i="60" s="1"/>
  <c r="CL115" i="60" s="1"/>
  <c r="CL116" i="60" s="1"/>
  <c r="CL117" i="60" s="1"/>
  <c r="CL118" i="60" s="1"/>
  <c r="CL119" i="60" s="1"/>
  <c r="CL120" i="60" s="1"/>
  <c r="DP111" i="60"/>
  <c r="DO111" i="60"/>
  <c r="DN111" i="60"/>
  <c r="DM111" i="60"/>
  <c r="DL111" i="60"/>
  <c r="DK111" i="60"/>
  <c r="DS111" i="60" s="1"/>
  <c r="DS112" i="60" s="1"/>
  <c r="DS113" i="60" s="1"/>
  <c r="DS114" i="60" s="1"/>
  <c r="DS115" i="60" s="1"/>
  <c r="DS116" i="60" s="1"/>
  <c r="DS117" i="60" s="1"/>
  <c r="DS118" i="60" s="1"/>
  <c r="DS119" i="60" s="1"/>
  <c r="DS120" i="60" s="1"/>
  <c r="DJ111" i="60"/>
  <c r="DI111" i="60"/>
  <c r="DI112" i="60" s="1"/>
  <c r="DI113" i="60" s="1"/>
  <c r="DI114" i="60" s="1"/>
  <c r="DI115" i="60" s="1"/>
  <c r="DK13" i="60"/>
  <c r="DK14" i="60" s="1"/>
  <c r="DK15" i="60" s="1"/>
  <c r="DK16" i="60" s="1"/>
  <c r="DK17" i="60" s="1"/>
  <c r="DK18" i="60" s="1"/>
  <c r="DK19" i="60" s="1"/>
  <c r="DK20" i="60" s="1"/>
  <c r="DK21" i="60" s="1"/>
  <c r="DK22" i="60" s="1"/>
  <c r="DK23" i="60" s="1"/>
  <c r="DK24" i="60" s="1"/>
  <c r="DK25" i="60" s="1"/>
  <c r="DK26" i="60" s="1"/>
  <c r="DK27" i="60" s="1"/>
  <c r="DK28" i="60" s="1"/>
  <c r="DK29" i="60" s="1"/>
  <c r="DK30" i="60" s="1"/>
  <c r="DK31" i="60" s="1"/>
  <c r="DK32" i="60" s="1"/>
  <c r="DK33" i="60" s="1"/>
  <c r="DK34" i="60" s="1"/>
  <c r="DK35" i="60" s="1"/>
  <c r="DK36" i="60" s="1"/>
  <c r="DK37" i="60" s="1"/>
  <c r="DK38" i="60" s="1"/>
  <c r="DK39" i="60" s="1"/>
  <c r="DK40" i="60" s="1"/>
  <c r="DK41" i="60" s="1"/>
  <c r="DK42" i="60" s="1"/>
  <c r="DK43" i="60" s="1"/>
  <c r="DK44" i="60" s="1"/>
  <c r="DK45" i="60" s="1"/>
  <c r="DK46" i="60" s="1"/>
  <c r="DK47" i="60" s="1"/>
  <c r="DK48" i="60" s="1"/>
  <c r="DK49" i="60" s="1"/>
  <c r="DK50" i="60" s="1"/>
  <c r="DK51" i="60" s="1"/>
  <c r="DK52" i="60" s="1"/>
  <c r="DK53" i="60" s="1"/>
  <c r="DK54" i="60" s="1"/>
  <c r="DK55" i="60" s="1"/>
  <c r="DK56" i="60" s="1"/>
  <c r="DK57" i="60" s="1"/>
  <c r="DK58" i="60" s="1"/>
  <c r="DK59" i="60" s="1"/>
  <c r="DK60" i="60" s="1"/>
  <c r="DK61" i="60" s="1"/>
  <c r="DK62" i="60" s="1"/>
  <c r="DK63" i="60" s="1"/>
  <c r="DK64" i="60" s="1"/>
  <c r="DK65" i="60" s="1"/>
  <c r="DK66" i="60" s="1"/>
  <c r="DK67" i="60" s="1"/>
  <c r="DK68" i="60" s="1"/>
  <c r="DK69" i="60" s="1"/>
  <c r="DK70" i="60" s="1"/>
  <c r="DK71" i="60" s="1"/>
  <c r="DK72" i="60" s="1"/>
  <c r="DK73" i="60" s="1"/>
  <c r="DK74" i="60" s="1"/>
  <c r="DK75" i="60" s="1"/>
  <c r="DK76" i="60" s="1"/>
  <c r="DK77" i="60" s="1"/>
  <c r="DK78" i="60" s="1"/>
  <c r="DK79" i="60" s="1"/>
  <c r="DK80" i="60" s="1"/>
  <c r="DK81" i="60" s="1"/>
  <c r="DK82" i="60" s="1"/>
  <c r="DK83" i="60" s="1"/>
  <c r="DK84" i="60" s="1"/>
  <c r="DK85" i="60" s="1"/>
  <c r="B28" i="54"/>
  <c r="B27" i="54"/>
  <c r="E109" i="48"/>
  <c r="E108" i="48"/>
  <c r="E107" i="48"/>
  <c r="E106" i="48"/>
  <c r="E103" i="48"/>
  <c r="E102" i="48"/>
  <c r="E101" i="48"/>
  <c r="E100" i="48"/>
  <c r="E98" i="48"/>
  <c r="B25" i="54"/>
  <c r="E279" i="43"/>
  <c r="E278" i="43"/>
  <c r="E277" i="43"/>
  <c r="E276" i="43"/>
  <c r="E273" i="43"/>
  <c r="E272" i="43"/>
  <c r="E271" i="43"/>
  <c r="E270" i="43"/>
  <c r="E268" i="43"/>
  <c r="E249" i="35"/>
  <c r="E248" i="35"/>
  <c r="E247" i="35"/>
  <c r="E246" i="35"/>
  <c r="E243" i="35"/>
  <c r="E242" i="35"/>
  <c r="E241" i="35"/>
  <c r="E240" i="35"/>
  <c r="E238" i="35"/>
  <c r="E494" i="58"/>
  <c r="E493" i="58"/>
  <c r="E492" i="58"/>
  <c r="E491" i="58"/>
  <c r="E488" i="58"/>
  <c r="E487" i="58"/>
  <c r="E486" i="58"/>
  <c r="E485" i="58"/>
  <c r="E483" i="58"/>
  <c r="E80" i="28"/>
  <c r="E79" i="28"/>
  <c r="E78" i="28"/>
  <c r="E77" i="28"/>
  <c r="E74" i="28"/>
  <c r="E73" i="28"/>
  <c r="E72" i="28"/>
  <c r="E71" i="28"/>
  <c r="E69" i="28"/>
  <c r="E520" i="46"/>
  <c r="E519" i="46"/>
  <c r="E518" i="46"/>
  <c r="E517" i="46"/>
  <c r="E514" i="46"/>
  <c r="E513" i="46"/>
  <c r="E512" i="46"/>
  <c r="E511" i="46"/>
  <c r="E509" i="46"/>
  <c r="E300" i="44"/>
  <c r="E311" i="44"/>
  <c r="E310" i="44"/>
  <c r="E309" i="44"/>
  <c r="E308" i="44"/>
  <c r="E305" i="44"/>
  <c r="E304" i="44"/>
  <c r="E303" i="44"/>
  <c r="E302" i="44"/>
  <c r="B258" i="52"/>
  <c r="B257" i="52"/>
  <c r="B256" i="52"/>
  <c r="B254" i="52"/>
  <c r="B253" i="52"/>
  <c r="B248" i="52"/>
  <c r="B247" i="52"/>
  <c r="B245" i="52"/>
  <c r="B244" i="52"/>
  <c r="B243" i="52"/>
  <c r="B242" i="52"/>
  <c r="B241" i="52"/>
  <c r="B240" i="52"/>
  <c r="B239" i="52"/>
  <c r="B238" i="52"/>
  <c r="B236" i="52"/>
  <c r="B235" i="52"/>
  <c r="B234" i="52"/>
  <c r="B230" i="52"/>
  <c r="E433" i="58"/>
  <c r="E427" i="58"/>
  <c r="D426" i="58"/>
  <c r="E424" i="58"/>
  <c r="N423" i="58"/>
  <c r="M423" i="58"/>
  <c r="L423" i="58"/>
  <c r="K423" i="58"/>
  <c r="J423" i="58"/>
  <c r="I423" i="58"/>
  <c r="E421" i="58"/>
  <c r="D420" i="58"/>
  <c r="N415" i="58"/>
  <c r="M415" i="58"/>
  <c r="L415" i="58"/>
  <c r="K415" i="58"/>
  <c r="J415" i="58"/>
  <c r="I415" i="58"/>
  <c r="E415" i="58"/>
  <c r="E413" i="58"/>
  <c r="E411" i="58"/>
  <c r="E418" i="58" s="1"/>
  <c r="E410" i="58"/>
  <c r="E417" i="58"/>
  <c r="E409" i="58"/>
  <c r="E416" i="58" s="1"/>
  <c r="J408" i="58"/>
  <c r="I408" i="58"/>
  <c r="H415" i="58" s="1"/>
  <c r="H408" i="58"/>
  <c r="E408" i="58"/>
  <c r="E406" i="58"/>
  <c r="D405" i="58"/>
  <c r="I403" i="58"/>
  <c r="E403" i="58"/>
  <c r="E402" i="58"/>
  <c r="E401" i="58"/>
  <c r="D400" i="58"/>
  <c r="I398" i="58"/>
  <c r="E398" i="58"/>
  <c r="E397" i="58"/>
  <c r="E396" i="58"/>
  <c r="D395" i="58"/>
  <c r="I393" i="58"/>
  <c r="E393" i="58"/>
  <c r="E392" i="58"/>
  <c r="E391" i="58"/>
  <c r="D390" i="58"/>
  <c r="I388" i="58"/>
  <c r="E388" i="58"/>
  <c r="E387" i="58"/>
  <c r="E386" i="58"/>
  <c r="D385" i="58"/>
  <c r="I383" i="58"/>
  <c r="E383" i="58"/>
  <c r="E382" i="58"/>
  <c r="E381" i="58"/>
  <c r="D380" i="58"/>
  <c r="D378" i="58"/>
  <c r="D374" i="58"/>
  <c r="E372" i="58"/>
  <c r="E371" i="58"/>
  <c r="E361" i="58"/>
  <c r="E355" i="58"/>
  <c r="D354" i="58"/>
  <c r="E352" i="58"/>
  <c r="N351" i="58"/>
  <c r="M351" i="58"/>
  <c r="L351" i="58"/>
  <c r="K351" i="58"/>
  <c r="J351" i="58"/>
  <c r="I351" i="58"/>
  <c r="E349" i="58"/>
  <c r="D348" i="58"/>
  <c r="N343" i="58"/>
  <c r="M343" i="58"/>
  <c r="L343" i="58"/>
  <c r="K343" i="58"/>
  <c r="J343" i="58"/>
  <c r="I343" i="58"/>
  <c r="E343" i="58"/>
  <c r="E341" i="58"/>
  <c r="E339" i="58"/>
  <c r="E346" i="58"/>
  <c r="E338" i="58"/>
  <c r="E345" i="58" s="1"/>
  <c r="E337" i="58"/>
  <c r="E344" i="58"/>
  <c r="J336" i="58"/>
  <c r="I336" i="58"/>
  <c r="H343" i="58"/>
  <c r="H336" i="58"/>
  <c r="E336" i="58"/>
  <c r="E334" i="58"/>
  <c r="D333" i="58"/>
  <c r="I331" i="58"/>
  <c r="E331" i="58"/>
  <c r="E330" i="58"/>
  <c r="E329" i="58"/>
  <c r="D328" i="58"/>
  <c r="I326" i="58"/>
  <c r="E326" i="58"/>
  <c r="E325" i="58"/>
  <c r="E324" i="58"/>
  <c r="D323" i="58"/>
  <c r="I321" i="58"/>
  <c r="E321" i="58"/>
  <c r="E320" i="58"/>
  <c r="E319" i="58"/>
  <c r="D318" i="58"/>
  <c r="I316" i="58"/>
  <c r="E316" i="58"/>
  <c r="E315" i="58"/>
  <c r="E314" i="58"/>
  <c r="D313" i="58"/>
  <c r="I311" i="58"/>
  <c r="E311" i="58"/>
  <c r="E310" i="58"/>
  <c r="E309" i="58"/>
  <c r="D308" i="58"/>
  <c r="D306" i="58"/>
  <c r="D302" i="58"/>
  <c r="E300" i="58"/>
  <c r="E299" i="58"/>
  <c r="E289" i="58"/>
  <c r="E283" i="58"/>
  <c r="D282" i="58"/>
  <c r="E280" i="58"/>
  <c r="N279" i="58"/>
  <c r="M279" i="58"/>
  <c r="L279" i="58"/>
  <c r="K279" i="58"/>
  <c r="J279" i="58"/>
  <c r="I279" i="58"/>
  <c r="E277" i="58"/>
  <c r="D276" i="58"/>
  <c r="N271" i="58"/>
  <c r="M271" i="58"/>
  <c r="L271" i="58"/>
  <c r="K271" i="58"/>
  <c r="J271" i="58"/>
  <c r="I271" i="58"/>
  <c r="E271" i="58"/>
  <c r="E269" i="58"/>
  <c r="E267" i="58"/>
  <c r="E274" i="58" s="1"/>
  <c r="E266" i="58"/>
  <c r="E273" i="58"/>
  <c r="E265" i="58"/>
  <c r="E272" i="58" s="1"/>
  <c r="J264" i="58"/>
  <c r="I264" i="58"/>
  <c r="H271" i="58" s="1"/>
  <c r="H264" i="58"/>
  <c r="E264" i="58"/>
  <c r="E262" i="58"/>
  <c r="D261" i="58"/>
  <c r="I259" i="58"/>
  <c r="E259" i="58"/>
  <c r="E258" i="58"/>
  <c r="E257" i="58"/>
  <c r="D256" i="58"/>
  <c r="I254" i="58"/>
  <c r="E254" i="58"/>
  <c r="E253" i="58"/>
  <c r="E252" i="58"/>
  <c r="D251" i="58"/>
  <c r="I249" i="58"/>
  <c r="E249" i="58"/>
  <c r="E248" i="58"/>
  <c r="E247" i="58"/>
  <c r="D246" i="58"/>
  <c r="I244" i="58"/>
  <c r="E244" i="58"/>
  <c r="E243" i="58"/>
  <c r="E242" i="58"/>
  <c r="D241" i="58"/>
  <c r="I239" i="58"/>
  <c r="E239" i="58"/>
  <c r="E238" i="58"/>
  <c r="E237" i="58"/>
  <c r="D236" i="58"/>
  <c r="D234" i="58"/>
  <c r="D230" i="58"/>
  <c r="E228" i="58"/>
  <c r="E227" i="58"/>
  <c r="E217" i="58"/>
  <c r="E211" i="58"/>
  <c r="D210" i="58"/>
  <c r="E208" i="58"/>
  <c r="N207" i="58"/>
  <c r="M207" i="58"/>
  <c r="L207" i="58"/>
  <c r="K207" i="58"/>
  <c r="J207" i="58"/>
  <c r="I207" i="58"/>
  <c r="E205" i="58"/>
  <c r="D204" i="58"/>
  <c r="N199" i="58"/>
  <c r="M199" i="58"/>
  <c r="L199" i="58"/>
  <c r="K199" i="58"/>
  <c r="J199" i="58"/>
  <c r="I199" i="58"/>
  <c r="E199" i="58"/>
  <c r="E197" i="58"/>
  <c r="E195" i="58"/>
  <c r="E202" i="58"/>
  <c r="E194" i="58"/>
  <c r="E201" i="58" s="1"/>
  <c r="E193" i="58"/>
  <c r="E200" i="58"/>
  <c r="J192" i="58"/>
  <c r="I192" i="58"/>
  <c r="H199" i="58"/>
  <c r="H192" i="58"/>
  <c r="E192" i="58"/>
  <c r="E190" i="58"/>
  <c r="D189" i="58"/>
  <c r="I187" i="58"/>
  <c r="E187" i="58"/>
  <c r="E186" i="58"/>
  <c r="E185" i="58"/>
  <c r="D184" i="58"/>
  <c r="I182" i="58"/>
  <c r="E182" i="58"/>
  <c r="E181" i="58"/>
  <c r="E180" i="58"/>
  <c r="D179" i="58"/>
  <c r="I177" i="58"/>
  <c r="E177" i="58"/>
  <c r="E176" i="58"/>
  <c r="E175" i="58"/>
  <c r="D174" i="58"/>
  <c r="I172" i="58"/>
  <c r="E172" i="58"/>
  <c r="E171" i="58"/>
  <c r="E170" i="58"/>
  <c r="D169" i="58"/>
  <c r="I167" i="58"/>
  <c r="E167" i="58"/>
  <c r="E166" i="58"/>
  <c r="E165" i="58"/>
  <c r="D164" i="58"/>
  <c r="D162" i="58"/>
  <c r="D158" i="58"/>
  <c r="E156" i="58"/>
  <c r="E155" i="58"/>
  <c r="B18" i="10"/>
  <c r="B17" i="10"/>
  <c r="AB142" i="38"/>
  <c r="AB143" i="38"/>
  <c r="AB144" i="38"/>
  <c r="AB145" i="38"/>
  <c r="AB146" i="38"/>
  <c r="AB147" i="38"/>
  <c r="AB148" i="38"/>
  <c r="AB149" i="38"/>
  <c r="AB150" i="38"/>
  <c r="AB151" i="38"/>
  <c r="AB141" i="38"/>
  <c r="D2" i="26"/>
  <c r="H1" i="26"/>
  <c r="F1" i="26"/>
  <c r="D1" i="26"/>
  <c r="E4" i="43"/>
  <c r="E4" i="35"/>
  <c r="E3" i="35"/>
  <c r="K2" i="35"/>
  <c r="I2" i="35"/>
  <c r="G2" i="35"/>
  <c r="E2" i="35"/>
  <c r="K2" i="58"/>
  <c r="I2" i="58"/>
  <c r="G2" i="58"/>
  <c r="E4" i="58"/>
  <c r="E3" i="58"/>
  <c r="G3" i="58"/>
  <c r="D10" i="58"/>
  <c r="E4" i="48"/>
  <c r="E3" i="48"/>
  <c r="K2" i="48"/>
  <c r="I2" i="48"/>
  <c r="G2" i="48"/>
  <c r="E2" i="48"/>
  <c r="E4" i="28"/>
  <c r="E3" i="28"/>
  <c r="K2" i="28"/>
  <c r="I2" i="28"/>
  <c r="G2" i="28"/>
  <c r="E2" i="28"/>
  <c r="G2" i="37"/>
  <c r="U84" i="46"/>
  <c r="U82" i="46"/>
  <c r="T82" i="46"/>
  <c r="T84" i="46"/>
  <c r="T80" i="46"/>
  <c r="T78" i="46"/>
  <c r="T76" i="46"/>
  <c r="T74" i="46"/>
  <c r="T72" i="46"/>
  <c r="T70" i="46"/>
  <c r="T68" i="46"/>
  <c r="V82" i="46" s="1"/>
  <c r="T66" i="46"/>
  <c r="T64" i="46"/>
  <c r="B25" i="52"/>
  <c r="H362" i="52"/>
  <c r="T69" i="44"/>
  <c r="T67" i="44"/>
  <c r="T87" i="44"/>
  <c r="U87" i="44"/>
  <c r="F816" i="52"/>
  <c r="D816" i="52"/>
  <c r="A815" i="52"/>
  <c r="F802" i="52"/>
  <c r="D802" i="52"/>
  <c r="C802" i="52"/>
  <c r="B802" i="52"/>
  <c r="A801" i="52"/>
  <c r="D796" i="52"/>
  <c r="D792" i="52"/>
  <c r="O780" i="52"/>
  <c r="L780" i="52"/>
  <c r="I780" i="52"/>
  <c r="H780" i="52"/>
  <c r="L779" i="52"/>
  <c r="I779" i="52"/>
  <c r="H779" i="52"/>
  <c r="O778" i="52"/>
  <c r="L778" i="52"/>
  <c r="I778" i="52"/>
  <c r="H778" i="52"/>
  <c r="P777" i="52"/>
  <c r="K777" i="52"/>
  <c r="G777" i="52"/>
  <c r="B777" i="52"/>
  <c r="I325" i="52"/>
  <c r="H325" i="52"/>
  <c r="E325" i="52"/>
  <c r="D325" i="52"/>
  <c r="D397" i="52" s="1"/>
  <c r="D469" i="52" s="1"/>
  <c r="D541" i="52" s="1"/>
  <c r="D613" i="52" s="1"/>
  <c r="D685" i="52" s="1"/>
  <c r="D757" i="52" s="1"/>
  <c r="I324" i="52"/>
  <c r="H324" i="52"/>
  <c r="E324" i="52"/>
  <c r="D324" i="52"/>
  <c r="O323" i="52"/>
  <c r="L323" i="52"/>
  <c r="I323" i="52"/>
  <c r="H323" i="52"/>
  <c r="E323" i="52"/>
  <c r="D323" i="52"/>
  <c r="D395" i="52" s="1"/>
  <c r="D467" i="52" s="1"/>
  <c r="D539" i="52" s="1"/>
  <c r="D611" i="52" s="1"/>
  <c r="D683" i="52" s="1"/>
  <c r="D755" i="52" s="1"/>
  <c r="C323" i="52"/>
  <c r="O322" i="52"/>
  <c r="L322" i="52"/>
  <c r="I322" i="52"/>
  <c r="H322" i="52"/>
  <c r="E322" i="52"/>
  <c r="D322" i="52"/>
  <c r="D394" i="52" s="1"/>
  <c r="D466" i="52" s="1"/>
  <c r="D538" i="52" s="1"/>
  <c r="C322" i="52"/>
  <c r="C394" i="52" s="1"/>
  <c r="O321" i="52"/>
  <c r="L321" i="52"/>
  <c r="I321" i="52"/>
  <c r="H321" i="52"/>
  <c r="E321" i="52"/>
  <c r="D321" i="52"/>
  <c r="D393" i="52" s="1"/>
  <c r="D465" i="52" s="1"/>
  <c r="D537" i="52" s="1"/>
  <c r="D609" i="52" s="1"/>
  <c r="D681" i="52" s="1"/>
  <c r="D753" i="52" s="1"/>
  <c r="I317" i="52"/>
  <c r="H317" i="52"/>
  <c r="C317" i="52"/>
  <c r="O316" i="52"/>
  <c r="L316" i="52"/>
  <c r="I316" i="52"/>
  <c r="H316" i="52"/>
  <c r="E316" i="52"/>
  <c r="D316" i="52"/>
  <c r="D388" i="52" s="1"/>
  <c r="C316" i="52"/>
  <c r="O315" i="52"/>
  <c r="L315" i="52"/>
  <c r="I315" i="52"/>
  <c r="H315" i="52"/>
  <c r="E315" i="52"/>
  <c r="D315" i="52"/>
  <c r="D387" i="52" s="1"/>
  <c r="D459" i="52" s="1"/>
  <c r="D531" i="52" s="1"/>
  <c r="D603" i="52" s="1"/>
  <c r="D675" i="52" s="1"/>
  <c r="D747" i="52" s="1"/>
  <c r="O314" i="52"/>
  <c r="L314" i="52"/>
  <c r="I314" i="52"/>
  <c r="H314" i="52"/>
  <c r="E314" i="52"/>
  <c r="D314" i="52"/>
  <c r="C314" i="52"/>
  <c r="O313" i="52"/>
  <c r="L313" i="52"/>
  <c r="I313" i="52"/>
  <c r="H313" i="52"/>
  <c r="E313" i="52"/>
  <c r="D313" i="52"/>
  <c r="D385" i="52"/>
  <c r="C313" i="52"/>
  <c r="C385" i="52" s="1"/>
  <c r="C457" i="52" s="1"/>
  <c r="C529" i="52" s="1"/>
  <c r="O312" i="52"/>
  <c r="P312" i="52" s="1"/>
  <c r="L312" i="52"/>
  <c r="I312" i="52"/>
  <c r="H312" i="52"/>
  <c r="E312" i="52"/>
  <c r="D312" i="52"/>
  <c r="D384" i="52"/>
  <c r="D456" i="52"/>
  <c r="D528" i="52" s="1"/>
  <c r="D600" i="52" s="1"/>
  <c r="D672" i="52" s="1"/>
  <c r="D744" i="52" s="1"/>
  <c r="C312" i="52"/>
  <c r="C384" i="52" s="1"/>
  <c r="Q384" i="52" s="1"/>
  <c r="S384" i="52" s="1"/>
  <c r="I311" i="52"/>
  <c r="H311" i="52"/>
  <c r="E311" i="52"/>
  <c r="D311" i="52"/>
  <c r="D383" i="52"/>
  <c r="C311" i="52"/>
  <c r="C383" i="52" s="1"/>
  <c r="C455" i="52" s="1"/>
  <c r="C527" i="52" s="1"/>
  <c r="H310" i="52"/>
  <c r="P310" i="52" s="1"/>
  <c r="E310" i="52"/>
  <c r="D310" i="52"/>
  <c r="D382" i="52"/>
  <c r="D454" i="52" s="1"/>
  <c r="D526" i="52" s="1"/>
  <c r="D598" i="52" s="1"/>
  <c r="D670" i="52" s="1"/>
  <c r="D742" i="52" s="1"/>
  <c r="L309" i="52"/>
  <c r="I309" i="52"/>
  <c r="H309" i="52"/>
  <c r="L306" i="52"/>
  <c r="I306" i="52"/>
  <c r="H306" i="52"/>
  <c r="P306" i="52" s="1"/>
  <c r="C306" i="52"/>
  <c r="C309" i="52" s="1"/>
  <c r="Q309" i="52" s="1"/>
  <c r="S309" i="52" s="1"/>
  <c r="I303" i="52"/>
  <c r="H303" i="52"/>
  <c r="C303" i="52"/>
  <c r="C375" i="52"/>
  <c r="C447" i="52" s="1"/>
  <c r="I302" i="52"/>
  <c r="E302" i="52"/>
  <c r="D302" i="52"/>
  <c r="D374" i="52" s="1"/>
  <c r="D446" i="52" s="1"/>
  <c r="D518" i="52" s="1"/>
  <c r="D590" i="52" s="1"/>
  <c r="D662" i="52" s="1"/>
  <c r="D734" i="52" s="1"/>
  <c r="I301" i="52"/>
  <c r="H301" i="52"/>
  <c r="L298" i="52"/>
  <c r="I298" i="52"/>
  <c r="H298" i="52"/>
  <c r="C298" i="52"/>
  <c r="I297" i="52"/>
  <c r="P297" i="52" s="1"/>
  <c r="H297" i="52"/>
  <c r="E297" i="52"/>
  <c r="D297" i="52"/>
  <c r="D369" i="52" s="1"/>
  <c r="D441" i="52" s="1"/>
  <c r="D513" i="52" s="1"/>
  <c r="D585" i="52" s="1"/>
  <c r="D657" i="52" s="1"/>
  <c r="D729" i="52" s="1"/>
  <c r="I296" i="52"/>
  <c r="E296" i="52"/>
  <c r="D296" i="52"/>
  <c r="D368" i="52"/>
  <c r="D440" i="52"/>
  <c r="D512" i="52" s="1"/>
  <c r="D584" i="52" s="1"/>
  <c r="D656" i="52" s="1"/>
  <c r="D728" i="52" s="1"/>
  <c r="I295" i="52"/>
  <c r="H295" i="52"/>
  <c r="E295" i="52"/>
  <c r="D295" i="52"/>
  <c r="D367" i="52" s="1"/>
  <c r="D439" i="52" s="1"/>
  <c r="D511" i="52" s="1"/>
  <c r="D583" i="52" s="1"/>
  <c r="D655" i="52" s="1"/>
  <c r="D727" i="52" s="1"/>
  <c r="L294" i="52"/>
  <c r="I294" i="52"/>
  <c r="H294" i="52"/>
  <c r="E294" i="52"/>
  <c r="D294" i="52"/>
  <c r="D366" i="52"/>
  <c r="D438" i="52" s="1"/>
  <c r="D510" i="52" s="1"/>
  <c r="C294" i="52"/>
  <c r="O293" i="52"/>
  <c r="L293" i="52"/>
  <c r="I293" i="52"/>
  <c r="H293" i="52"/>
  <c r="E293" i="52"/>
  <c r="D293" i="52"/>
  <c r="D365" i="52" s="1"/>
  <c r="D437" i="52" s="1"/>
  <c r="D509" i="52" s="1"/>
  <c r="D581" i="52" s="1"/>
  <c r="D653" i="52" s="1"/>
  <c r="D725" i="52" s="1"/>
  <c r="L289" i="52"/>
  <c r="I289" i="52"/>
  <c r="H289" i="52"/>
  <c r="O288" i="52"/>
  <c r="L288" i="52"/>
  <c r="I288" i="52"/>
  <c r="H288" i="52"/>
  <c r="E288" i="52"/>
  <c r="D288" i="52"/>
  <c r="C288" i="52"/>
  <c r="O287" i="52"/>
  <c r="L287" i="52"/>
  <c r="I287" i="52"/>
  <c r="H287" i="52"/>
  <c r="E287" i="52"/>
  <c r="D287" i="52"/>
  <c r="D359" i="52"/>
  <c r="D431" i="52" s="1"/>
  <c r="D503" i="52" s="1"/>
  <c r="D575" i="52" s="1"/>
  <c r="D647" i="52" s="1"/>
  <c r="D719" i="52" s="1"/>
  <c r="I283" i="52"/>
  <c r="H283" i="52"/>
  <c r="C283" i="52"/>
  <c r="O282" i="52"/>
  <c r="L282" i="52"/>
  <c r="I282" i="52"/>
  <c r="H282" i="52"/>
  <c r="E282" i="52"/>
  <c r="D282" i="52"/>
  <c r="D354" i="52" s="1"/>
  <c r="D426" i="52" s="1"/>
  <c r="D498" i="52" s="1"/>
  <c r="D570" i="52" s="1"/>
  <c r="D642" i="52" s="1"/>
  <c r="D714" i="52" s="1"/>
  <c r="E281" i="52"/>
  <c r="L278" i="52"/>
  <c r="I278" i="52"/>
  <c r="H278" i="52"/>
  <c r="O277" i="52"/>
  <c r="L277" i="52"/>
  <c r="I277" i="52"/>
  <c r="H277" i="52"/>
  <c r="E277" i="52"/>
  <c r="D277" i="52"/>
  <c r="D349" i="52"/>
  <c r="D421" i="52" s="1"/>
  <c r="D493" i="52" s="1"/>
  <c r="D565" i="52" s="1"/>
  <c r="D637" i="52" s="1"/>
  <c r="D709" i="52" s="1"/>
  <c r="C277" i="52"/>
  <c r="E276" i="52"/>
  <c r="D276" i="52"/>
  <c r="D348" i="52" s="1"/>
  <c r="D420" i="52" s="1"/>
  <c r="D492" i="52" s="1"/>
  <c r="D564" i="52" s="1"/>
  <c r="D636" i="52" s="1"/>
  <c r="D708" i="52" s="1"/>
  <c r="O275" i="52"/>
  <c r="L275" i="52"/>
  <c r="P275" i="52" s="1"/>
  <c r="I275" i="52"/>
  <c r="H275" i="52"/>
  <c r="E275" i="52"/>
  <c r="D275" i="52"/>
  <c r="D347" i="52" s="1"/>
  <c r="D419" i="52" s="1"/>
  <c r="D491" i="52" s="1"/>
  <c r="D563" i="52" s="1"/>
  <c r="D635" i="52" s="1"/>
  <c r="D707" i="52" s="1"/>
  <c r="B275" i="52"/>
  <c r="O274" i="52"/>
  <c r="L274" i="52"/>
  <c r="I274" i="52"/>
  <c r="H274" i="52"/>
  <c r="E274" i="52"/>
  <c r="D274" i="52"/>
  <c r="C274" i="52"/>
  <c r="H272" i="52"/>
  <c r="P272" i="52" s="1"/>
  <c r="E272" i="52"/>
  <c r="D272" i="52"/>
  <c r="D344" i="52" s="1"/>
  <c r="D416" i="52" s="1"/>
  <c r="D488" i="52" s="1"/>
  <c r="D560" i="52" s="1"/>
  <c r="D632" i="52" s="1"/>
  <c r="D704" i="52" s="1"/>
  <c r="H271" i="52"/>
  <c r="P271" i="52"/>
  <c r="E271" i="52"/>
  <c r="D271" i="52"/>
  <c r="D343" i="52" s="1"/>
  <c r="D415" i="52" s="1"/>
  <c r="D487" i="52" s="1"/>
  <c r="D559" i="52" s="1"/>
  <c r="D631" i="52" s="1"/>
  <c r="D703" i="52" s="1"/>
  <c r="L270" i="52"/>
  <c r="I270" i="52"/>
  <c r="H270" i="52"/>
  <c r="P270" i="52" s="1"/>
  <c r="E270" i="52"/>
  <c r="D270" i="52"/>
  <c r="D342" i="52" s="1"/>
  <c r="D414" i="52" s="1"/>
  <c r="D486" i="52" s="1"/>
  <c r="D558" i="52" s="1"/>
  <c r="D630" i="52" s="1"/>
  <c r="D702" i="52" s="1"/>
  <c r="O269" i="52"/>
  <c r="L269" i="52"/>
  <c r="I269" i="52"/>
  <c r="H269" i="52"/>
  <c r="E269" i="52"/>
  <c r="D269" i="52"/>
  <c r="D341" i="52" s="1"/>
  <c r="D413" i="52" s="1"/>
  <c r="D485" i="52" s="1"/>
  <c r="D557" i="52" s="1"/>
  <c r="D629" i="52" s="1"/>
  <c r="D701" i="52" s="1"/>
  <c r="O267" i="52"/>
  <c r="L267" i="52"/>
  <c r="I267" i="52"/>
  <c r="H267" i="52"/>
  <c r="E267" i="52"/>
  <c r="O266" i="52"/>
  <c r="L266" i="52"/>
  <c r="I266" i="52"/>
  <c r="H266" i="52"/>
  <c r="E266" i="52"/>
  <c r="D266" i="52"/>
  <c r="D338" i="52" s="1"/>
  <c r="D410" i="52" s="1"/>
  <c r="D482" i="52" s="1"/>
  <c r="D554" i="52" s="1"/>
  <c r="D626" i="52" s="1"/>
  <c r="D698" i="52" s="1"/>
  <c r="O265" i="52"/>
  <c r="L265" i="52"/>
  <c r="I265" i="52"/>
  <c r="H265" i="52"/>
  <c r="E265" i="52"/>
  <c r="D265" i="52"/>
  <c r="D337" i="52" s="1"/>
  <c r="D409" i="52" s="1"/>
  <c r="D481" i="52" s="1"/>
  <c r="D553" i="52" s="1"/>
  <c r="D625" i="52" s="1"/>
  <c r="D697" i="52" s="1"/>
  <c r="C265" i="52"/>
  <c r="Z264" i="52"/>
  <c r="P264" i="52"/>
  <c r="K264" i="52"/>
  <c r="G264" i="52"/>
  <c r="F264" i="52"/>
  <c r="E264" i="52"/>
  <c r="D264" i="52"/>
  <c r="C264" i="52"/>
  <c r="B264" i="52"/>
  <c r="L263" i="52"/>
  <c r="K263" i="52"/>
  <c r="J263" i="52"/>
  <c r="I263" i="52"/>
  <c r="H263" i="52"/>
  <c r="G263" i="52"/>
  <c r="B263" i="52"/>
  <c r="B255" i="52"/>
  <c r="B252" i="52"/>
  <c r="L251" i="52"/>
  <c r="B251" i="52"/>
  <c r="L250" i="52"/>
  <c r="B250" i="52"/>
  <c r="L249" i="52"/>
  <c r="B249" i="52"/>
  <c r="B246" i="52"/>
  <c r="L237" i="52"/>
  <c r="B237" i="52"/>
  <c r="B233" i="52"/>
  <c r="B232" i="52"/>
  <c r="L229" i="52"/>
  <c r="A206" i="52"/>
  <c r="A203" i="52"/>
  <c r="A198" i="52"/>
  <c r="A194" i="52"/>
  <c r="A189" i="52"/>
  <c r="A186" i="52"/>
  <c r="A178" i="52"/>
  <c r="A172" i="52"/>
  <c r="A164" i="52"/>
  <c r="A160" i="52"/>
  <c r="A154" i="52"/>
  <c r="A146" i="52"/>
  <c r="A145" i="52"/>
  <c r="A144" i="52"/>
  <c r="A143" i="52"/>
  <c r="A142" i="52"/>
  <c r="A141" i="52"/>
  <c r="A140" i="52"/>
  <c r="A139" i="52"/>
  <c r="A138" i="52"/>
  <c r="A137" i="52"/>
  <c r="A136" i="52"/>
  <c r="A135" i="52"/>
  <c r="A134" i="52"/>
  <c r="A133" i="52"/>
  <c r="A131" i="52"/>
  <c r="A130" i="52"/>
  <c r="A129" i="52"/>
  <c r="A128" i="52"/>
  <c r="A127" i="52"/>
  <c r="A125" i="52"/>
  <c r="A124" i="52"/>
  <c r="A123" i="52"/>
  <c r="A121" i="52"/>
  <c r="A120" i="52"/>
  <c r="A119" i="52"/>
  <c r="A118" i="52"/>
  <c r="A115" i="52"/>
  <c r="A114" i="52"/>
  <c r="A113" i="52"/>
  <c r="A112" i="52"/>
  <c r="A111" i="52"/>
  <c r="A110" i="52"/>
  <c r="A109" i="52"/>
  <c r="A108" i="52"/>
  <c r="A105" i="52"/>
  <c r="A104" i="52"/>
  <c r="A103" i="52"/>
  <c r="A101" i="52"/>
  <c r="A100" i="52"/>
  <c r="A99" i="52"/>
  <c r="A98" i="52"/>
  <c r="A96" i="52"/>
  <c r="A95" i="52"/>
  <c r="A94" i="52"/>
  <c r="I3" i="58"/>
  <c r="A91" i="52"/>
  <c r="A60" i="52"/>
  <c r="C55" i="52"/>
  <c r="B55" i="52"/>
  <c r="P84" i="35"/>
  <c r="Q142" i="35" s="1"/>
  <c r="D54" i="52"/>
  <c r="C54" i="52"/>
  <c r="B54" i="52"/>
  <c r="F53" i="52"/>
  <c r="E53" i="52"/>
  <c r="D53" i="52"/>
  <c r="C53" i="52"/>
  <c r="B53" i="52"/>
  <c r="B52" i="52"/>
  <c r="F324" i="52"/>
  <c r="F396" i="52"/>
  <c r="F468" i="52" s="1"/>
  <c r="F540" i="52" s="1"/>
  <c r="F612" i="52" s="1"/>
  <c r="F684" i="52" s="1"/>
  <c r="F756" i="52" s="1"/>
  <c r="D51" i="52"/>
  <c r="B780" i="52"/>
  <c r="B48" i="52"/>
  <c r="J100" i="38"/>
  <c r="B47" i="52"/>
  <c r="J99" i="38"/>
  <c r="B46" i="52"/>
  <c r="J98" i="38"/>
  <c r="B45" i="52"/>
  <c r="J97" i="38"/>
  <c r="B44" i="52"/>
  <c r="J96" i="38"/>
  <c r="F43" i="52"/>
  <c r="E43" i="52"/>
  <c r="D43" i="52"/>
  <c r="C43" i="52"/>
  <c r="B43" i="52"/>
  <c r="L41" i="52"/>
  <c r="K41" i="52"/>
  <c r="J41" i="52"/>
  <c r="I41" i="52"/>
  <c r="H41" i="52"/>
  <c r="G41" i="52"/>
  <c r="F41" i="52"/>
  <c r="E41" i="52"/>
  <c r="D41" i="52"/>
  <c r="C41" i="52"/>
  <c r="B41" i="52"/>
  <c r="C40" i="52"/>
  <c r="B40" i="52"/>
  <c r="B39" i="52"/>
  <c r="B38" i="52"/>
  <c r="B37" i="52"/>
  <c r="B36" i="52"/>
  <c r="B35" i="52"/>
  <c r="J227" i="50" s="1"/>
  <c r="B34" i="52"/>
  <c r="B33" i="52"/>
  <c r="B32" i="52"/>
  <c r="B31" i="52"/>
  <c r="F526" i="46" s="1"/>
  <c r="B30" i="52"/>
  <c r="H296" i="52" s="1"/>
  <c r="P296" i="52" s="1"/>
  <c r="B29" i="52"/>
  <c r="B28" i="52"/>
  <c r="B27" i="52"/>
  <c r="B26" i="52"/>
  <c r="L6" i="62" s="1"/>
  <c r="B24" i="52"/>
  <c r="C23" i="52"/>
  <c r="B23" i="52"/>
  <c r="C22" i="52"/>
  <c r="B22" i="52"/>
  <c r="B21" i="52"/>
  <c r="B20" i="52"/>
  <c r="B19" i="52"/>
  <c r="B5" i="52"/>
  <c r="B4" i="52"/>
  <c r="B3" i="52"/>
  <c r="B9" i="26"/>
  <c r="C7" i="26"/>
  <c r="B5" i="26"/>
  <c r="A1" i="26"/>
  <c r="G281" i="43"/>
  <c r="G253" i="43"/>
  <c r="E253" i="43"/>
  <c r="E251" i="43"/>
  <c r="E250" i="43"/>
  <c r="E249" i="43"/>
  <c r="D247" i="43"/>
  <c r="G235" i="43"/>
  <c r="E235" i="43"/>
  <c r="E233" i="43"/>
  <c r="D231" i="43"/>
  <c r="E228" i="43"/>
  <c r="E225" i="43"/>
  <c r="E221" i="43"/>
  <c r="E205" i="43"/>
  <c r="E204" i="43"/>
  <c r="E203" i="43"/>
  <c r="E202" i="43"/>
  <c r="E199" i="43"/>
  <c r="E198" i="43"/>
  <c r="E197" i="43"/>
  <c r="E196" i="43"/>
  <c r="E190" i="43"/>
  <c r="E189" i="43"/>
  <c r="E188" i="43"/>
  <c r="E187" i="43"/>
  <c r="E184" i="43"/>
  <c r="E183" i="43"/>
  <c r="E182" i="43"/>
  <c r="E181" i="43"/>
  <c r="E179" i="43"/>
  <c r="E176" i="43"/>
  <c r="E175" i="43"/>
  <c r="E174" i="43"/>
  <c r="E173" i="43"/>
  <c r="E170" i="43"/>
  <c r="E169" i="43"/>
  <c r="E168" i="43"/>
  <c r="E167" i="43"/>
  <c r="E165" i="43"/>
  <c r="E162" i="43"/>
  <c r="E161" i="43"/>
  <c r="E160" i="43"/>
  <c r="E159" i="43"/>
  <c r="E156" i="43"/>
  <c r="E155" i="43"/>
  <c r="E154" i="43"/>
  <c r="E153" i="43"/>
  <c r="E151" i="43"/>
  <c r="E148" i="43"/>
  <c r="E147" i="43"/>
  <c r="E146" i="43"/>
  <c r="E145" i="43"/>
  <c r="E142" i="43"/>
  <c r="E141" i="43"/>
  <c r="E140" i="43"/>
  <c r="E139" i="43"/>
  <c r="E137" i="43"/>
  <c r="E134" i="43"/>
  <c r="E133" i="43"/>
  <c r="E132" i="43"/>
  <c r="E131" i="43"/>
  <c r="E128" i="43"/>
  <c r="E127" i="43"/>
  <c r="E126" i="43"/>
  <c r="E125" i="43"/>
  <c r="E123" i="43"/>
  <c r="E120" i="43"/>
  <c r="E119" i="43"/>
  <c r="E118" i="43"/>
  <c r="E117" i="43"/>
  <c r="E114" i="43"/>
  <c r="E113" i="43"/>
  <c r="E112" i="43"/>
  <c r="E111" i="43"/>
  <c r="E109" i="43"/>
  <c r="D106" i="43"/>
  <c r="E101" i="43"/>
  <c r="E100" i="43"/>
  <c r="E99" i="43"/>
  <c r="E98" i="43"/>
  <c r="E97" i="43"/>
  <c r="E96" i="43"/>
  <c r="E93" i="43"/>
  <c r="E92" i="43"/>
  <c r="E91" i="43"/>
  <c r="E90" i="43"/>
  <c r="E88" i="43"/>
  <c r="E87" i="43"/>
  <c r="D84" i="43"/>
  <c r="E67" i="43"/>
  <c r="E66" i="43"/>
  <c r="E65" i="43"/>
  <c r="E64" i="43"/>
  <c r="E61" i="43"/>
  <c r="E60" i="43"/>
  <c r="E59" i="43"/>
  <c r="E58" i="43"/>
  <c r="E56" i="43"/>
  <c r="E55" i="43"/>
  <c r="E54" i="43"/>
  <c r="E53" i="43"/>
  <c r="E52" i="43"/>
  <c r="E50" i="43"/>
  <c r="E49" i="43"/>
  <c r="E48" i="43"/>
  <c r="E47" i="43"/>
  <c r="E44" i="43"/>
  <c r="E43" i="43"/>
  <c r="E42" i="43"/>
  <c r="E41" i="43"/>
  <c r="G40" i="43"/>
  <c r="E40" i="43"/>
  <c r="G39" i="43"/>
  <c r="E39" i="43"/>
  <c r="G38" i="43"/>
  <c r="E38" i="43"/>
  <c r="G37" i="43"/>
  <c r="E37" i="43"/>
  <c r="G36" i="43"/>
  <c r="G35" i="43"/>
  <c r="G34" i="43"/>
  <c r="E34" i="43"/>
  <c r="E33" i="43"/>
  <c r="E32" i="43"/>
  <c r="G31" i="43"/>
  <c r="E31" i="43"/>
  <c r="E29" i="43"/>
  <c r="H16" i="43"/>
  <c r="E16" i="43"/>
  <c r="E15" i="43"/>
  <c r="E14" i="43"/>
  <c r="E13" i="43"/>
  <c r="D10" i="43"/>
  <c r="C8" i="43"/>
  <c r="C6" i="43"/>
  <c r="I4" i="43"/>
  <c r="G4" i="43"/>
  <c r="K3" i="43"/>
  <c r="I3" i="43"/>
  <c r="G3" i="43"/>
  <c r="E3" i="43"/>
  <c r="K2" i="43"/>
  <c r="I2" i="43"/>
  <c r="G2" i="43"/>
  <c r="E2" i="43"/>
  <c r="B2" i="43"/>
  <c r="G251" i="35"/>
  <c r="E236" i="35"/>
  <c r="E235" i="35"/>
  <c r="E234" i="35"/>
  <c r="E233" i="35"/>
  <c r="E230" i="35"/>
  <c r="E229" i="35"/>
  <c r="E228" i="35"/>
  <c r="E227" i="35"/>
  <c r="E225" i="35"/>
  <c r="E223" i="35"/>
  <c r="E222" i="35"/>
  <c r="E221" i="35"/>
  <c r="E220" i="35"/>
  <c r="E217" i="35"/>
  <c r="E216" i="35"/>
  <c r="E215" i="35"/>
  <c r="E214" i="35"/>
  <c r="E212" i="35"/>
  <c r="E210" i="35"/>
  <c r="E209" i="35"/>
  <c r="E208" i="35"/>
  <c r="E207" i="35"/>
  <c r="E204" i="35"/>
  <c r="E203" i="35"/>
  <c r="E202" i="35"/>
  <c r="E201" i="35"/>
  <c r="E199" i="35"/>
  <c r="D197" i="35"/>
  <c r="D196" i="35"/>
  <c r="D195" i="35"/>
  <c r="D193" i="35"/>
  <c r="E177" i="35"/>
  <c r="E176" i="35"/>
  <c r="E175" i="35"/>
  <c r="E174" i="35"/>
  <c r="E171" i="35"/>
  <c r="E170" i="35"/>
  <c r="E169" i="35"/>
  <c r="E168" i="35"/>
  <c r="E166" i="35"/>
  <c r="E164" i="35"/>
  <c r="E163" i="35"/>
  <c r="E162" i="35"/>
  <c r="E161" i="35"/>
  <c r="E158" i="35"/>
  <c r="E157" i="35"/>
  <c r="E156" i="35"/>
  <c r="E155" i="35"/>
  <c r="E153" i="35"/>
  <c r="E151" i="35"/>
  <c r="E150" i="35"/>
  <c r="E149" i="35"/>
  <c r="E148" i="35"/>
  <c r="E145" i="35"/>
  <c r="E144" i="35"/>
  <c r="E143" i="35"/>
  <c r="E142" i="35"/>
  <c r="E138" i="35"/>
  <c r="E137" i="35"/>
  <c r="E136" i="35"/>
  <c r="E135" i="35"/>
  <c r="E132" i="35"/>
  <c r="E131" i="35"/>
  <c r="E130" i="35"/>
  <c r="E129" i="35"/>
  <c r="E125" i="35"/>
  <c r="E124" i="35"/>
  <c r="E123" i="35"/>
  <c r="E122" i="35"/>
  <c r="E119" i="35"/>
  <c r="E118" i="35"/>
  <c r="E117" i="35"/>
  <c r="E116" i="35"/>
  <c r="E112" i="35"/>
  <c r="E111" i="35"/>
  <c r="H107" i="35"/>
  <c r="M94" i="35"/>
  <c r="H94" i="35"/>
  <c r="F94" i="35"/>
  <c r="E94" i="35"/>
  <c r="E88" i="35"/>
  <c r="E77" i="35"/>
  <c r="E76" i="35"/>
  <c r="E75" i="35"/>
  <c r="E74" i="35"/>
  <c r="E71" i="35"/>
  <c r="E70" i="35"/>
  <c r="E69" i="35"/>
  <c r="E68" i="35"/>
  <c r="H61" i="35"/>
  <c r="M53" i="35"/>
  <c r="G125" i="60" s="1"/>
  <c r="K53" i="35"/>
  <c r="F125" i="60" s="1"/>
  <c r="J53" i="35"/>
  <c r="E125" i="60" s="1"/>
  <c r="H53" i="35"/>
  <c r="D125" i="60" s="1"/>
  <c r="F53" i="35"/>
  <c r="C125" i="60"/>
  <c r="E53" i="35"/>
  <c r="B125" i="60" s="1"/>
  <c r="E51" i="35"/>
  <c r="E49" i="35"/>
  <c r="E48" i="35"/>
  <c r="F47" i="35"/>
  <c r="E47" i="35"/>
  <c r="F46" i="35"/>
  <c r="E46" i="35"/>
  <c r="E45" i="35"/>
  <c r="E43" i="35"/>
  <c r="E20" i="35"/>
  <c r="E19" i="35"/>
  <c r="B2" i="35"/>
  <c r="G496" i="58"/>
  <c r="E481" i="58"/>
  <c r="E480" i="58"/>
  <c r="E479" i="58"/>
  <c r="E478" i="58"/>
  <c r="E475" i="58"/>
  <c r="E474" i="58"/>
  <c r="E473" i="58"/>
  <c r="E472" i="58"/>
  <c r="E470" i="58"/>
  <c r="E468" i="58"/>
  <c r="E467" i="58"/>
  <c r="E466" i="58"/>
  <c r="E465" i="58"/>
  <c r="E462" i="58"/>
  <c r="E461" i="58"/>
  <c r="E460" i="58"/>
  <c r="E459" i="58"/>
  <c r="E457" i="58"/>
  <c r="E456" i="58"/>
  <c r="E454" i="58"/>
  <c r="E453" i="58"/>
  <c r="E452" i="58"/>
  <c r="E451" i="58"/>
  <c r="E448" i="58"/>
  <c r="E447" i="58"/>
  <c r="E446" i="58"/>
  <c r="E445" i="58"/>
  <c r="E443" i="58"/>
  <c r="D441" i="58"/>
  <c r="E370" i="58"/>
  <c r="E298" i="58"/>
  <c r="E226" i="58"/>
  <c r="E154" i="58"/>
  <c r="E145" i="58"/>
  <c r="E144" i="58"/>
  <c r="E143" i="58"/>
  <c r="E137" i="58"/>
  <c r="E136" i="58"/>
  <c r="D135" i="58"/>
  <c r="E133" i="58"/>
  <c r="AW109" i="60" s="1"/>
  <c r="N132" i="58"/>
  <c r="M132" i="58"/>
  <c r="L132" i="58"/>
  <c r="K132" i="58"/>
  <c r="J132" i="58"/>
  <c r="I132" i="58"/>
  <c r="E130" i="58"/>
  <c r="D129" i="58"/>
  <c r="N124" i="58"/>
  <c r="M124" i="58"/>
  <c r="AU110" i="60" s="1"/>
  <c r="L124" i="58"/>
  <c r="K124" i="58"/>
  <c r="AY110" i="60" s="1"/>
  <c r="J124" i="58"/>
  <c r="I124" i="58"/>
  <c r="E124" i="58"/>
  <c r="E122" i="58"/>
  <c r="E120" i="58"/>
  <c r="E127" i="58" s="1"/>
  <c r="E119" i="58"/>
  <c r="E118" i="58"/>
  <c r="J117" i="58"/>
  <c r="I117" i="58"/>
  <c r="H124" i="58"/>
  <c r="H117" i="58"/>
  <c r="E117" i="58"/>
  <c r="E115" i="58"/>
  <c r="D114" i="58"/>
  <c r="I112" i="58"/>
  <c r="E112" i="58"/>
  <c r="E111" i="58"/>
  <c r="E110" i="58"/>
  <c r="D109" i="58"/>
  <c r="V109" i="60" s="1"/>
  <c r="I107" i="58"/>
  <c r="E107" i="58"/>
  <c r="E106" i="58"/>
  <c r="E105" i="58"/>
  <c r="D104" i="58"/>
  <c r="S109" i="60" s="1"/>
  <c r="I102" i="58"/>
  <c r="E102" i="58"/>
  <c r="E101" i="58"/>
  <c r="E100" i="58"/>
  <c r="D99" i="58"/>
  <c r="P109" i="60" s="1"/>
  <c r="I97" i="58"/>
  <c r="E97" i="58"/>
  <c r="E96" i="58"/>
  <c r="E95" i="58"/>
  <c r="D94" i="58"/>
  <c r="M109" i="60" s="1"/>
  <c r="I92" i="58"/>
  <c r="E92" i="58"/>
  <c r="E91" i="58"/>
  <c r="T110" i="60" s="1"/>
  <c r="E90" i="58"/>
  <c r="D89" i="58"/>
  <c r="J109" i="60" s="1"/>
  <c r="D87" i="58"/>
  <c r="E83" i="58"/>
  <c r="F82" i="58"/>
  <c r="F81" i="58"/>
  <c r="F80" i="58"/>
  <c r="E79" i="58"/>
  <c r="D77" i="58"/>
  <c r="E75" i="58"/>
  <c r="E74" i="58"/>
  <c r="E73" i="58"/>
  <c r="D67" i="58"/>
  <c r="D66" i="58"/>
  <c r="D65" i="58"/>
  <c r="D63" i="58"/>
  <c r="G57" i="58"/>
  <c r="L49" i="58"/>
  <c r="H49" i="58"/>
  <c r="D110" i="60" s="1"/>
  <c r="E49" i="58"/>
  <c r="C110" i="60" s="1"/>
  <c r="D47" i="58"/>
  <c r="D46" i="58"/>
  <c r="D45" i="58"/>
  <c r="D44" i="58"/>
  <c r="D43" i="58"/>
  <c r="D41" i="58"/>
  <c r="D40" i="58"/>
  <c r="E17" i="58"/>
  <c r="E16" i="58"/>
  <c r="E15" i="58"/>
  <c r="D14" i="58"/>
  <c r="D12" i="58"/>
  <c r="C6" i="58"/>
  <c r="E2" i="58"/>
  <c r="B2" i="58"/>
  <c r="G111" i="48"/>
  <c r="E76" i="48"/>
  <c r="E75" i="48"/>
  <c r="E73" i="48"/>
  <c r="E72" i="48"/>
  <c r="E71" i="48"/>
  <c r="E70" i="48"/>
  <c r="E67" i="48"/>
  <c r="E66" i="48"/>
  <c r="E65" i="48"/>
  <c r="E64" i="48"/>
  <c r="E63" i="48"/>
  <c r="E61" i="48"/>
  <c r="E60" i="48"/>
  <c r="E59" i="48"/>
  <c r="E58" i="48"/>
  <c r="E55" i="48"/>
  <c r="E54" i="48"/>
  <c r="E53" i="48"/>
  <c r="E52" i="48"/>
  <c r="E51" i="48"/>
  <c r="E49" i="48"/>
  <c r="E48" i="48"/>
  <c r="E47" i="48"/>
  <c r="E46" i="48"/>
  <c r="E43" i="48"/>
  <c r="E42" i="48"/>
  <c r="E41" i="48"/>
  <c r="E40" i="48"/>
  <c r="E39" i="48"/>
  <c r="E37" i="48"/>
  <c r="E36" i="48"/>
  <c r="E35" i="48"/>
  <c r="E34" i="48"/>
  <c r="E31" i="48"/>
  <c r="E30" i="48"/>
  <c r="E29" i="48"/>
  <c r="E28" i="48"/>
  <c r="E27" i="48"/>
  <c r="E25" i="48"/>
  <c r="E24" i="48"/>
  <c r="E23" i="48"/>
  <c r="E22" i="48"/>
  <c r="E19" i="48"/>
  <c r="E18" i="48"/>
  <c r="E17" i="48"/>
  <c r="E16" i="48"/>
  <c r="E15" i="48"/>
  <c r="E13" i="48"/>
  <c r="E12" i="48"/>
  <c r="D10" i="48"/>
  <c r="C6" i="48"/>
  <c r="B2" i="48"/>
  <c r="G82" i="28"/>
  <c r="E67" i="28"/>
  <c r="E66" i="28"/>
  <c r="E65" i="28"/>
  <c r="E64" i="28"/>
  <c r="E63" i="28"/>
  <c r="E62" i="28"/>
  <c r="E61" i="28"/>
  <c r="E60" i="28"/>
  <c r="E58" i="28"/>
  <c r="E42" i="28"/>
  <c r="E41" i="28"/>
  <c r="E40" i="28"/>
  <c r="E17" i="28"/>
  <c r="E16" i="28"/>
  <c r="E15" i="28"/>
  <c r="E14" i="28"/>
  <c r="C12" i="28"/>
  <c r="D10" i="28"/>
  <c r="C6" i="28"/>
  <c r="B2" i="28"/>
  <c r="G522" i="46"/>
  <c r="E507" i="46"/>
  <c r="E506" i="46"/>
  <c r="E505" i="46"/>
  <c r="E504" i="46"/>
  <c r="E503" i="46"/>
  <c r="E502" i="46"/>
  <c r="E501" i="46"/>
  <c r="E500" i="46"/>
  <c r="E499" i="46"/>
  <c r="E497" i="46"/>
  <c r="E496" i="46"/>
  <c r="E495" i="46"/>
  <c r="E494" i="46"/>
  <c r="E493" i="46"/>
  <c r="E492" i="46"/>
  <c r="E491" i="46"/>
  <c r="E490" i="46"/>
  <c r="E487" i="46"/>
  <c r="E486" i="46"/>
  <c r="E485" i="46"/>
  <c r="E484" i="46"/>
  <c r="E483" i="46"/>
  <c r="E482" i="46"/>
  <c r="E481" i="46"/>
  <c r="E480" i="46"/>
  <c r="E479" i="46"/>
  <c r="E477" i="46"/>
  <c r="E476" i="46"/>
  <c r="E475" i="46"/>
  <c r="E474" i="46"/>
  <c r="E473" i="46"/>
  <c r="E472" i="46"/>
  <c r="E471" i="46"/>
  <c r="E470" i="46"/>
  <c r="E468" i="46"/>
  <c r="E467" i="46"/>
  <c r="E465" i="46"/>
  <c r="E464" i="46"/>
  <c r="E463" i="46"/>
  <c r="E462" i="46"/>
  <c r="E461" i="46"/>
  <c r="E460" i="46"/>
  <c r="E459" i="46"/>
  <c r="E458" i="46"/>
  <c r="E456" i="46"/>
  <c r="E455" i="46"/>
  <c r="E454" i="46"/>
  <c r="E453" i="46"/>
  <c r="D451" i="46"/>
  <c r="E211" i="46"/>
  <c r="E210" i="46"/>
  <c r="D207" i="46"/>
  <c r="F204" i="46"/>
  <c r="W90" i="60" s="1"/>
  <c r="V90" i="60"/>
  <c r="F198" i="46"/>
  <c r="U90" i="60" s="1"/>
  <c r="F195" i="46"/>
  <c r="T90" i="60" s="1"/>
  <c r="F192" i="46"/>
  <c r="S90" i="60" s="1"/>
  <c r="E190" i="46"/>
  <c r="E189" i="46"/>
  <c r="E183" i="46"/>
  <c r="E182" i="46"/>
  <c r="R90" i="60"/>
  <c r="D180" i="46"/>
  <c r="E178" i="46"/>
  <c r="E177" i="46"/>
  <c r="E176" i="46"/>
  <c r="I174" i="46"/>
  <c r="E174" i="46"/>
  <c r="I173" i="46"/>
  <c r="E173" i="46"/>
  <c r="I172" i="46"/>
  <c r="E172" i="46"/>
  <c r="D171" i="46"/>
  <c r="I170" i="46"/>
  <c r="E170" i="46"/>
  <c r="Q90" i="60" s="1"/>
  <c r="E169" i="46"/>
  <c r="P90" i="60" s="1"/>
  <c r="E168" i="46"/>
  <c r="O90" i="60" s="1"/>
  <c r="E162" i="46"/>
  <c r="E160" i="46"/>
  <c r="E159" i="46"/>
  <c r="I157" i="46"/>
  <c r="H157" i="46"/>
  <c r="E156" i="46"/>
  <c r="D154" i="46"/>
  <c r="E152" i="46"/>
  <c r="F149" i="46"/>
  <c r="E148" i="46"/>
  <c r="D146" i="46"/>
  <c r="E144" i="46"/>
  <c r="E143" i="46"/>
  <c r="M141" i="46"/>
  <c r="H141" i="46"/>
  <c r="H139" i="46"/>
  <c r="D139" i="46"/>
  <c r="E137" i="46"/>
  <c r="N90" i="60" s="1"/>
  <c r="D131" i="46"/>
  <c r="D130" i="46"/>
  <c r="D129" i="46"/>
  <c r="D128" i="46"/>
  <c r="D127" i="46"/>
  <c r="D125" i="46"/>
  <c r="G120" i="46"/>
  <c r="M102" i="46"/>
  <c r="I102" i="46"/>
  <c r="H102" i="46"/>
  <c r="F102" i="46"/>
  <c r="I101" i="46"/>
  <c r="H101" i="46"/>
  <c r="F101" i="46"/>
  <c r="M100" i="46"/>
  <c r="L100" i="46"/>
  <c r="I100" i="46"/>
  <c r="H100" i="46"/>
  <c r="F100" i="46"/>
  <c r="E100" i="46"/>
  <c r="E98" i="46"/>
  <c r="E97" i="46"/>
  <c r="E96" i="46"/>
  <c r="E95" i="46"/>
  <c r="E93" i="46"/>
  <c r="E92" i="46"/>
  <c r="E91" i="46"/>
  <c r="G87" i="46"/>
  <c r="N62" i="46"/>
  <c r="G62" i="46"/>
  <c r="E62" i="46"/>
  <c r="N60" i="46"/>
  <c r="G60" i="46"/>
  <c r="E60" i="46"/>
  <c r="M59" i="46"/>
  <c r="L59" i="46"/>
  <c r="J59" i="46"/>
  <c r="I59" i="46"/>
  <c r="H59" i="46"/>
  <c r="N58" i="46"/>
  <c r="L58" i="46"/>
  <c r="K58" i="46"/>
  <c r="H58" i="46"/>
  <c r="G58" i="46"/>
  <c r="E58" i="46"/>
  <c r="C58" i="46"/>
  <c r="E56" i="46"/>
  <c r="E55" i="46"/>
  <c r="E54" i="46"/>
  <c r="E53" i="46"/>
  <c r="E52" i="46"/>
  <c r="E51" i="46"/>
  <c r="E50" i="46"/>
  <c r="E49" i="46"/>
  <c r="E48" i="46"/>
  <c r="E47" i="46"/>
  <c r="E46" i="46"/>
  <c r="E44" i="46"/>
  <c r="E43" i="46"/>
  <c r="E20" i="46"/>
  <c r="E18" i="46"/>
  <c r="E17" i="46"/>
  <c r="E16" i="46"/>
  <c r="E15" i="46"/>
  <c r="E12" i="46"/>
  <c r="D10" i="46"/>
  <c r="C6" i="46"/>
  <c r="G4" i="46"/>
  <c r="K3" i="58" s="1"/>
  <c r="E4" i="46"/>
  <c r="I3" i="46"/>
  <c r="G3" i="46"/>
  <c r="E3" i="46"/>
  <c r="K2" i="46"/>
  <c r="I2" i="46"/>
  <c r="G2" i="46"/>
  <c r="E2" i="46"/>
  <c r="B2" i="46"/>
  <c r="E180" i="50"/>
  <c r="E179" i="50"/>
  <c r="D175" i="50"/>
  <c r="K170" i="50"/>
  <c r="K169" i="50"/>
  <c r="N168" i="50"/>
  <c r="M168" i="50"/>
  <c r="D166" i="50"/>
  <c r="N159" i="50"/>
  <c r="N167" i="50" s="1"/>
  <c r="M159" i="50"/>
  <c r="M167" i="50" s="1"/>
  <c r="L159" i="50"/>
  <c r="L167" i="50"/>
  <c r="K159" i="50"/>
  <c r="K167" i="50" s="1"/>
  <c r="J159" i="50"/>
  <c r="J167" i="50"/>
  <c r="I159" i="50"/>
  <c r="I167" i="50" s="1"/>
  <c r="E157" i="50"/>
  <c r="E155" i="50"/>
  <c r="E154" i="50"/>
  <c r="E153" i="50"/>
  <c r="E167" i="50"/>
  <c r="I151" i="50"/>
  <c r="E151" i="50"/>
  <c r="H150" i="50"/>
  <c r="E150" i="50"/>
  <c r="H149" i="50"/>
  <c r="E149" i="50"/>
  <c r="J148" i="50"/>
  <c r="E148" i="50"/>
  <c r="E147" i="50"/>
  <c r="J146" i="50"/>
  <c r="E146" i="50"/>
  <c r="J145" i="50"/>
  <c r="I145" i="50"/>
  <c r="H145" i="50"/>
  <c r="E145" i="50"/>
  <c r="D144" i="50"/>
  <c r="E143" i="50"/>
  <c r="E165" i="50" s="1"/>
  <c r="E173" i="50" s="1"/>
  <c r="E142" i="50"/>
  <c r="E164" i="50"/>
  <c r="E172" i="50" s="1"/>
  <c r="E141" i="50"/>
  <c r="E163" i="50" s="1"/>
  <c r="E171" i="50" s="1"/>
  <c r="E140" i="50"/>
  <c r="E162" i="50" s="1"/>
  <c r="E170" i="50" s="1"/>
  <c r="E139" i="50"/>
  <c r="E161" i="50" s="1"/>
  <c r="E169" i="50" s="1"/>
  <c r="E138" i="50"/>
  <c r="E160" i="50"/>
  <c r="E168" i="50" s="1"/>
  <c r="J137" i="50"/>
  <c r="I137" i="50"/>
  <c r="H159" i="50" s="1"/>
  <c r="H167" i="50" s="1"/>
  <c r="H137" i="50"/>
  <c r="E137" i="50"/>
  <c r="E159" i="50"/>
  <c r="E135" i="50"/>
  <c r="E133" i="50"/>
  <c r="E132" i="50"/>
  <c r="E131" i="50"/>
  <c r="F119" i="50"/>
  <c r="G118" i="50"/>
  <c r="G117" i="50"/>
  <c r="F116" i="50"/>
  <c r="E107" i="50"/>
  <c r="D105" i="50"/>
  <c r="E102" i="50"/>
  <c r="F101" i="50"/>
  <c r="F100" i="50"/>
  <c r="E99" i="50"/>
  <c r="E98" i="50"/>
  <c r="J97" i="50"/>
  <c r="I97" i="50"/>
  <c r="E97" i="50"/>
  <c r="I96" i="50"/>
  <c r="E96" i="50"/>
  <c r="I95" i="50"/>
  <c r="E95" i="50"/>
  <c r="D94" i="50"/>
  <c r="I93" i="50"/>
  <c r="E93" i="50"/>
  <c r="E92" i="50"/>
  <c r="E91" i="50"/>
  <c r="E86" i="50"/>
  <c r="E85" i="50"/>
  <c r="E83" i="50"/>
  <c r="E82" i="50"/>
  <c r="E80" i="50"/>
  <c r="F78" i="50"/>
  <c r="F77" i="50"/>
  <c r="F75" i="50"/>
  <c r="F73" i="50"/>
  <c r="F71" i="50"/>
  <c r="F69" i="50"/>
  <c r="F68" i="50"/>
  <c r="F66" i="50"/>
  <c r="E64" i="50"/>
  <c r="E63" i="50"/>
  <c r="H62" i="50"/>
  <c r="E61" i="50"/>
  <c r="F59" i="50"/>
  <c r="F58" i="50"/>
  <c r="F56" i="50"/>
  <c r="E54" i="50"/>
  <c r="H53" i="50"/>
  <c r="E52" i="50"/>
  <c r="E50" i="50"/>
  <c r="D48" i="50"/>
  <c r="E46" i="50"/>
  <c r="D45" i="50"/>
  <c r="E41" i="50"/>
  <c r="F40" i="50"/>
  <c r="F39" i="50"/>
  <c r="F38" i="50"/>
  <c r="D35" i="50"/>
  <c r="E33" i="50"/>
  <c r="E32" i="50"/>
  <c r="E31" i="50"/>
  <c r="H29" i="50"/>
  <c r="V57" i="50"/>
  <c r="W57" i="50" s="1"/>
  <c r="E29" i="50"/>
  <c r="H28" i="50"/>
  <c r="E28" i="50"/>
  <c r="H27" i="50"/>
  <c r="E27" i="50"/>
  <c r="M25" i="50"/>
  <c r="H25" i="50"/>
  <c r="D25" i="50"/>
  <c r="E23" i="50"/>
  <c r="E22" i="50"/>
  <c r="E21" i="50"/>
  <c r="D16" i="50"/>
  <c r="D15" i="50"/>
  <c r="D14" i="50"/>
  <c r="D13" i="50"/>
  <c r="D12" i="50"/>
  <c r="D10" i="50"/>
  <c r="C6" i="50"/>
  <c r="K4" i="50"/>
  <c r="E4" i="50"/>
  <c r="E3" i="50"/>
  <c r="K2" i="50"/>
  <c r="I2" i="50"/>
  <c r="G2" i="50"/>
  <c r="E2" i="50"/>
  <c r="B2" i="50"/>
  <c r="G313" i="44"/>
  <c r="E242" i="44"/>
  <c r="E241" i="44"/>
  <c r="E240" i="44"/>
  <c r="E239" i="44"/>
  <c r="E236" i="44"/>
  <c r="E235" i="44"/>
  <c r="E234" i="44"/>
  <c r="E233" i="44"/>
  <c r="E231" i="44"/>
  <c r="E230" i="44"/>
  <c r="E228" i="44"/>
  <c r="E227" i="44"/>
  <c r="E226" i="44"/>
  <c r="E225" i="44"/>
  <c r="E222" i="44"/>
  <c r="E221" i="44"/>
  <c r="E220" i="44"/>
  <c r="E219" i="44"/>
  <c r="E217" i="44"/>
  <c r="E216" i="44"/>
  <c r="E214" i="44"/>
  <c r="E213" i="44"/>
  <c r="E212" i="44"/>
  <c r="E211" i="44"/>
  <c r="E208" i="44"/>
  <c r="E207" i="44"/>
  <c r="E206" i="44"/>
  <c r="E205" i="44"/>
  <c r="E203" i="44"/>
  <c r="E201" i="44"/>
  <c r="E200" i="44"/>
  <c r="E199" i="44"/>
  <c r="E198" i="44"/>
  <c r="E195" i="44"/>
  <c r="E194" i="44"/>
  <c r="E193" i="44"/>
  <c r="E192" i="44"/>
  <c r="E190" i="44"/>
  <c r="E189" i="44"/>
  <c r="E188" i="44"/>
  <c r="E187" i="44"/>
  <c r="E185" i="44"/>
  <c r="E184" i="44"/>
  <c r="E183" i="44"/>
  <c r="E182" i="44"/>
  <c r="E179" i="44"/>
  <c r="E178" i="44"/>
  <c r="E177" i="44"/>
  <c r="E176" i="44"/>
  <c r="G175" i="44"/>
  <c r="E175" i="44"/>
  <c r="G174" i="44"/>
  <c r="E174" i="44"/>
  <c r="G173" i="44"/>
  <c r="E173" i="44"/>
  <c r="G172" i="44"/>
  <c r="E172" i="44"/>
  <c r="G170" i="44"/>
  <c r="G169" i="44"/>
  <c r="E169" i="44"/>
  <c r="G168" i="44"/>
  <c r="E168" i="44"/>
  <c r="G167" i="44"/>
  <c r="E167" i="44"/>
  <c r="G166" i="44"/>
  <c r="E166" i="44"/>
  <c r="E164" i="44"/>
  <c r="E163" i="44"/>
  <c r="E162" i="44"/>
  <c r="E161" i="44"/>
  <c r="E160" i="44"/>
  <c r="G156" i="44"/>
  <c r="M138" i="44"/>
  <c r="I138" i="44"/>
  <c r="H138" i="44"/>
  <c r="F138" i="44"/>
  <c r="I137" i="44"/>
  <c r="H137" i="44"/>
  <c r="F137" i="44"/>
  <c r="M136" i="44"/>
  <c r="L136" i="44"/>
  <c r="I136" i="44"/>
  <c r="H136" i="44"/>
  <c r="F136" i="44"/>
  <c r="E136" i="44"/>
  <c r="E134" i="44"/>
  <c r="E133" i="44"/>
  <c r="E132" i="44"/>
  <c r="E131" i="44"/>
  <c r="E130" i="44"/>
  <c r="G126" i="44"/>
  <c r="F108" i="44"/>
  <c r="F107" i="44"/>
  <c r="F106" i="44"/>
  <c r="F105" i="44"/>
  <c r="E105" i="44"/>
  <c r="E103" i="44"/>
  <c r="E102" i="44"/>
  <c r="E101" i="44"/>
  <c r="E100" i="44"/>
  <c r="E99" i="44"/>
  <c r="E98" i="44"/>
  <c r="E96" i="44"/>
  <c r="E95" i="44"/>
  <c r="E94" i="44"/>
  <c r="G90" i="44"/>
  <c r="F65" i="44"/>
  <c r="F63" i="44"/>
  <c r="N62" i="44"/>
  <c r="M62" i="44"/>
  <c r="K62" i="44"/>
  <c r="J62" i="44"/>
  <c r="I62" i="44"/>
  <c r="M61" i="44"/>
  <c r="L61" i="44"/>
  <c r="I61" i="44"/>
  <c r="H61" i="44"/>
  <c r="F61" i="44"/>
  <c r="E61" i="44"/>
  <c r="E59" i="44"/>
  <c r="E58" i="44"/>
  <c r="E57" i="44"/>
  <c r="E56" i="44"/>
  <c r="E55" i="44"/>
  <c r="E54" i="44"/>
  <c r="E53" i="44"/>
  <c r="E52" i="44"/>
  <c r="E51" i="44"/>
  <c r="E50" i="44"/>
  <c r="E49" i="44"/>
  <c r="E27" i="44"/>
  <c r="E26" i="44"/>
  <c r="E25" i="44"/>
  <c r="E24" i="44"/>
  <c r="E23" i="44"/>
  <c r="E22" i="44"/>
  <c r="E21" i="44"/>
  <c r="E18" i="44"/>
  <c r="E17" i="44"/>
  <c r="E16" i="44"/>
  <c r="E15" i="44"/>
  <c r="D13" i="44"/>
  <c r="D12" i="44"/>
  <c r="D10" i="44"/>
  <c r="C6" i="44"/>
  <c r="I4" i="44"/>
  <c r="G4" i="44"/>
  <c r="E4" i="44"/>
  <c r="K3" i="44"/>
  <c r="I3" i="44"/>
  <c r="G3" i="44"/>
  <c r="E3" i="44"/>
  <c r="K2" i="44"/>
  <c r="I2" i="44"/>
  <c r="G2" i="44"/>
  <c r="E2" i="44"/>
  <c r="B2" i="44"/>
  <c r="G262" i="38"/>
  <c r="L250" i="38"/>
  <c r="I250" i="38"/>
  <c r="F250" i="38"/>
  <c r="L249" i="38"/>
  <c r="I249" i="38"/>
  <c r="F249" i="38"/>
  <c r="E249" i="38"/>
  <c r="E247" i="38"/>
  <c r="E246" i="38"/>
  <c r="E245" i="38"/>
  <c r="E244" i="38"/>
  <c r="F242" i="38"/>
  <c r="F240" i="38"/>
  <c r="F238" i="38"/>
  <c r="N225" i="38"/>
  <c r="M225" i="38"/>
  <c r="F225" i="38"/>
  <c r="N224" i="38"/>
  <c r="M224" i="38"/>
  <c r="F224" i="38"/>
  <c r="N223" i="38"/>
  <c r="M223" i="38"/>
  <c r="L223" i="38"/>
  <c r="F223" i="38"/>
  <c r="E223" i="38"/>
  <c r="E221" i="38"/>
  <c r="E220" i="38"/>
  <c r="E219" i="38"/>
  <c r="E218" i="38"/>
  <c r="F217" i="38"/>
  <c r="F216" i="38"/>
  <c r="F215" i="38"/>
  <c r="E214" i="38"/>
  <c r="E212" i="38"/>
  <c r="E211" i="38"/>
  <c r="E210" i="38"/>
  <c r="G206" i="38"/>
  <c r="N193" i="38"/>
  <c r="M193" i="38"/>
  <c r="L193" i="38"/>
  <c r="I193" i="38"/>
  <c r="F193" i="38"/>
  <c r="N192" i="38"/>
  <c r="M192" i="38"/>
  <c r="L192" i="38"/>
  <c r="I192" i="38"/>
  <c r="F192" i="38"/>
  <c r="N191" i="38"/>
  <c r="M191" i="38"/>
  <c r="L191" i="38"/>
  <c r="I191" i="38"/>
  <c r="F191" i="38"/>
  <c r="E191" i="38"/>
  <c r="E189" i="38"/>
  <c r="E188" i="38"/>
  <c r="E187" i="38"/>
  <c r="E186" i="38"/>
  <c r="E185" i="38"/>
  <c r="E184" i="38"/>
  <c r="E182" i="38"/>
  <c r="G178" i="38"/>
  <c r="F170" i="38"/>
  <c r="N169" i="38"/>
  <c r="H90" i="60" s="1"/>
  <c r="M169" i="38"/>
  <c r="G90" i="60"/>
  <c r="L169" i="38"/>
  <c r="F90" i="60" s="1"/>
  <c r="K169" i="38"/>
  <c r="D90" i="60" s="1"/>
  <c r="F169" i="38"/>
  <c r="C90" i="60" s="1"/>
  <c r="E169" i="38"/>
  <c r="B90" i="60"/>
  <c r="E167" i="38"/>
  <c r="E166" i="38"/>
  <c r="E165" i="38"/>
  <c r="E163" i="38"/>
  <c r="E162" i="38"/>
  <c r="E161" i="38"/>
  <c r="E160" i="38"/>
  <c r="E157" i="38"/>
  <c r="G153" i="38"/>
  <c r="F140" i="38"/>
  <c r="F139" i="38"/>
  <c r="N138" i="38"/>
  <c r="M138" i="38"/>
  <c r="L138" i="38"/>
  <c r="F138" i="38"/>
  <c r="E138" i="38"/>
  <c r="E136" i="38"/>
  <c r="E135" i="38"/>
  <c r="E134" i="38"/>
  <c r="E133" i="38"/>
  <c r="E132" i="38"/>
  <c r="G128" i="38"/>
  <c r="F115" i="38"/>
  <c r="F114" i="38"/>
  <c r="F113" i="38"/>
  <c r="N112" i="38"/>
  <c r="F112" i="38"/>
  <c r="E112" i="38"/>
  <c r="E110" i="38"/>
  <c r="E109" i="38"/>
  <c r="E108" i="38"/>
  <c r="E107" i="38"/>
  <c r="E106" i="38"/>
  <c r="E104" i="38"/>
  <c r="E100" i="38"/>
  <c r="AD4" i="60" s="1"/>
  <c r="E99" i="38"/>
  <c r="AC4" i="60" s="1"/>
  <c r="E98" i="38"/>
  <c r="AB4" i="60"/>
  <c r="E97" i="38"/>
  <c r="AA4" i="60" s="1"/>
  <c r="E96" i="38"/>
  <c r="Z4" i="60"/>
  <c r="E94" i="38"/>
  <c r="E93" i="38"/>
  <c r="E92" i="38"/>
  <c r="E91" i="38"/>
  <c r="E90" i="38"/>
  <c r="Z3" i="60" s="1"/>
  <c r="D88" i="38"/>
  <c r="E80" i="38"/>
  <c r="E79" i="38"/>
  <c r="F77" i="38"/>
  <c r="F76" i="38"/>
  <c r="E75" i="38"/>
  <c r="E74" i="38"/>
  <c r="E73" i="38"/>
  <c r="W4" i="60"/>
  <c r="E71" i="38"/>
  <c r="V4" i="60" s="1"/>
  <c r="E70" i="38"/>
  <c r="U4" i="60"/>
  <c r="E67" i="38"/>
  <c r="E65" i="38"/>
  <c r="L55" i="38"/>
  <c r="F55" i="38"/>
  <c r="L54" i="38"/>
  <c r="F54" i="38"/>
  <c r="N53" i="38"/>
  <c r="L53" i="38"/>
  <c r="K53" i="38"/>
  <c r="F53" i="38"/>
  <c r="E53" i="38"/>
  <c r="E51" i="38"/>
  <c r="E50" i="38"/>
  <c r="E48" i="38"/>
  <c r="F47" i="38"/>
  <c r="F46" i="38"/>
  <c r="E45" i="38"/>
  <c r="E44" i="38"/>
  <c r="E43" i="38"/>
  <c r="E42" i="38"/>
  <c r="N3" i="60"/>
  <c r="E40" i="38"/>
  <c r="E39" i="38"/>
  <c r="E38" i="38"/>
  <c r="E15" i="38"/>
  <c r="E14" i="38"/>
  <c r="E13" i="38"/>
  <c r="D11" i="38"/>
  <c r="D10" i="38"/>
  <c r="D8" i="38"/>
  <c r="C6" i="38"/>
  <c r="K4" i="38"/>
  <c r="I4" i="38"/>
  <c r="G4" i="38"/>
  <c r="E4" i="38"/>
  <c r="K3" i="38"/>
  <c r="I3" i="38"/>
  <c r="G3" i="38"/>
  <c r="E3" i="38"/>
  <c r="K2" i="38"/>
  <c r="I2" i="38"/>
  <c r="G2" i="38"/>
  <c r="E2" i="38"/>
  <c r="B2" i="38"/>
  <c r="G62" i="37"/>
  <c r="G61" i="37"/>
  <c r="G59" i="37"/>
  <c r="G58" i="37"/>
  <c r="G57" i="37"/>
  <c r="G56" i="37"/>
  <c r="G55" i="37"/>
  <c r="E55" i="37"/>
  <c r="G53" i="37"/>
  <c r="L4" i="60" s="1"/>
  <c r="G52" i="37"/>
  <c r="K4" i="60" s="1"/>
  <c r="G50" i="37"/>
  <c r="J4" i="60" s="1"/>
  <c r="G49" i="37"/>
  <c r="I4" i="60" s="1"/>
  <c r="G48" i="37"/>
  <c r="H4" i="60" s="1"/>
  <c r="G47" i="37"/>
  <c r="G4" i="60" s="1"/>
  <c r="G46" i="37"/>
  <c r="F4" i="60" s="1"/>
  <c r="E46" i="37"/>
  <c r="E44" i="37"/>
  <c r="E43" i="37"/>
  <c r="D41" i="37"/>
  <c r="E39" i="37"/>
  <c r="E38" i="37"/>
  <c r="E36" i="37"/>
  <c r="E35" i="37"/>
  <c r="E34" i="37"/>
  <c r="E33" i="37"/>
  <c r="E32" i="37"/>
  <c r="E31" i="37"/>
  <c r="E29" i="37"/>
  <c r="E27" i="37"/>
  <c r="E25" i="37"/>
  <c r="E23" i="37"/>
  <c r="E22" i="37"/>
  <c r="E20" i="37"/>
  <c r="D18" i="37"/>
  <c r="E16" i="37"/>
  <c r="I14" i="37"/>
  <c r="E14" i="37"/>
  <c r="E12" i="37"/>
  <c r="E10" i="37"/>
  <c r="D8" i="37"/>
  <c r="C6" i="37"/>
  <c r="E4" i="37"/>
  <c r="K3" i="37"/>
  <c r="I3" i="37"/>
  <c r="G3" i="37"/>
  <c r="E3" i="37"/>
  <c r="K2" i="37"/>
  <c r="I2" i="37"/>
  <c r="E2" i="37"/>
  <c r="B2" i="37"/>
  <c r="G50" i="55"/>
  <c r="G21" i="55"/>
  <c r="G20" i="55"/>
  <c r="G19" i="55"/>
  <c r="G18" i="55"/>
  <c r="G17" i="55"/>
  <c r="F17" i="55"/>
  <c r="E17" i="55"/>
  <c r="E15" i="55"/>
  <c r="E13" i="55"/>
  <c r="E12" i="55"/>
  <c r="E11" i="55"/>
  <c r="C6" i="55"/>
  <c r="E4" i="55"/>
  <c r="E3" i="55"/>
  <c r="K2" i="55"/>
  <c r="I2" i="55"/>
  <c r="G2" i="55"/>
  <c r="E2" i="55"/>
  <c r="B2" i="55"/>
  <c r="B93" i="10"/>
  <c r="B90" i="10"/>
  <c r="B89" i="10"/>
  <c r="B88" i="10"/>
  <c r="B87" i="10"/>
  <c r="B85" i="10"/>
  <c r="B83" i="10"/>
  <c r="B82" i="10"/>
  <c r="B81" i="10"/>
  <c r="B80" i="10"/>
  <c r="E78" i="10"/>
  <c r="E77" i="10"/>
  <c r="E76" i="10"/>
  <c r="E75" i="10"/>
  <c r="E74" i="10"/>
  <c r="E73" i="10"/>
  <c r="E72" i="10"/>
  <c r="C72" i="10"/>
  <c r="E71" i="10"/>
  <c r="C71" i="10"/>
  <c r="B70" i="10"/>
  <c r="B69" i="10"/>
  <c r="B68" i="10"/>
  <c r="B67" i="10"/>
  <c r="B66" i="10"/>
  <c r="B63" i="10"/>
  <c r="B62" i="10"/>
  <c r="B60" i="10"/>
  <c r="B59" i="10"/>
  <c r="D58" i="10"/>
  <c r="B57" i="10"/>
  <c r="D56" i="10"/>
  <c r="B56" i="10"/>
  <c r="D55" i="10"/>
  <c r="B55" i="10"/>
  <c r="B54" i="10"/>
  <c r="B53" i="10"/>
  <c r="B51" i="10"/>
  <c r="B50" i="10"/>
  <c r="B49" i="10"/>
  <c r="B48" i="10"/>
  <c r="B47" i="10"/>
  <c r="E38" i="10"/>
  <c r="B36" i="10"/>
  <c r="C34" i="10"/>
  <c r="C33" i="10"/>
  <c r="C32" i="10"/>
  <c r="C31" i="10"/>
  <c r="B30" i="10"/>
  <c r="B24" i="10"/>
  <c r="B23" i="10"/>
  <c r="B21" i="10"/>
  <c r="B16" i="10"/>
  <c r="B15" i="10"/>
  <c r="B14" i="10"/>
  <c r="B13" i="10"/>
  <c r="B8" i="10"/>
  <c r="B7" i="10"/>
  <c r="B5" i="10"/>
  <c r="C3" i="10"/>
  <c r="C2" i="10"/>
  <c r="I1" i="10"/>
  <c r="G1" i="10"/>
  <c r="E1" i="10"/>
  <c r="C1" i="10"/>
  <c r="A1" i="10"/>
  <c r="B73" i="9"/>
  <c r="B72" i="9"/>
  <c r="B71" i="9"/>
  <c r="B70" i="9"/>
  <c r="B69" i="9"/>
  <c r="F65" i="9"/>
  <c r="B65" i="9"/>
  <c r="B57" i="9"/>
  <c r="B55" i="9"/>
  <c r="B54" i="9"/>
  <c r="B53" i="9"/>
  <c r="B52" i="9"/>
  <c r="B51" i="9"/>
  <c r="C48" i="9"/>
  <c r="B47" i="9"/>
  <c r="C45" i="9"/>
  <c r="C44" i="9"/>
  <c r="C43" i="9"/>
  <c r="C42" i="9"/>
  <c r="C41" i="9"/>
  <c r="B40" i="9"/>
  <c r="C37" i="9"/>
  <c r="C36" i="9"/>
  <c r="C35" i="9"/>
  <c r="B34" i="9"/>
  <c r="C33" i="9"/>
  <c r="C32" i="9"/>
  <c r="C31" i="9"/>
  <c r="B30" i="9"/>
  <c r="C29" i="9"/>
  <c r="B28" i="9"/>
  <c r="C27" i="9"/>
  <c r="B26" i="9"/>
  <c r="C25" i="9"/>
  <c r="C24" i="9"/>
  <c r="C23" i="9"/>
  <c r="B22" i="9"/>
  <c r="C21" i="9"/>
  <c r="B20" i="9"/>
  <c r="C19" i="9"/>
  <c r="B18" i="9"/>
  <c r="C17" i="9"/>
  <c r="C16" i="9"/>
  <c r="B15" i="9"/>
  <c r="C14" i="9"/>
  <c r="C13" i="9"/>
  <c r="C12" i="9"/>
  <c r="B11" i="9"/>
  <c r="C10" i="9"/>
  <c r="B9" i="9"/>
  <c r="B8" i="9"/>
  <c r="B7" i="9"/>
  <c r="B5" i="9"/>
  <c r="B3" i="9"/>
  <c r="B1" i="9"/>
  <c r="Z60" i="38"/>
  <c r="S74" i="38"/>
  <c r="Q152" i="58"/>
  <c r="Q224" i="58" s="1"/>
  <c r="S411" i="58"/>
  <c r="S410" i="58"/>
  <c r="S409" i="58"/>
  <c r="S402" i="58"/>
  <c r="S397" i="58"/>
  <c r="S392" i="58"/>
  <c r="S387" i="58"/>
  <c r="S382" i="58"/>
  <c r="I71" i="38"/>
  <c r="Q171" i="38"/>
  <c r="Q172" i="38"/>
  <c r="Q173" i="38"/>
  <c r="Q174" i="38"/>
  <c r="Q175" i="38"/>
  <c r="Q176" i="38"/>
  <c r="M176" i="38"/>
  <c r="R176" i="38"/>
  <c r="S339" i="58"/>
  <c r="S338" i="58"/>
  <c r="S337" i="58"/>
  <c r="S330" i="58"/>
  <c r="S325" i="58"/>
  <c r="S320" i="58"/>
  <c r="S315" i="58"/>
  <c r="S310" i="58"/>
  <c r="S267" i="58"/>
  <c r="S266" i="58"/>
  <c r="S265" i="58"/>
  <c r="S258" i="58"/>
  <c r="S253" i="58"/>
  <c r="S248" i="58"/>
  <c r="S243" i="58"/>
  <c r="S238" i="58"/>
  <c r="S195" i="58"/>
  <c r="S194" i="58"/>
  <c r="S193" i="58"/>
  <c r="S186" i="58"/>
  <c r="S181" i="58"/>
  <c r="S176" i="58"/>
  <c r="S171" i="58"/>
  <c r="S166" i="58"/>
  <c r="Q226" i="38"/>
  <c r="Q227" i="38"/>
  <c r="Q228" i="38"/>
  <c r="W228" i="38"/>
  <c r="W171" i="38"/>
  <c r="W172" i="38"/>
  <c r="W173" i="38"/>
  <c r="W174" i="38"/>
  <c r="W175" i="38"/>
  <c r="W176" i="38"/>
  <c r="W226" i="38"/>
  <c r="W227" i="38"/>
  <c r="W229" i="38"/>
  <c r="W230" i="38"/>
  <c r="W231" i="38"/>
  <c r="W232" i="38"/>
  <c r="M232" i="38"/>
  <c r="W233" i="38"/>
  <c r="M233" i="38" s="1"/>
  <c r="W234" i="38"/>
  <c r="M234" i="38" s="1"/>
  <c r="W235" i="38"/>
  <c r="M235" i="38" s="1"/>
  <c r="W236" i="38"/>
  <c r="M236" i="38" s="1"/>
  <c r="M175" i="38"/>
  <c r="R175" i="38" s="1"/>
  <c r="M174" i="38"/>
  <c r="R174" i="38"/>
  <c r="M173" i="38"/>
  <c r="R173" i="38" s="1"/>
  <c r="B778" i="52"/>
  <c r="B779" i="52"/>
  <c r="M172" i="38"/>
  <c r="W91" i="46"/>
  <c r="V118" i="46"/>
  <c r="V117" i="46"/>
  <c r="V116" i="46"/>
  <c r="V115" i="46"/>
  <c r="V114" i="46"/>
  <c r="V113" i="46"/>
  <c r="V112" i="46"/>
  <c r="V103" i="46"/>
  <c r="W103" i="46" s="1"/>
  <c r="V111" i="46"/>
  <c r="V110" i="46"/>
  <c r="V109" i="46"/>
  <c r="V108" i="46"/>
  <c r="V107" i="46"/>
  <c r="V106" i="46"/>
  <c r="V105" i="46"/>
  <c r="V104" i="46"/>
  <c r="C135" i="46"/>
  <c r="Q137" i="46"/>
  <c r="C19" i="50"/>
  <c r="H19" i="50" s="1"/>
  <c r="V75" i="50" s="1"/>
  <c r="U66" i="46"/>
  <c r="U64" i="46"/>
  <c r="U72" i="46"/>
  <c r="U74" i="46"/>
  <c r="U76" i="46"/>
  <c r="U78" i="46"/>
  <c r="U80" i="46"/>
  <c r="V76" i="50"/>
  <c r="W76" i="50" s="1"/>
  <c r="V72" i="50"/>
  <c r="V67" i="50"/>
  <c r="W62" i="50"/>
  <c r="W53" i="50"/>
  <c r="Q27" i="50"/>
  <c r="W94" i="44"/>
  <c r="R183" i="38"/>
  <c r="F53" i="9"/>
  <c r="F54" i="9"/>
  <c r="F52" i="9"/>
  <c r="S111" i="58"/>
  <c r="S106" i="58"/>
  <c r="S119" i="58"/>
  <c r="U85" i="44"/>
  <c r="E236" i="38"/>
  <c r="E235" i="38"/>
  <c r="E234" i="38"/>
  <c r="E233" i="38"/>
  <c r="E232" i="38"/>
  <c r="E231" i="38"/>
  <c r="B16" i="60" s="1"/>
  <c r="U70" i="46"/>
  <c r="U68" i="46"/>
  <c r="U83" i="44"/>
  <c r="U81" i="44"/>
  <c r="U79" i="44"/>
  <c r="U77" i="44"/>
  <c r="U75" i="44"/>
  <c r="U73" i="44"/>
  <c r="U71" i="44"/>
  <c r="U69" i="44"/>
  <c r="U67" i="44"/>
  <c r="W40" i="58"/>
  <c r="S204" i="38"/>
  <c r="T204" i="38"/>
  <c r="Q236" i="38"/>
  <c r="V124" i="44"/>
  <c r="V154" i="44"/>
  <c r="V153" i="44"/>
  <c r="V152" i="44"/>
  <c r="V151" i="44"/>
  <c r="V109" i="44"/>
  <c r="V110" i="44"/>
  <c r="U151" i="38"/>
  <c r="V151" i="38" s="1"/>
  <c r="U150" i="38"/>
  <c r="V150" i="38" s="1"/>
  <c r="U141" i="38"/>
  <c r="V141" i="38"/>
  <c r="U142" i="38"/>
  <c r="V142" i="38" s="1"/>
  <c r="U143" i="38"/>
  <c r="V143" i="38" s="1"/>
  <c r="U144" i="38"/>
  <c r="V144" i="38" s="1"/>
  <c r="U145" i="38"/>
  <c r="V145" i="38"/>
  <c r="U146" i="38"/>
  <c r="V146" i="38" s="1"/>
  <c r="U147" i="38"/>
  <c r="V147" i="38"/>
  <c r="U148" i="38"/>
  <c r="V148" i="38" s="1"/>
  <c r="U149" i="38"/>
  <c r="V149" i="38" s="1"/>
  <c r="S141" i="50"/>
  <c r="Y43" i="46"/>
  <c r="R158" i="38"/>
  <c r="T231" i="38"/>
  <c r="F236" i="38"/>
  <c r="S236" i="38" s="1"/>
  <c r="F231" i="38"/>
  <c r="S231" i="38" s="1"/>
  <c r="T236" i="38"/>
  <c r="U116" i="38"/>
  <c r="V116" i="38"/>
  <c r="U117" i="38"/>
  <c r="V117" i="38" s="1"/>
  <c r="U118" i="38"/>
  <c r="V118" i="38"/>
  <c r="U119" i="38"/>
  <c r="V119" i="38" s="1"/>
  <c r="U120" i="38"/>
  <c r="V120" i="38" s="1"/>
  <c r="U121" i="38"/>
  <c r="V121" i="38" s="1"/>
  <c r="U122" i="38"/>
  <c r="V122" i="38" s="1"/>
  <c r="U123" i="38"/>
  <c r="V123" i="38" s="1"/>
  <c r="U124" i="38"/>
  <c r="V124" i="38" s="1"/>
  <c r="U125" i="38"/>
  <c r="V125" i="38" s="1"/>
  <c r="U126" i="38"/>
  <c r="V126" i="38" s="1"/>
  <c r="V150" i="44"/>
  <c r="V149" i="44"/>
  <c r="V148" i="44"/>
  <c r="V147" i="44"/>
  <c r="V146" i="44"/>
  <c r="V145" i="44"/>
  <c r="V144" i="44"/>
  <c r="V143" i="44"/>
  <c r="V142" i="44"/>
  <c r="V141" i="44"/>
  <c r="V140" i="44"/>
  <c r="V139" i="44"/>
  <c r="Q229" i="38"/>
  <c r="Q230" i="38"/>
  <c r="Q231" i="38"/>
  <c r="Q232" i="38"/>
  <c r="Q233" i="38"/>
  <c r="Q234" i="38"/>
  <c r="Q235" i="38"/>
  <c r="B803" i="52"/>
  <c r="E803" i="52"/>
  <c r="B804" i="52"/>
  <c r="E804" i="52" s="1"/>
  <c r="B805" i="52"/>
  <c r="E805" i="52" s="1"/>
  <c r="B806" i="52"/>
  <c r="E806" i="52" s="1"/>
  <c r="B807" i="52"/>
  <c r="E807" i="52" s="1"/>
  <c r="B808" i="52"/>
  <c r="E808" i="52" s="1"/>
  <c r="B809" i="52"/>
  <c r="E809" i="52" s="1"/>
  <c r="B810" i="52"/>
  <c r="E810" i="52" s="1"/>
  <c r="B811" i="52"/>
  <c r="E811" i="52"/>
  <c r="B814" i="52"/>
  <c r="E814" i="52" s="1"/>
  <c r="B813" i="52"/>
  <c r="E813" i="52"/>
  <c r="B812" i="52"/>
  <c r="E812" i="52" s="1"/>
  <c r="S194" i="38"/>
  <c r="S195" i="38"/>
  <c r="S196" i="38"/>
  <c r="S197" i="38"/>
  <c r="S198" i="38"/>
  <c r="S199" i="38"/>
  <c r="S200" i="38"/>
  <c r="S201" i="38"/>
  <c r="S202" i="38"/>
  <c r="S203" i="38"/>
  <c r="F226" i="38"/>
  <c r="S226" i="38" s="1"/>
  <c r="F227" i="38"/>
  <c r="S227" i="38"/>
  <c r="F228" i="38"/>
  <c r="S228" i="38" s="1"/>
  <c r="F229" i="38"/>
  <c r="S229" i="38"/>
  <c r="F230" i="38"/>
  <c r="S230" i="38" s="1"/>
  <c r="F232" i="38"/>
  <c r="S232" i="38" s="1"/>
  <c r="F233" i="38"/>
  <c r="S233" i="38" s="1"/>
  <c r="F234" i="38"/>
  <c r="S234" i="38" s="1"/>
  <c r="F235" i="38"/>
  <c r="S235" i="38" s="1"/>
  <c r="E227" i="38"/>
  <c r="B12" i="60" s="1"/>
  <c r="E12" i="60" s="1"/>
  <c r="E228" i="38"/>
  <c r="E229" i="38"/>
  <c r="E230" i="38"/>
  <c r="T234" i="38"/>
  <c r="T233" i="38"/>
  <c r="T232" i="38"/>
  <c r="T230" i="38"/>
  <c r="T203" i="38"/>
  <c r="T202" i="38"/>
  <c r="T201" i="38"/>
  <c r="T200" i="38"/>
  <c r="T199" i="38"/>
  <c r="N63" i="38"/>
  <c r="F71" i="9"/>
  <c r="E226" i="38"/>
  <c r="T226" i="38"/>
  <c r="Z227" i="38" s="1"/>
  <c r="Y240" i="38" s="1"/>
  <c r="K240" i="38" s="1"/>
  <c r="F276" i="38"/>
  <c r="K276" i="38" s="1"/>
  <c r="F275" i="38"/>
  <c r="F274" i="38"/>
  <c r="F273" i="38"/>
  <c r="H280" i="38"/>
  <c r="F272" i="38"/>
  <c r="N60" i="38"/>
  <c r="F70" i="9"/>
  <c r="F72" i="9"/>
  <c r="B29" i="54"/>
  <c r="B26" i="54"/>
  <c r="B24" i="54"/>
  <c r="C3" i="54" s="1"/>
  <c r="F73" i="9" s="1"/>
  <c r="B23" i="54"/>
  <c r="B22" i="54"/>
  <c r="B20" i="54"/>
  <c r="B19" i="54"/>
  <c r="B18" i="54"/>
  <c r="T194" i="38"/>
  <c r="T195" i="38"/>
  <c r="T196" i="38"/>
  <c r="T197" i="38"/>
  <c r="T198" i="38"/>
  <c r="T228" i="38"/>
  <c r="U57" i="38"/>
  <c r="U58" i="38"/>
  <c r="U59" i="38"/>
  <c r="U60" i="38"/>
  <c r="U56" i="38"/>
  <c r="V56" i="38"/>
  <c r="W56" i="38" s="1"/>
  <c r="V58" i="38"/>
  <c r="V60" i="38"/>
  <c r="W60" i="38" s="1"/>
  <c r="V57" i="38"/>
  <c r="W57" i="38" s="1"/>
  <c r="V59" i="38"/>
  <c r="T227" i="38"/>
  <c r="T229" i="38"/>
  <c r="T235" i="38"/>
  <c r="H281" i="38"/>
  <c r="V111" i="44"/>
  <c r="V112" i="44"/>
  <c r="V123" i="44"/>
  <c r="V122" i="44"/>
  <c r="V121" i="44"/>
  <c r="V120" i="44"/>
  <c r="V119" i="44"/>
  <c r="V118" i="44"/>
  <c r="V117" i="44"/>
  <c r="V116" i="44"/>
  <c r="V115" i="44"/>
  <c r="V114" i="44"/>
  <c r="V113" i="44"/>
  <c r="T71" i="44"/>
  <c r="T73" i="44"/>
  <c r="T75" i="44"/>
  <c r="T77" i="44"/>
  <c r="V85" i="44" s="1"/>
  <c r="T79" i="44"/>
  <c r="T81" i="44"/>
  <c r="T83" i="44"/>
  <c r="T85" i="44"/>
  <c r="S101" i="58"/>
  <c r="S96" i="58"/>
  <c r="S91" i="58"/>
  <c r="S118" i="58"/>
  <c r="S120" i="58"/>
  <c r="S169" i="46"/>
  <c r="M171" i="38"/>
  <c r="R171" i="38" s="1"/>
  <c r="S140" i="50"/>
  <c r="DE13" i="60"/>
  <c r="DE14" i="60" s="1"/>
  <c r="DE15" i="60" s="1"/>
  <c r="DE16" i="60" s="1"/>
  <c r="DE17" i="60" s="1"/>
  <c r="DE18" i="60" s="1"/>
  <c r="DE19" i="60" s="1"/>
  <c r="DE20" i="60" s="1"/>
  <c r="DE21" i="60" s="1"/>
  <c r="DE22" i="60" s="1"/>
  <c r="DE23" i="60" s="1"/>
  <c r="DE24" i="60" s="1"/>
  <c r="DE25" i="60" s="1"/>
  <c r="DE26" i="60" s="1"/>
  <c r="DE27" i="60" s="1"/>
  <c r="DE28" i="60" s="1"/>
  <c r="DE29" i="60" s="1"/>
  <c r="DE30" i="60" s="1"/>
  <c r="DE31" i="60" s="1"/>
  <c r="DE32" i="60" s="1"/>
  <c r="DE33" i="60" s="1"/>
  <c r="DE34" i="60" s="1"/>
  <c r="DE35" i="60" s="1"/>
  <c r="DE36" i="60" s="1"/>
  <c r="DE37" i="60" s="1"/>
  <c r="DE38" i="60" s="1"/>
  <c r="DE39" i="60" s="1"/>
  <c r="DE40" i="60" s="1"/>
  <c r="DE41" i="60" s="1"/>
  <c r="DE42" i="60" s="1"/>
  <c r="DE43" i="60" s="1"/>
  <c r="DE44" i="60" s="1"/>
  <c r="DE45" i="60" s="1"/>
  <c r="DE46" i="60" s="1"/>
  <c r="DE47" i="60" s="1"/>
  <c r="DE48" i="60" s="1"/>
  <c r="DE49" i="60" s="1"/>
  <c r="DE50" i="60" s="1"/>
  <c r="DE51" i="60" s="1"/>
  <c r="DE52" i="60" s="1"/>
  <c r="DE53" i="60" s="1"/>
  <c r="DE54" i="60" s="1"/>
  <c r="DE55" i="60" s="1"/>
  <c r="DE56" i="60" s="1"/>
  <c r="DE57" i="60" s="1"/>
  <c r="DE58" i="60" s="1"/>
  <c r="DE59" i="60" s="1"/>
  <c r="DE60" i="60" s="1"/>
  <c r="DE61" i="60" s="1"/>
  <c r="DE62" i="60" s="1"/>
  <c r="DE63" i="60" s="1"/>
  <c r="DE64" i="60" s="1"/>
  <c r="DE65" i="60" s="1"/>
  <c r="DE66" i="60" s="1"/>
  <c r="DE67" i="60" s="1"/>
  <c r="DE68" i="60" s="1"/>
  <c r="DE69" i="60" s="1"/>
  <c r="DE70" i="60" s="1"/>
  <c r="DE71" i="60" s="1"/>
  <c r="DE72" i="60" s="1"/>
  <c r="DE73" i="60" s="1"/>
  <c r="DE74" i="60" s="1"/>
  <c r="DE75" i="60" s="1"/>
  <c r="DE76" i="60" s="1"/>
  <c r="DE77" i="60" s="1"/>
  <c r="DE78" i="60" s="1"/>
  <c r="DE79" i="60" s="1"/>
  <c r="DE80" i="60" s="1"/>
  <c r="DE81" i="60" s="1"/>
  <c r="DE82" i="60" s="1"/>
  <c r="DE83" i="60" s="1"/>
  <c r="DE84" i="60" s="1"/>
  <c r="DE85" i="60" s="1"/>
  <c r="C187" i="50"/>
  <c r="H189" i="50"/>
  <c r="DK112" i="60"/>
  <c r="DK113" i="60" s="1"/>
  <c r="DK114" i="60" s="1"/>
  <c r="DK115" i="60" s="1"/>
  <c r="DK116" i="60" s="1"/>
  <c r="DK117" i="60" s="1"/>
  <c r="DK118" i="60" s="1"/>
  <c r="DK119" i="60" s="1"/>
  <c r="DK120" i="60" s="1"/>
  <c r="DF13" i="60"/>
  <c r="DF14" i="60" s="1"/>
  <c r="DF15" i="60" s="1"/>
  <c r="DF16" i="60" s="1"/>
  <c r="DF17" i="60" s="1"/>
  <c r="DF18" i="60" s="1"/>
  <c r="DF19" i="60" s="1"/>
  <c r="DF20" i="60" s="1"/>
  <c r="DF21" i="60" s="1"/>
  <c r="DF22" i="60" s="1"/>
  <c r="DF23" i="60" s="1"/>
  <c r="DF24" i="60" s="1"/>
  <c r="DF25" i="60" s="1"/>
  <c r="DF26" i="60" s="1"/>
  <c r="DF27" i="60" s="1"/>
  <c r="DF28" i="60" s="1"/>
  <c r="DF29" i="60" s="1"/>
  <c r="DF30" i="60" s="1"/>
  <c r="DF31" i="60" s="1"/>
  <c r="DF32" i="60" s="1"/>
  <c r="DF33" i="60" s="1"/>
  <c r="DF34" i="60" s="1"/>
  <c r="DF35" i="60" s="1"/>
  <c r="DF36" i="60" s="1"/>
  <c r="DF37" i="60" s="1"/>
  <c r="DF38" i="60" s="1"/>
  <c r="DF39" i="60" s="1"/>
  <c r="DF40" i="60" s="1"/>
  <c r="DF41" i="60" s="1"/>
  <c r="DF42" i="60" s="1"/>
  <c r="DF43" i="60" s="1"/>
  <c r="DF44" i="60" s="1"/>
  <c r="DF45" i="60" s="1"/>
  <c r="DF46" i="60" s="1"/>
  <c r="DF47" i="60" s="1"/>
  <c r="DF48" i="60" s="1"/>
  <c r="DF49" i="60" s="1"/>
  <c r="DF50" i="60" s="1"/>
  <c r="DF51" i="60" s="1"/>
  <c r="DF52" i="60" s="1"/>
  <c r="DF53" i="60" s="1"/>
  <c r="DF54" i="60" s="1"/>
  <c r="DF55" i="60" s="1"/>
  <c r="DF56" i="60" s="1"/>
  <c r="DF57" i="60" s="1"/>
  <c r="DF58" i="60" s="1"/>
  <c r="DF59" i="60" s="1"/>
  <c r="DF60" i="60" s="1"/>
  <c r="DF61" i="60" s="1"/>
  <c r="DF62" i="60" s="1"/>
  <c r="DF63" i="60" s="1"/>
  <c r="DF64" i="60" s="1"/>
  <c r="DF65" i="60" s="1"/>
  <c r="DF66" i="60" s="1"/>
  <c r="DF67" i="60" s="1"/>
  <c r="DF68" i="60" s="1"/>
  <c r="DF69" i="60" s="1"/>
  <c r="DF70" i="60" s="1"/>
  <c r="DF71" i="60" s="1"/>
  <c r="DF72" i="60" s="1"/>
  <c r="DF73" i="60" s="1"/>
  <c r="DF74" i="60" s="1"/>
  <c r="DF75" i="60" s="1"/>
  <c r="DF76" i="60" s="1"/>
  <c r="DF77" i="60" s="1"/>
  <c r="DF78" i="60" s="1"/>
  <c r="DF79" i="60" s="1"/>
  <c r="DF80" i="60" s="1"/>
  <c r="DF81" i="60" s="1"/>
  <c r="DF82" i="60" s="1"/>
  <c r="DF83" i="60" s="1"/>
  <c r="DF84" i="60" s="1"/>
  <c r="DF85" i="60" s="1"/>
  <c r="B91" i="60"/>
  <c r="CJ91" i="60" s="1"/>
  <c r="S110" i="60"/>
  <c r="P110" i="60"/>
  <c r="DI116" i="60"/>
  <c r="DI117" i="60" s="1"/>
  <c r="DI118" i="60" s="1"/>
  <c r="DI119" i="60" s="1"/>
  <c r="DI120" i="60" s="1"/>
  <c r="DQ111" i="60"/>
  <c r="DQ112" i="60" s="1"/>
  <c r="DQ113" i="60" s="1"/>
  <c r="DQ114" i="60" s="1"/>
  <c r="DQ115" i="60" s="1"/>
  <c r="DQ116" i="60" s="1"/>
  <c r="DQ117" i="60" s="1"/>
  <c r="DQ118" i="60" s="1"/>
  <c r="DQ119" i="60" s="1"/>
  <c r="DQ120" i="60" s="1"/>
  <c r="AW110" i="60"/>
  <c r="G679" i="52"/>
  <c r="P679" i="52" s="1"/>
  <c r="G605" i="52"/>
  <c r="P605" i="52" s="1"/>
  <c r="Z382" i="52"/>
  <c r="G756" i="52"/>
  <c r="G589" i="52"/>
  <c r="F126" i="60"/>
  <c r="G686" i="52"/>
  <c r="P686" i="52" s="1"/>
  <c r="G608" i="52"/>
  <c r="Z360" i="52"/>
  <c r="G620" i="52"/>
  <c r="Z620" i="52" s="1"/>
  <c r="I412" i="46"/>
  <c r="J337" i="58"/>
  <c r="G474" i="52"/>
  <c r="Z474" i="52" s="1"/>
  <c r="G403" i="52"/>
  <c r="Z402" i="52"/>
  <c r="Z335" i="52"/>
  <c r="A200" i="52"/>
  <c r="Z449" i="52"/>
  <c r="I390" i="52"/>
  <c r="Z732" i="52"/>
  <c r="G660" i="52"/>
  <c r="P660" i="52" s="1"/>
  <c r="Z296" i="52"/>
  <c r="G671" i="52"/>
  <c r="Z671" i="52" s="1"/>
  <c r="G561" i="52"/>
  <c r="G685" i="52"/>
  <c r="P685" i="52"/>
  <c r="Z358" i="52"/>
  <c r="Z767" i="52"/>
  <c r="Z434" i="52"/>
  <c r="A201" i="52"/>
  <c r="G517" i="52"/>
  <c r="P517" i="52" s="1"/>
  <c r="Z307" i="52"/>
  <c r="G497" i="52"/>
  <c r="Z567" i="52"/>
  <c r="Z563" i="52"/>
  <c r="G725" i="52"/>
  <c r="G594" i="52"/>
  <c r="G365" i="52"/>
  <c r="P365" i="52" s="1"/>
  <c r="Z739" i="52"/>
  <c r="G720" i="52"/>
  <c r="Z284" i="52"/>
  <c r="G653" i="52"/>
  <c r="Z653" i="52" s="1"/>
  <c r="Z300" i="52"/>
  <c r="G728" i="52"/>
  <c r="H390" i="52"/>
  <c r="G697" i="52"/>
  <c r="Z697" i="52" s="1"/>
  <c r="Z538" i="52"/>
  <c r="G433" i="52"/>
  <c r="I243" i="58"/>
  <c r="J230" i="50"/>
  <c r="I186" i="58"/>
  <c r="Z352" i="52"/>
  <c r="Z610" i="52"/>
  <c r="G419" i="52"/>
  <c r="Z377" i="52"/>
  <c r="F312" i="52"/>
  <c r="F384" i="52" s="1"/>
  <c r="F456" i="52"/>
  <c r="F528" i="52" s="1"/>
  <c r="F600" i="52" s="1"/>
  <c r="F672" i="52" s="1"/>
  <c r="F744" i="52" s="1"/>
  <c r="Z454" i="52"/>
  <c r="D396" i="52"/>
  <c r="D468" i="52" s="1"/>
  <c r="D540" i="52" s="1"/>
  <c r="F285" i="52"/>
  <c r="F357" i="52" s="1"/>
  <c r="F429" i="52" s="1"/>
  <c r="F501" i="52" s="1"/>
  <c r="F573" i="52" s="1"/>
  <c r="F645" i="52" s="1"/>
  <c r="F717" i="52" s="1"/>
  <c r="H200" i="58"/>
  <c r="S200" i="58" s="1"/>
  <c r="G707" i="52"/>
  <c r="Z726" i="52"/>
  <c r="G586" i="52"/>
  <c r="P586" i="52" s="1"/>
  <c r="Z291" i="52"/>
  <c r="Z604" i="52"/>
  <c r="G507" i="52"/>
  <c r="Z507" i="52" s="1"/>
  <c r="Z565" i="52"/>
  <c r="Z578" i="52"/>
  <c r="Z316" i="52"/>
  <c r="Z320" i="52"/>
  <c r="Z290" i="52"/>
  <c r="G755" i="52"/>
  <c r="Z755" i="52" s="1"/>
  <c r="Z711" i="52"/>
  <c r="N82" i="43"/>
  <c r="Z606" i="52"/>
  <c r="G348" i="52"/>
  <c r="H305" i="50"/>
  <c r="G638" i="52"/>
  <c r="P638" i="52"/>
  <c r="I169" i="46"/>
  <c r="I315" i="58"/>
  <c r="I382" i="58"/>
  <c r="I325" i="58"/>
  <c r="J266" i="58"/>
  <c r="J265" i="58"/>
  <c r="J228" i="50"/>
  <c r="I96" i="58"/>
  <c r="I238" i="46"/>
  <c r="I91" i="58"/>
  <c r="J409" i="58"/>
  <c r="I354" i="46"/>
  <c r="P375" i="52"/>
  <c r="P397" i="52"/>
  <c r="P492" i="52"/>
  <c r="F287" i="52"/>
  <c r="F359" i="52" s="1"/>
  <c r="F431" i="52" s="1"/>
  <c r="F503" i="52" s="1"/>
  <c r="F575" i="52" s="1"/>
  <c r="F647" i="52" s="1"/>
  <c r="F719" i="52" s="1"/>
  <c r="F255" i="35"/>
  <c r="F266" i="38"/>
  <c r="A175" i="52"/>
  <c r="J296" i="50"/>
  <c r="J194" i="58"/>
  <c r="I285" i="50"/>
  <c r="I248" i="58"/>
  <c r="I320" i="58"/>
  <c r="A183" i="52"/>
  <c r="I402" i="58"/>
  <c r="J338" i="58"/>
  <c r="I258" i="58"/>
  <c r="J293" i="50"/>
  <c r="J140" i="50"/>
  <c r="J411" i="58"/>
  <c r="I171" i="58"/>
  <c r="I166" i="58"/>
  <c r="J229" i="50"/>
  <c r="J120" i="58"/>
  <c r="I238" i="58"/>
  <c r="P449" i="52"/>
  <c r="P509" i="52"/>
  <c r="C289" i="52"/>
  <c r="Q289" i="52" s="1"/>
  <c r="S289" i="52" s="1"/>
  <c r="D500" i="52"/>
  <c r="D572" i="52" s="1"/>
  <c r="D644" i="52" s="1"/>
  <c r="D716" i="52" s="1"/>
  <c r="G487" i="52"/>
  <c r="Z723" i="52"/>
  <c r="G481" i="52"/>
  <c r="H201" i="58"/>
  <c r="S201" i="58"/>
  <c r="G754" i="52"/>
  <c r="H308" i="50"/>
  <c r="S308" i="50" s="1"/>
  <c r="G646" i="52"/>
  <c r="Z646" i="52" s="1"/>
  <c r="G597" i="52"/>
  <c r="Z374" i="52"/>
  <c r="G526" i="52"/>
  <c r="Z526" i="52" s="1"/>
  <c r="Z555" i="52"/>
  <c r="G524" i="52"/>
  <c r="G678" i="52"/>
  <c r="P678" i="52" s="1"/>
  <c r="Z528" i="52"/>
  <c r="G742" i="52"/>
  <c r="P742" i="52"/>
  <c r="I351" i="52"/>
  <c r="G514" i="52"/>
  <c r="P514" i="52" s="1"/>
  <c r="Z344" i="52"/>
  <c r="Z718" i="52"/>
  <c r="G417" i="52"/>
  <c r="P417" i="52" s="1"/>
  <c r="Z313" i="52"/>
  <c r="Z389" i="52"/>
  <c r="G701" i="52"/>
  <c r="Z701" i="52" s="1"/>
  <c r="Z273" i="52"/>
  <c r="Z420" i="52"/>
  <c r="G445" i="52"/>
  <c r="G680" i="52"/>
  <c r="Z625" i="52"/>
  <c r="O781" i="52"/>
  <c r="Z462" i="52"/>
  <c r="G501" i="52"/>
  <c r="Z501" i="52" s="1"/>
  <c r="H127" i="58"/>
  <c r="S127" i="58" s="1"/>
  <c r="Z279" i="52"/>
  <c r="Z717" i="52"/>
  <c r="Z740" i="52"/>
  <c r="Z356" i="52"/>
  <c r="Z460" i="52"/>
  <c r="Z372" i="52"/>
  <c r="Z371" i="52"/>
  <c r="G436" i="52"/>
  <c r="M82" i="43"/>
  <c r="Z570" i="52"/>
  <c r="G698" i="52"/>
  <c r="G530" i="52"/>
  <c r="Z530" i="52" s="1"/>
  <c r="Z312" i="52"/>
  <c r="A209" i="52"/>
  <c r="Z379" i="52"/>
  <c r="G654" i="52"/>
  <c r="Z581" i="52"/>
  <c r="Z282" i="52"/>
  <c r="A176" i="52"/>
  <c r="Z392" i="52"/>
  <c r="G384" i="52"/>
  <c r="Z384" i="52"/>
  <c r="G748" i="52"/>
  <c r="P748" i="52" s="1"/>
  <c r="AE110" i="60"/>
  <c r="Z542" i="52"/>
  <c r="Z547" i="52"/>
  <c r="Z638" i="52"/>
  <c r="DG13" i="60"/>
  <c r="DG14" i="60" s="1"/>
  <c r="DG15" i="60" s="1"/>
  <c r="DG16" i="60" s="1"/>
  <c r="DG17" i="60" s="1"/>
  <c r="DG18" i="60" s="1"/>
  <c r="DG19" i="60" s="1"/>
  <c r="DG20" i="60" s="1"/>
  <c r="DG21" i="60" s="1"/>
  <c r="DG22" i="60" s="1"/>
  <c r="DG23" i="60" s="1"/>
  <c r="DG24" i="60" s="1"/>
  <c r="DG25" i="60" s="1"/>
  <c r="DG26" i="60" s="1"/>
  <c r="DG27" i="60" s="1"/>
  <c r="DG28" i="60" s="1"/>
  <c r="DG29" i="60" s="1"/>
  <c r="DG30" i="60" s="1"/>
  <c r="DG31" i="60" s="1"/>
  <c r="DG32" i="60" s="1"/>
  <c r="DG33" i="60" s="1"/>
  <c r="DG34" i="60" s="1"/>
  <c r="DG35" i="60" s="1"/>
  <c r="DG36" i="60" s="1"/>
  <c r="DG37" i="60" s="1"/>
  <c r="DG38" i="60" s="1"/>
  <c r="DG39" i="60" s="1"/>
  <c r="DG40" i="60" s="1"/>
  <c r="DG41" i="60" s="1"/>
  <c r="DG42" i="60" s="1"/>
  <c r="DG43" i="60" s="1"/>
  <c r="DG44" i="60" s="1"/>
  <c r="DG45" i="60" s="1"/>
  <c r="DG46" i="60" s="1"/>
  <c r="DG47" i="60" s="1"/>
  <c r="DG48" i="60" s="1"/>
  <c r="DG49" i="60" s="1"/>
  <c r="DG50" i="60" s="1"/>
  <c r="DG51" i="60" s="1"/>
  <c r="DG52" i="60" s="1"/>
  <c r="DG53" i="60" s="1"/>
  <c r="DG54" i="60" s="1"/>
  <c r="DG55" i="60" s="1"/>
  <c r="DG56" i="60" s="1"/>
  <c r="DG57" i="60" s="1"/>
  <c r="DG58" i="60" s="1"/>
  <c r="DG59" i="60" s="1"/>
  <c r="DG60" i="60" s="1"/>
  <c r="DG61" i="60" s="1"/>
  <c r="DG62" i="60" s="1"/>
  <c r="DG63" i="60" s="1"/>
  <c r="DG64" i="60" s="1"/>
  <c r="DG65" i="60" s="1"/>
  <c r="DG66" i="60" s="1"/>
  <c r="DG67" i="60" s="1"/>
  <c r="DG68" i="60" s="1"/>
  <c r="DG69" i="60" s="1"/>
  <c r="DG70" i="60" s="1"/>
  <c r="DG71" i="60" s="1"/>
  <c r="DG72" i="60" s="1"/>
  <c r="DG73" i="60" s="1"/>
  <c r="DG74" i="60" s="1"/>
  <c r="DG75" i="60" s="1"/>
  <c r="DG76" i="60" s="1"/>
  <c r="DG77" i="60" s="1"/>
  <c r="DG78" i="60" s="1"/>
  <c r="DG79" i="60" s="1"/>
  <c r="DG80" i="60" s="1"/>
  <c r="DG81" i="60" s="1"/>
  <c r="DG82" i="60" s="1"/>
  <c r="DG83" i="60" s="1"/>
  <c r="DG84" i="60" s="1"/>
  <c r="DG85" i="60" s="1"/>
  <c r="D594" i="52"/>
  <c r="D666" i="52"/>
  <c r="D738" i="52" s="1"/>
  <c r="L6" i="43"/>
  <c r="L6" i="48"/>
  <c r="K8" i="48" s="1"/>
  <c r="P320" i="52"/>
  <c r="P418" i="52"/>
  <c r="P460" i="52"/>
  <c r="P366" i="52"/>
  <c r="C404" i="52"/>
  <c r="C476" i="52" s="1"/>
  <c r="P330" i="52"/>
  <c r="F771" i="52"/>
  <c r="F774" i="52"/>
  <c r="P308" i="52"/>
  <c r="Q313" i="52"/>
  <c r="S313" i="52" s="1"/>
  <c r="G775" i="52"/>
  <c r="P775" i="52" s="1"/>
  <c r="G770" i="52"/>
  <c r="P770" i="52" s="1"/>
  <c r="Q320" i="52"/>
  <c r="S320" i="52"/>
  <c r="P412" i="52"/>
  <c r="D391" i="52"/>
  <c r="D463" i="52" s="1"/>
  <c r="D535" i="52" s="1"/>
  <c r="Z414" i="52"/>
  <c r="A232" i="52"/>
  <c r="D476" i="52"/>
  <c r="D548" i="52" s="1"/>
  <c r="D620" i="52" s="1"/>
  <c r="D692" i="52" s="1"/>
  <c r="D764" i="52" s="1"/>
  <c r="L157" i="38"/>
  <c r="AB171" i="38" s="1"/>
  <c r="AB172" i="38" s="1"/>
  <c r="AB173" i="38" s="1"/>
  <c r="AB174" i="38" s="1"/>
  <c r="AB175" i="38" s="1"/>
  <c r="AB176" i="38" s="1"/>
  <c r="L6" i="44"/>
  <c r="K8" i="44" s="1"/>
  <c r="L182" i="38"/>
  <c r="AB194" i="38" s="1"/>
  <c r="AB195" i="38" s="1"/>
  <c r="AB196" i="38" s="1"/>
  <c r="AB197" i="38" s="1"/>
  <c r="AB198" i="38"/>
  <c r="AB199" i="38" s="1"/>
  <c r="AB200" i="38" s="1"/>
  <c r="AB201" i="38" s="1"/>
  <c r="AB202" i="38" s="1"/>
  <c r="AB203" i="38" s="1"/>
  <c r="AB204" i="38" s="1"/>
  <c r="D444" i="52"/>
  <c r="D516" i="52"/>
  <c r="D588" i="52" s="1"/>
  <c r="D660" i="52" s="1"/>
  <c r="D732" i="52" s="1"/>
  <c r="P377" i="52"/>
  <c r="P381" i="52"/>
  <c r="P456" i="52"/>
  <c r="P466" i="52"/>
  <c r="P319" i="52"/>
  <c r="P369" i="52"/>
  <c r="P383" i="52"/>
  <c r="P391" i="52"/>
  <c r="P490" i="52"/>
  <c r="P532" i="52"/>
  <c r="P538" i="52"/>
  <c r="C370" i="52"/>
  <c r="Q370" i="52" s="1"/>
  <c r="S370" i="52" s="1"/>
  <c r="D612" i="52"/>
  <c r="D684" i="52" s="1"/>
  <c r="D756" i="52" s="1"/>
  <c r="Q317" i="52"/>
  <c r="S317" i="52"/>
  <c r="C321" i="52"/>
  <c r="Q311" i="52"/>
  <c r="S311" i="52" s="1"/>
  <c r="C315" i="52"/>
  <c r="C386" i="52"/>
  <c r="C389" i="52"/>
  <c r="F307" i="52"/>
  <c r="F379" i="52" s="1"/>
  <c r="F451" i="52" s="1"/>
  <c r="F523" i="52" s="1"/>
  <c r="F595" i="52" s="1"/>
  <c r="F667" i="52" s="1"/>
  <c r="F739" i="52" s="1"/>
  <c r="F328" i="52"/>
  <c r="F400" i="52" s="1"/>
  <c r="F472" i="52" s="1"/>
  <c r="F544" i="52" s="1"/>
  <c r="F616" i="52" s="1"/>
  <c r="F688" i="52" s="1"/>
  <c r="F760" i="52" s="1"/>
  <c r="F284" i="52"/>
  <c r="F356" i="52" s="1"/>
  <c r="F428" i="52" s="1"/>
  <c r="F500" i="52" s="1"/>
  <c r="F572" i="52" s="1"/>
  <c r="F644" i="52" s="1"/>
  <c r="F716" i="52" s="1"/>
  <c r="F325" i="52"/>
  <c r="F397" i="52" s="1"/>
  <c r="F469" i="52" s="1"/>
  <c r="F541" i="52" s="1"/>
  <c r="F613" i="52" s="1"/>
  <c r="F685" i="52" s="1"/>
  <c r="F757" i="52"/>
  <c r="D371" i="52"/>
  <c r="D443" i="52"/>
  <c r="Q299" i="52"/>
  <c r="S299" i="52" s="1"/>
  <c r="L6" i="50"/>
  <c r="K8" i="50"/>
  <c r="L6" i="46"/>
  <c r="K8" i="46"/>
  <c r="L6" i="35"/>
  <c r="C278" i="52"/>
  <c r="C281" i="52" s="1"/>
  <c r="C284" i="52"/>
  <c r="Q305" i="52"/>
  <c r="S305" i="52" s="1"/>
  <c r="F127" i="60"/>
  <c r="E129" i="60"/>
  <c r="C129" i="60"/>
  <c r="G127" i="60"/>
  <c r="E128" i="60"/>
  <c r="F128" i="60"/>
  <c r="D128" i="60"/>
  <c r="E130" i="60"/>
  <c r="D126" i="60"/>
  <c r="G130" i="60"/>
  <c r="G129" i="60"/>
  <c r="D129" i="60"/>
  <c r="D19" i="50"/>
  <c r="AO109" i="60"/>
  <c r="D71" i="58"/>
  <c r="G737" i="52"/>
  <c r="Z737" i="52" s="1"/>
  <c r="I82" i="43"/>
  <c r="G590" i="52"/>
  <c r="Z315" i="52"/>
  <c r="G482" i="52"/>
  <c r="P482" i="52" s="1"/>
  <c r="Z429" i="52"/>
  <c r="Z383" i="52"/>
  <c r="H239" i="50"/>
  <c r="S239" i="50"/>
  <c r="Z738" i="52"/>
  <c r="G536" i="52"/>
  <c r="Z536" i="52" s="1"/>
  <c r="G666" i="52"/>
  <c r="G529" i="52"/>
  <c r="P529" i="52" s="1"/>
  <c r="G649" i="52"/>
  <c r="Z298" i="52"/>
  <c r="G513" i="52"/>
  <c r="H356" i="52"/>
  <c r="G639" i="52"/>
  <c r="Z639" i="52" s="1"/>
  <c r="Z607" i="52"/>
  <c r="G747" i="52"/>
  <c r="H161" i="50"/>
  <c r="G486" i="52"/>
  <c r="Z463" i="52"/>
  <c r="H304" i="50"/>
  <c r="S304" i="50" s="1"/>
  <c r="G354" i="52"/>
  <c r="Z354" i="52" s="1"/>
  <c r="Z556" i="52"/>
  <c r="Z268" i="52"/>
  <c r="G759" i="52"/>
  <c r="G763" i="52"/>
  <c r="Z327" i="52"/>
  <c r="Z332" i="52"/>
  <c r="P402" i="52"/>
  <c r="G398" i="52"/>
  <c r="Z404" i="52"/>
  <c r="Z406" i="52"/>
  <c r="G477" i="52"/>
  <c r="G545" i="52"/>
  <c r="Z545" i="52" s="1"/>
  <c r="G546" i="52"/>
  <c r="G621" i="52"/>
  <c r="Z297" i="52"/>
  <c r="Z275" i="52"/>
  <c r="G694" i="52"/>
  <c r="G758" i="52"/>
  <c r="P758" i="52" s="1"/>
  <c r="G764" i="52"/>
  <c r="G668" i="52"/>
  <c r="Z551" i="52"/>
  <c r="Z265" i="52"/>
  <c r="Z716" i="52"/>
  <c r="G489" i="52"/>
  <c r="Z342" i="52"/>
  <c r="Z724" i="52"/>
  <c r="G648" i="52"/>
  <c r="P648" i="52" s="1"/>
  <c r="Z363" i="52"/>
  <c r="G656" i="52"/>
  <c r="Z611" i="52"/>
  <c r="G512" i="52"/>
  <c r="Z512" i="52" s="1"/>
  <c r="G450" i="52"/>
  <c r="Z450" i="52"/>
  <c r="Z712" i="52"/>
  <c r="Z479" i="52"/>
  <c r="G674" i="52"/>
  <c r="Z674" i="52" s="1"/>
  <c r="B56" i="52"/>
  <c r="G493" i="52"/>
  <c r="Z269" i="52"/>
  <c r="G667" i="52"/>
  <c r="Z351" i="52"/>
  <c r="Z435" i="52"/>
  <c r="G643" i="52"/>
  <c r="P643" i="52" s="1"/>
  <c r="Z272" i="52"/>
  <c r="G645" i="52"/>
  <c r="Z338" i="52"/>
  <c r="G629" i="52"/>
  <c r="G651" i="52"/>
  <c r="P651" i="52" s="1"/>
  <c r="Z386" i="52"/>
  <c r="Z317" i="52"/>
  <c r="Z373" i="52"/>
  <c r="G675" i="52"/>
  <c r="I376" i="52"/>
  <c r="Z325" i="52"/>
  <c r="Z326" i="52"/>
  <c r="Z331" i="52"/>
  <c r="P406" i="52"/>
  <c r="P401" i="52"/>
  <c r="P404" i="52"/>
  <c r="P405" i="52"/>
  <c r="G472" i="52"/>
  <c r="G473" i="52"/>
  <c r="Z473" i="52" s="1"/>
  <c r="G550" i="52"/>
  <c r="G548" i="52"/>
  <c r="G615" i="52"/>
  <c r="Z615" i="52" s="1"/>
  <c r="G616" i="52"/>
  <c r="Z752" i="52"/>
  <c r="Z558" i="52"/>
  <c r="G525" i="52"/>
  <c r="Z601" i="52"/>
  <c r="Z741" i="52"/>
  <c r="G496" i="52"/>
  <c r="G483" i="52"/>
  <c r="Z483" i="52" s="1"/>
  <c r="G682" i="52"/>
  <c r="Z682" i="52" s="1"/>
  <c r="G688" i="52"/>
  <c r="G687" i="52"/>
  <c r="G761" i="52"/>
  <c r="G760" i="52"/>
  <c r="G700" i="52"/>
  <c r="Z700" i="52" s="1"/>
  <c r="Z568" i="52"/>
  <c r="Z345" i="52"/>
  <c r="G511" i="52"/>
  <c r="P511" i="52" s="1"/>
  <c r="G658" i="52"/>
  <c r="G442" i="52"/>
  <c r="Z442" i="52" s="1"/>
  <c r="G757" i="52"/>
  <c r="Z575" i="52"/>
  <c r="H202" i="58"/>
  <c r="S202" i="58"/>
  <c r="Z278" i="52"/>
  <c r="Z457" i="52"/>
  <c r="Z715" i="52"/>
  <c r="G453" i="52"/>
  <c r="G744" i="52"/>
  <c r="Z288" i="52"/>
  <c r="G534" i="52"/>
  <c r="Z423" i="52"/>
  <c r="Z710" i="52"/>
  <c r="Z381" i="52"/>
  <c r="G714" i="52"/>
  <c r="G455" i="52"/>
  <c r="P455" i="52" s="1"/>
  <c r="H160" i="50"/>
  <c r="S160" i="50" s="1"/>
  <c r="I330" i="58"/>
  <c r="C471" i="52"/>
  <c r="C400" i="52"/>
  <c r="C329" i="52"/>
  <c r="C401" i="52" s="1"/>
  <c r="Q401" i="52" s="1"/>
  <c r="S401" i="52" s="1"/>
  <c r="Q328" i="52"/>
  <c r="S328" i="52"/>
  <c r="C475" i="52"/>
  <c r="Q403" i="52"/>
  <c r="S403" i="52" s="1"/>
  <c r="S139" i="50"/>
  <c r="J139" i="50"/>
  <c r="S297" i="50"/>
  <c r="J297" i="50"/>
  <c r="J232" i="50"/>
  <c r="C128" i="60"/>
  <c r="G128" i="60"/>
  <c r="J755" i="50"/>
  <c r="I615" i="50"/>
  <c r="J562" i="50"/>
  <c r="J491" i="50"/>
  <c r="J430" i="50"/>
  <c r="J429" i="50"/>
  <c r="J428" i="50"/>
  <c r="J427" i="50"/>
  <c r="J426" i="50"/>
  <c r="J425" i="50"/>
  <c r="J760" i="50"/>
  <c r="J694" i="50"/>
  <c r="J693" i="50"/>
  <c r="J692" i="50"/>
  <c r="J691" i="50"/>
  <c r="J690" i="50"/>
  <c r="J689" i="50"/>
  <c r="J561" i="50"/>
  <c r="J560" i="50"/>
  <c r="I549" i="50"/>
  <c r="J496" i="50"/>
  <c r="J364" i="50"/>
  <c r="W374" i="50" s="1"/>
  <c r="J363" i="50"/>
  <c r="J362" i="50"/>
  <c r="J361" i="50"/>
  <c r="J360" i="50"/>
  <c r="J359" i="50"/>
  <c r="J758" i="50"/>
  <c r="J757" i="50"/>
  <c r="J627" i="50"/>
  <c r="W637" i="50" s="1"/>
  <c r="J623" i="50"/>
  <c r="I417" i="50"/>
  <c r="J759" i="50"/>
  <c r="J628" i="50"/>
  <c r="J624" i="50"/>
  <c r="I351" i="50"/>
  <c r="J558" i="50"/>
  <c r="J495" i="50"/>
  <c r="J493" i="50"/>
  <c r="J492" i="50"/>
  <c r="I483" i="50"/>
  <c r="I681" i="50"/>
  <c r="J625" i="50"/>
  <c r="W635" i="50" s="1"/>
  <c r="J559" i="50"/>
  <c r="J557" i="50"/>
  <c r="I747" i="50"/>
  <c r="J494" i="50"/>
  <c r="J756" i="50"/>
  <c r="J626" i="50"/>
  <c r="J294" i="50"/>
  <c r="H768" i="50"/>
  <c r="S768" i="50" s="1"/>
  <c r="H765" i="50"/>
  <c r="S765" i="50"/>
  <c r="H704" i="50"/>
  <c r="S704" i="50" s="1"/>
  <c r="H700" i="50"/>
  <c r="S700" i="50"/>
  <c r="H637" i="50"/>
  <c r="H633" i="50"/>
  <c r="S633" i="50" s="1"/>
  <c r="H568" i="50"/>
  <c r="H504" i="50"/>
  <c r="H501" i="50"/>
  <c r="H437" i="50"/>
  <c r="H374" i="50"/>
  <c r="S374" i="50" s="1"/>
  <c r="H370" i="50"/>
  <c r="H766" i="50"/>
  <c r="S766" i="50" s="1"/>
  <c r="H701" i="50"/>
  <c r="H638" i="50"/>
  <c r="H634" i="50"/>
  <c r="S634" i="50" s="1"/>
  <c r="H571" i="50"/>
  <c r="S571" i="50" s="1"/>
  <c r="H502" i="50"/>
  <c r="S502" i="50" s="1"/>
  <c r="H438" i="50"/>
  <c r="S438" i="50" s="1"/>
  <c r="H371" i="50"/>
  <c r="H769" i="50"/>
  <c r="H636" i="50"/>
  <c r="S636" i="50" s="1"/>
  <c r="H440" i="50"/>
  <c r="W440" i="50" s="1"/>
  <c r="H372" i="50"/>
  <c r="S372" i="50" s="1"/>
  <c r="H703" i="50"/>
  <c r="S703" i="50" s="1"/>
  <c r="H635" i="50"/>
  <c r="H570" i="50"/>
  <c r="S570" i="50" s="1"/>
  <c r="H567" i="50"/>
  <c r="H506" i="50"/>
  <c r="S506" i="50" s="1"/>
  <c r="H503" i="50"/>
  <c r="H439" i="50"/>
  <c r="H369" i="50"/>
  <c r="Z467" i="52"/>
  <c r="Z437" i="52"/>
  <c r="P531" i="52"/>
  <c r="P485" i="52"/>
  <c r="P424" i="52"/>
  <c r="H767" i="50"/>
  <c r="H699" i="50"/>
  <c r="H572" i="50"/>
  <c r="S572" i="50" s="1"/>
  <c r="H436" i="50"/>
  <c r="P528" i="52"/>
  <c r="H435" i="50"/>
  <c r="S435" i="50" s="1"/>
  <c r="W435" i="50"/>
  <c r="P539" i="52"/>
  <c r="H569" i="50"/>
  <c r="S569" i="50" s="1"/>
  <c r="P772" i="52"/>
  <c r="P537" i="52"/>
  <c r="H702" i="50"/>
  <c r="H505" i="50"/>
  <c r="S505" i="50"/>
  <c r="P503" i="52"/>
  <c r="H373" i="50"/>
  <c r="P498" i="52"/>
  <c r="P771" i="52"/>
  <c r="G745" i="52"/>
  <c r="Z745" i="52"/>
  <c r="G650" i="52"/>
  <c r="Z650" i="52"/>
  <c r="G735" i="52"/>
  <c r="P735" i="52"/>
  <c r="H240" i="50"/>
  <c r="S240" i="50" s="1"/>
  <c r="G664" i="52"/>
  <c r="P664" i="52" s="1"/>
  <c r="Z750" i="52"/>
  <c r="Z721" i="52"/>
  <c r="P542" i="52"/>
  <c r="H770" i="50"/>
  <c r="Z267" i="52"/>
  <c r="G670" i="52"/>
  <c r="P670" i="52" s="1"/>
  <c r="Z293" i="52"/>
  <c r="Z306" i="52"/>
  <c r="G580" i="52"/>
  <c r="P580" i="52" s="1"/>
  <c r="G672" i="52"/>
  <c r="G446" i="52"/>
  <c r="P446" i="52" s="1"/>
  <c r="Z308" i="52"/>
  <c r="G665" i="52"/>
  <c r="Z665" i="52"/>
  <c r="Z593" i="52"/>
  <c r="G705" i="52"/>
  <c r="G346" i="52"/>
  <c r="Z531" i="52"/>
  <c r="J298" i="50"/>
  <c r="H135" i="46"/>
  <c r="E151" i="46" s="1"/>
  <c r="V73" i="46"/>
  <c r="C771" i="52"/>
  <c r="C772" i="52" s="1"/>
  <c r="C773" i="52" s="1"/>
  <c r="Q770" i="52"/>
  <c r="S770" i="52" s="1"/>
  <c r="D470" i="52"/>
  <c r="Q398" i="52"/>
  <c r="S398" i="52" s="1"/>
  <c r="Q332" i="52"/>
  <c r="S332" i="52" s="1"/>
  <c r="C333" i="52"/>
  <c r="F282" i="38"/>
  <c r="DU13" i="60"/>
  <c r="DU14" i="60" s="1"/>
  <c r="DU15" i="60" s="1"/>
  <c r="DU16" i="60" s="1"/>
  <c r="DU17" i="60" s="1"/>
  <c r="DU18" i="60" s="1"/>
  <c r="DU19" i="60"/>
  <c r="DU20" i="60" s="1"/>
  <c r="DU21" i="60" s="1"/>
  <c r="DU22" i="60" s="1"/>
  <c r="DU23" i="60" s="1"/>
  <c r="DU24" i="60" s="1"/>
  <c r="DU25" i="60" s="1"/>
  <c r="DU26" i="60" s="1"/>
  <c r="DU27" i="60" s="1"/>
  <c r="DU28" i="60" s="1"/>
  <c r="DU29" i="60" s="1"/>
  <c r="DU30" i="60" s="1"/>
  <c r="DU31" i="60" s="1"/>
  <c r="DU32" i="60" s="1"/>
  <c r="DU33" i="60" s="1"/>
  <c r="DU34" i="60" s="1"/>
  <c r="DU35" i="60" s="1"/>
  <c r="DU36" i="60" s="1"/>
  <c r="DU37" i="60" s="1"/>
  <c r="DU38" i="60" s="1"/>
  <c r="DU39" i="60" s="1"/>
  <c r="DU40" i="60" s="1"/>
  <c r="DU41" i="60" s="1"/>
  <c r="DU42" i="60" s="1"/>
  <c r="DU43" i="60" s="1"/>
  <c r="DU44" i="60" s="1"/>
  <c r="DU45" i="60" s="1"/>
  <c r="DU46" i="60" s="1"/>
  <c r="DU47" i="60" s="1"/>
  <c r="DU48" i="60" s="1"/>
  <c r="DU49" i="60" s="1"/>
  <c r="DU50" i="60" s="1"/>
  <c r="DU51" i="60" s="1"/>
  <c r="DU52" i="60" s="1"/>
  <c r="DU53" i="60" s="1"/>
  <c r="DU54" i="60" s="1"/>
  <c r="DU55" i="60" s="1"/>
  <c r="DU56" i="60" s="1"/>
  <c r="DU57" i="60" s="1"/>
  <c r="DU58" i="60" s="1"/>
  <c r="DU59" i="60" s="1"/>
  <c r="DU60" i="60" s="1"/>
  <c r="DU61" i="60" s="1"/>
  <c r="DU62" i="60" s="1"/>
  <c r="DU63" i="60" s="1"/>
  <c r="DU64" i="60" s="1"/>
  <c r="DU65" i="60" s="1"/>
  <c r="DU66" i="60" s="1"/>
  <c r="DU67" i="60" s="1"/>
  <c r="DU68" i="60" s="1"/>
  <c r="DU69" i="60" s="1"/>
  <c r="DU70" i="60" s="1"/>
  <c r="DU71" i="60" s="1"/>
  <c r="DU72" i="60" s="1"/>
  <c r="DU73" i="60" s="1"/>
  <c r="DU74" i="60" s="1"/>
  <c r="DU75" i="60" s="1"/>
  <c r="DU76" i="60" s="1"/>
  <c r="DU77" i="60" s="1"/>
  <c r="DU78" i="60" s="1"/>
  <c r="DU79" i="60" s="1"/>
  <c r="DU80" i="60" s="1"/>
  <c r="DU81" i="60" s="1"/>
  <c r="DU82" i="60" s="1"/>
  <c r="DU83" i="60" s="1"/>
  <c r="DU84" i="60" s="1"/>
  <c r="DU85" i="60" s="1"/>
  <c r="EK13" i="60"/>
  <c r="EK14" i="60"/>
  <c r="EK15" i="60" s="1"/>
  <c r="EK16" i="60" s="1"/>
  <c r="EK17" i="60" s="1"/>
  <c r="EK18" i="60" s="1"/>
  <c r="EK19" i="60" s="1"/>
  <c r="EK20" i="60" s="1"/>
  <c r="EK21" i="60" s="1"/>
  <c r="EK22" i="60" s="1"/>
  <c r="EK23" i="60" s="1"/>
  <c r="EK24" i="60" s="1"/>
  <c r="EK25" i="60" s="1"/>
  <c r="EK26" i="60" s="1"/>
  <c r="EK27" i="60" s="1"/>
  <c r="EK28" i="60" s="1"/>
  <c r="EK29" i="60" s="1"/>
  <c r="EK30" i="60" s="1"/>
  <c r="EK31" i="60" s="1"/>
  <c r="EK32" i="60" s="1"/>
  <c r="EK33" i="60" s="1"/>
  <c r="EK34" i="60" s="1"/>
  <c r="EK35" i="60" s="1"/>
  <c r="EK36" i="60" s="1"/>
  <c r="EK37" i="60" s="1"/>
  <c r="EK38" i="60" s="1"/>
  <c r="EK39" i="60" s="1"/>
  <c r="EK40" i="60" s="1"/>
  <c r="EK41" i="60" s="1"/>
  <c r="EK42" i="60" s="1"/>
  <c r="EK43" i="60" s="1"/>
  <c r="EK44" i="60" s="1"/>
  <c r="EK45" i="60" s="1"/>
  <c r="EK46" i="60" s="1"/>
  <c r="EK47" i="60" s="1"/>
  <c r="EK48" i="60" s="1"/>
  <c r="EK49" i="60" s="1"/>
  <c r="EK50" i="60" s="1"/>
  <c r="EK51" i="60" s="1"/>
  <c r="EK52" i="60" s="1"/>
  <c r="EK53" i="60" s="1"/>
  <c r="EK54" i="60" s="1"/>
  <c r="EK55" i="60" s="1"/>
  <c r="EK56" i="60" s="1"/>
  <c r="EK57" i="60" s="1"/>
  <c r="EK58" i="60" s="1"/>
  <c r="EK59" i="60" s="1"/>
  <c r="EK60" i="60" s="1"/>
  <c r="EK61" i="60" s="1"/>
  <c r="EK62" i="60" s="1"/>
  <c r="EK63" i="60" s="1"/>
  <c r="EK64" i="60" s="1"/>
  <c r="EK65" i="60" s="1"/>
  <c r="EK66" i="60" s="1"/>
  <c r="EK67" i="60" s="1"/>
  <c r="EK68" i="60" s="1"/>
  <c r="EK69" i="60" s="1"/>
  <c r="EK70" i="60" s="1"/>
  <c r="EK71" i="60" s="1"/>
  <c r="EK72" i="60" s="1"/>
  <c r="EK73" i="60" s="1"/>
  <c r="EK74" i="60" s="1"/>
  <c r="EK75" i="60" s="1"/>
  <c r="EK76" i="60" s="1"/>
  <c r="EK77" i="60" s="1"/>
  <c r="EK78" i="60" s="1"/>
  <c r="EK79" i="60" s="1"/>
  <c r="EK80" i="60" s="1"/>
  <c r="EK81" i="60" s="1"/>
  <c r="EK82" i="60" s="1"/>
  <c r="EK83" i="60" s="1"/>
  <c r="EK84" i="60" s="1"/>
  <c r="EK85" i="60" s="1"/>
  <c r="P545" i="52"/>
  <c r="P629" i="52"/>
  <c r="Z629" i="52"/>
  <c r="DM13" i="60"/>
  <c r="DM14" i="60" s="1"/>
  <c r="DM15" i="60" s="1"/>
  <c r="DM16" i="60" s="1"/>
  <c r="DM17" i="60" s="1"/>
  <c r="DM18" i="60" s="1"/>
  <c r="DM19" i="60" s="1"/>
  <c r="DM20" i="60" s="1"/>
  <c r="DM21" i="60" s="1"/>
  <c r="DM22" i="60" s="1"/>
  <c r="DM23" i="60" s="1"/>
  <c r="DM24" i="60" s="1"/>
  <c r="DM25" i="60" s="1"/>
  <c r="DM26" i="60" s="1"/>
  <c r="DM27" i="60" s="1"/>
  <c r="DM28" i="60" s="1"/>
  <c r="DM29" i="60" s="1"/>
  <c r="DM30" i="60" s="1"/>
  <c r="DM31" i="60" s="1"/>
  <c r="DM32" i="60" s="1"/>
  <c r="DM33" i="60" s="1"/>
  <c r="DM34" i="60" s="1"/>
  <c r="DM35" i="60" s="1"/>
  <c r="DM36" i="60" s="1"/>
  <c r="DM37" i="60" s="1"/>
  <c r="DM38" i="60" s="1"/>
  <c r="DM39" i="60" s="1"/>
  <c r="DM40" i="60" s="1"/>
  <c r="DM41" i="60" s="1"/>
  <c r="DM42" i="60" s="1"/>
  <c r="DM43" i="60" s="1"/>
  <c r="DM44" i="60" s="1"/>
  <c r="DM45" i="60" s="1"/>
  <c r="DM46" i="60" s="1"/>
  <c r="DM47" i="60" s="1"/>
  <c r="DM48" i="60" s="1"/>
  <c r="DM49" i="60" s="1"/>
  <c r="DM50" i="60" s="1"/>
  <c r="DM51" i="60" s="1"/>
  <c r="DM52" i="60" s="1"/>
  <c r="DM53" i="60" s="1"/>
  <c r="DM54" i="60" s="1"/>
  <c r="DM55" i="60" s="1"/>
  <c r="DM56" i="60" s="1"/>
  <c r="DM57" i="60" s="1"/>
  <c r="DM58" i="60" s="1"/>
  <c r="DM59" i="60" s="1"/>
  <c r="DM60" i="60" s="1"/>
  <c r="DM61" i="60" s="1"/>
  <c r="DM62" i="60" s="1"/>
  <c r="DM63" i="60" s="1"/>
  <c r="DM64" i="60" s="1"/>
  <c r="DM65" i="60" s="1"/>
  <c r="DM66" i="60" s="1"/>
  <c r="DM67" i="60" s="1"/>
  <c r="DM68" i="60" s="1"/>
  <c r="DM69" i="60" s="1"/>
  <c r="DM70" i="60" s="1"/>
  <c r="DM71" i="60" s="1"/>
  <c r="DM72" i="60" s="1"/>
  <c r="DM73" i="60" s="1"/>
  <c r="DM74" i="60" s="1"/>
  <c r="DM75" i="60" s="1"/>
  <c r="DM76" i="60" s="1"/>
  <c r="DM77" i="60" s="1"/>
  <c r="DM78" i="60" s="1"/>
  <c r="DM79" i="60" s="1"/>
  <c r="DM80" i="60" s="1"/>
  <c r="DM81" i="60" s="1"/>
  <c r="DM82" i="60" s="1"/>
  <c r="DM83" i="60" s="1"/>
  <c r="DM84" i="60" s="1"/>
  <c r="DM85" i="60" s="1"/>
  <c r="EC13" i="60"/>
  <c r="EC14" i="60" s="1"/>
  <c r="EC15" i="60"/>
  <c r="EC16" i="60" s="1"/>
  <c r="EC17" i="60" s="1"/>
  <c r="EC18" i="60" s="1"/>
  <c r="EC19" i="60" s="1"/>
  <c r="EC20" i="60" s="1"/>
  <c r="EC21" i="60" s="1"/>
  <c r="EC22" i="60" s="1"/>
  <c r="EC23" i="60" s="1"/>
  <c r="EC24" i="60" s="1"/>
  <c r="EC25" i="60" s="1"/>
  <c r="EC26" i="60" s="1"/>
  <c r="EC27" i="60" s="1"/>
  <c r="EC28" i="60" s="1"/>
  <c r="EC29" i="60" s="1"/>
  <c r="EC30" i="60" s="1"/>
  <c r="EC31" i="60" s="1"/>
  <c r="EC32" i="60" s="1"/>
  <c r="EC33" i="60" s="1"/>
  <c r="EC34" i="60" s="1"/>
  <c r="EC35" i="60" s="1"/>
  <c r="EC36" i="60" s="1"/>
  <c r="EC37" i="60" s="1"/>
  <c r="EC38" i="60" s="1"/>
  <c r="EC39" i="60" s="1"/>
  <c r="EC40" i="60" s="1"/>
  <c r="EC41" i="60" s="1"/>
  <c r="EC42" i="60" s="1"/>
  <c r="EC43" i="60" s="1"/>
  <c r="EC44" i="60" s="1"/>
  <c r="EC45" i="60" s="1"/>
  <c r="EC46" i="60" s="1"/>
  <c r="EC47" i="60" s="1"/>
  <c r="EC48" i="60" s="1"/>
  <c r="EC49" i="60" s="1"/>
  <c r="EC50" i="60" s="1"/>
  <c r="EC51" i="60" s="1"/>
  <c r="EC52" i="60" s="1"/>
  <c r="EC53" i="60" s="1"/>
  <c r="EC54" i="60" s="1"/>
  <c r="EC55" i="60" s="1"/>
  <c r="EC56" i="60" s="1"/>
  <c r="EC57" i="60" s="1"/>
  <c r="EC58" i="60" s="1"/>
  <c r="EC59" i="60" s="1"/>
  <c r="EC60" i="60" s="1"/>
  <c r="EC61" i="60" s="1"/>
  <c r="EC62" i="60" s="1"/>
  <c r="EC63" i="60" s="1"/>
  <c r="EC64" i="60" s="1"/>
  <c r="EC65" i="60" s="1"/>
  <c r="EC66" i="60" s="1"/>
  <c r="EC67" i="60" s="1"/>
  <c r="EC68" i="60" s="1"/>
  <c r="EC69" i="60" s="1"/>
  <c r="EC70" i="60" s="1"/>
  <c r="EC71" i="60" s="1"/>
  <c r="EC72" i="60" s="1"/>
  <c r="EC73" i="60" s="1"/>
  <c r="EC74" i="60" s="1"/>
  <c r="EC75" i="60" s="1"/>
  <c r="EC76" i="60" s="1"/>
  <c r="EC77" i="60" s="1"/>
  <c r="EC78" i="60" s="1"/>
  <c r="EC79" i="60" s="1"/>
  <c r="EC80" i="60" s="1"/>
  <c r="EC81" i="60" s="1"/>
  <c r="EC82" i="60" s="1"/>
  <c r="EC83" i="60" s="1"/>
  <c r="EC84" i="60" s="1"/>
  <c r="EC85" i="60" s="1"/>
  <c r="Z742" i="52"/>
  <c r="Z660" i="52"/>
  <c r="AJ110" i="60"/>
  <c r="AR110" i="60"/>
  <c r="Q298" i="52"/>
  <c r="S298" i="52"/>
  <c r="C301" i="52"/>
  <c r="C302" i="52" s="1"/>
  <c r="C374" i="52" s="1"/>
  <c r="C446" i="52" s="1"/>
  <c r="Q446" i="52" s="1"/>
  <c r="S446" i="52" s="1"/>
  <c r="V80" i="46"/>
  <c r="V67" i="46"/>
  <c r="V79" i="46"/>
  <c r="V78" i="46"/>
  <c r="V65" i="46"/>
  <c r="V84" i="46"/>
  <c r="V81" i="46"/>
  <c r="V85" i="46"/>
  <c r="Q316" i="52"/>
  <c r="S316" i="52" s="1"/>
  <c r="C388" i="52"/>
  <c r="F282" i="52"/>
  <c r="F354" i="52" s="1"/>
  <c r="F426" i="52" s="1"/>
  <c r="F498" i="52" s="1"/>
  <c r="F570" i="52" s="1"/>
  <c r="F642" i="52" s="1"/>
  <c r="F714" i="52" s="1"/>
  <c r="F316" i="52"/>
  <c r="F388" i="52"/>
  <c r="F460" i="52" s="1"/>
  <c r="F532" i="52" s="1"/>
  <c r="F604" i="52" s="1"/>
  <c r="F676" i="52" s="1"/>
  <c r="F748" i="52" s="1"/>
  <c r="F276" i="52"/>
  <c r="F348" i="52" s="1"/>
  <c r="F420" i="52" s="1"/>
  <c r="F492" i="52" s="1"/>
  <c r="F564" i="52" s="1"/>
  <c r="F636" i="52" s="1"/>
  <c r="F708" i="52" s="1"/>
  <c r="F275" i="52"/>
  <c r="F347" i="52"/>
  <c r="F419" i="52" s="1"/>
  <c r="F491" i="52" s="1"/>
  <c r="F563" i="52" s="1"/>
  <c r="F635" i="52" s="1"/>
  <c r="F707" i="52" s="1"/>
  <c r="F322" i="52"/>
  <c r="F394" i="52" s="1"/>
  <c r="F466" i="52" s="1"/>
  <c r="F538" i="52" s="1"/>
  <c r="F610" i="52" s="1"/>
  <c r="F682" i="52" s="1"/>
  <c r="F754" i="52" s="1"/>
  <c r="F773" i="52"/>
  <c r="F772" i="52"/>
  <c r="F327" i="52"/>
  <c r="F399" i="52"/>
  <c r="F471" i="52" s="1"/>
  <c r="F543" i="52"/>
  <c r="F615" i="52" s="1"/>
  <c r="F687" i="52" s="1"/>
  <c r="F759" i="52" s="1"/>
  <c r="F274" i="52"/>
  <c r="F346" i="52" s="1"/>
  <c r="F418" i="52" s="1"/>
  <c r="F490" i="52" s="1"/>
  <c r="F562" i="52" s="1"/>
  <c r="F634" i="52" s="1"/>
  <c r="F706" i="52" s="1"/>
  <c r="F769" i="52"/>
  <c r="F775" i="52"/>
  <c r="F331" i="52"/>
  <c r="F403" i="52" s="1"/>
  <c r="F475" i="52" s="1"/>
  <c r="F547" i="52" s="1"/>
  <c r="F619" i="52" s="1"/>
  <c r="F691" i="52" s="1"/>
  <c r="F763" i="52" s="1"/>
  <c r="DL13" i="60"/>
  <c r="H302" i="52"/>
  <c r="P302" i="52"/>
  <c r="C349" i="52"/>
  <c r="Q277" i="52"/>
  <c r="S277" i="52" s="1"/>
  <c r="C462" i="52"/>
  <c r="C464" i="52"/>
  <c r="C536" i="52" s="1"/>
  <c r="C608" i="52"/>
  <c r="C680" i="52" s="1"/>
  <c r="C752" i="52" s="1"/>
  <c r="DS13" i="60"/>
  <c r="DS14" i="60"/>
  <c r="DS15" i="60" s="1"/>
  <c r="DS16" i="60" s="1"/>
  <c r="DS17" i="60" s="1"/>
  <c r="DS18" i="60" s="1"/>
  <c r="DS19" i="60" s="1"/>
  <c r="DS20" i="60" s="1"/>
  <c r="DS21" i="60" s="1"/>
  <c r="DS22" i="60" s="1"/>
  <c r="DS23" i="60" s="1"/>
  <c r="DS24" i="60" s="1"/>
  <c r="DS25" i="60"/>
  <c r="DS26" i="60" s="1"/>
  <c r="DS27" i="60" s="1"/>
  <c r="DS28" i="60" s="1"/>
  <c r="DS29" i="60" s="1"/>
  <c r="DS30" i="60" s="1"/>
  <c r="DS31" i="60" s="1"/>
  <c r="DS32" i="60" s="1"/>
  <c r="DS33" i="60" s="1"/>
  <c r="DS34" i="60" s="1"/>
  <c r="DS35" i="60" s="1"/>
  <c r="DS36" i="60" s="1"/>
  <c r="DS37" i="60" s="1"/>
  <c r="DS38" i="60" s="1"/>
  <c r="DS39" i="60" s="1"/>
  <c r="DS40" i="60" s="1"/>
  <c r="DS41" i="60" s="1"/>
  <c r="DS42" i="60" s="1"/>
  <c r="DS43" i="60" s="1"/>
  <c r="DS44" i="60" s="1"/>
  <c r="DS45" i="60" s="1"/>
  <c r="DS46" i="60" s="1"/>
  <c r="DS47" i="60" s="1"/>
  <c r="DS48" i="60" s="1"/>
  <c r="DS49" i="60" s="1"/>
  <c r="DS50" i="60" s="1"/>
  <c r="DS51" i="60" s="1"/>
  <c r="DS52" i="60" s="1"/>
  <c r="DS53" i="60" s="1"/>
  <c r="DS54" i="60" s="1"/>
  <c r="DS55" i="60" s="1"/>
  <c r="DS56" i="60" s="1"/>
  <c r="DS57" i="60" s="1"/>
  <c r="DS58" i="60" s="1"/>
  <c r="DS59" i="60" s="1"/>
  <c r="DS60" i="60" s="1"/>
  <c r="DS61" i="60" s="1"/>
  <c r="DS62" i="60" s="1"/>
  <c r="DS63" i="60" s="1"/>
  <c r="DS64" i="60" s="1"/>
  <c r="DS65" i="60" s="1"/>
  <c r="DS66" i="60" s="1"/>
  <c r="DS67" i="60" s="1"/>
  <c r="DS68" i="60" s="1"/>
  <c r="DS69" i="60" s="1"/>
  <c r="DS70" i="60" s="1"/>
  <c r="DS71" i="60" s="1"/>
  <c r="DS72" i="60" s="1"/>
  <c r="DS73" i="60" s="1"/>
  <c r="DS74" i="60" s="1"/>
  <c r="DS75" i="60" s="1"/>
  <c r="DS76" i="60" s="1"/>
  <c r="DS77" i="60" s="1"/>
  <c r="DS78" i="60" s="1"/>
  <c r="DS79" i="60" s="1"/>
  <c r="DS80" i="60" s="1"/>
  <c r="DS81" i="60" s="1"/>
  <c r="DS82" i="60" s="1"/>
  <c r="DS83" i="60" s="1"/>
  <c r="DS84" i="60" s="1"/>
  <c r="DS85" i="60" s="1"/>
  <c r="F281" i="52"/>
  <c r="F353" i="52" s="1"/>
  <c r="F425" i="52" s="1"/>
  <c r="F497" i="52" s="1"/>
  <c r="F569" i="52" s="1"/>
  <c r="F641" i="52" s="1"/>
  <c r="F713" i="52" s="1"/>
  <c r="F278" i="52"/>
  <c r="F350" i="52" s="1"/>
  <c r="F422" i="52" s="1"/>
  <c r="F494" i="52"/>
  <c r="F566" i="52" s="1"/>
  <c r="F638" i="52" s="1"/>
  <c r="F710" i="52" s="1"/>
  <c r="F286" i="52"/>
  <c r="F358" i="52"/>
  <c r="F430" i="52" s="1"/>
  <c r="F502" i="52" s="1"/>
  <c r="F574" i="52" s="1"/>
  <c r="F646" i="52" s="1"/>
  <c r="F718" i="52" s="1"/>
  <c r="F333" i="52"/>
  <c r="F405" i="52" s="1"/>
  <c r="F477" i="52" s="1"/>
  <c r="F549" i="52" s="1"/>
  <c r="F621" i="52" s="1"/>
  <c r="F693" i="52" s="1"/>
  <c r="F765" i="52" s="1"/>
  <c r="F308" i="52"/>
  <c r="F380" i="52"/>
  <c r="F452" i="52" s="1"/>
  <c r="F524" i="52" s="1"/>
  <c r="F596" i="52" s="1"/>
  <c r="F668" i="52" s="1"/>
  <c r="F740" i="52"/>
  <c r="F280" i="52"/>
  <c r="F352" i="52" s="1"/>
  <c r="F424" i="52" s="1"/>
  <c r="F496" i="52" s="1"/>
  <c r="F568" i="52" s="1"/>
  <c r="F640" i="52" s="1"/>
  <c r="F712" i="52" s="1"/>
  <c r="F330" i="52"/>
  <c r="F402" i="52" s="1"/>
  <c r="F474" i="52" s="1"/>
  <c r="F546" i="52" s="1"/>
  <c r="F618" i="52" s="1"/>
  <c r="F690" i="52" s="1"/>
  <c r="F762" i="52" s="1"/>
  <c r="F332" i="52"/>
  <c r="F404" i="52"/>
  <c r="F476" i="52" s="1"/>
  <c r="F548" i="52" s="1"/>
  <c r="F620" i="52" s="1"/>
  <c r="F692" i="52" s="1"/>
  <c r="F764" i="52"/>
  <c r="F279" i="52"/>
  <c r="F351" i="52" s="1"/>
  <c r="F423" i="52" s="1"/>
  <c r="F495" i="52" s="1"/>
  <c r="F567" i="52" s="1"/>
  <c r="F639" i="52" s="1"/>
  <c r="F711" i="52" s="1"/>
  <c r="C293" i="52"/>
  <c r="C365" i="52" s="1"/>
  <c r="Q365" i="52" s="1"/>
  <c r="S365" i="52" s="1"/>
  <c r="C360" i="52"/>
  <c r="C432" i="52"/>
  <c r="S769" i="52"/>
  <c r="EA13" i="60"/>
  <c r="EA14" i="60" s="1"/>
  <c r="EA15" i="60" s="1"/>
  <c r="EA16" i="60" s="1"/>
  <c r="EA17" i="60"/>
  <c r="EA18" i="60" s="1"/>
  <c r="EA19" i="60" s="1"/>
  <c r="EA20" i="60" s="1"/>
  <c r="EA21" i="60" s="1"/>
  <c r="EA22" i="60" s="1"/>
  <c r="EA23" i="60" s="1"/>
  <c r="EA24" i="60" s="1"/>
  <c r="EA25" i="60" s="1"/>
  <c r="EA26" i="60" s="1"/>
  <c r="EA27" i="60" s="1"/>
  <c r="EA28" i="60" s="1"/>
  <c r="EA29" i="60" s="1"/>
  <c r="EA30" i="60" s="1"/>
  <c r="EA31" i="60" s="1"/>
  <c r="EA32" i="60" s="1"/>
  <c r="EA33" i="60" s="1"/>
  <c r="EA34" i="60" s="1"/>
  <c r="EA35" i="60" s="1"/>
  <c r="EA36" i="60" s="1"/>
  <c r="EA37" i="60" s="1"/>
  <c r="EA38" i="60" s="1"/>
  <c r="EA39" i="60" s="1"/>
  <c r="EA40" i="60" s="1"/>
  <c r="EA41" i="60" s="1"/>
  <c r="EA42" i="60" s="1"/>
  <c r="EA43" i="60" s="1"/>
  <c r="EA44" i="60" s="1"/>
  <c r="EA45" i="60" s="1"/>
  <c r="EA46" i="60" s="1"/>
  <c r="EA47" i="60" s="1"/>
  <c r="EA48" i="60" s="1"/>
  <c r="EA49" i="60"/>
  <c r="EA50" i="60" s="1"/>
  <c r="EA51" i="60" s="1"/>
  <c r="EA52" i="60" s="1"/>
  <c r="EA53" i="60" s="1"/>
  <c r="EA54" i="60" s="1"/>
  <c r="EA55" i="60" s="1"/>
  <c r="EA56" i="60" s="1"/>
  <c r="EA57" i="60" s="1"/>
  <c r="EA58" i="60" s="1"/>
  <c r="EA59" i="60" s="1"/>
  <c r="EA60" i="60" s="1"/>
  <c r="EA61" i="60" s="1"/>
  <c r="EA62" i="60" s="1"/>
  <c r="EA63" i="60" s="1"/>
  <c r="EA64" i="60" s="1"/>
  <c r="EA65" i="60" s="1"/>
  <c r="EA66" i="60" s="1"/>
  <c r="EA67" i="60" s="1"/>
  <c r="EA68" i="60" s="1"/>
  <c r="EA69" i="60" s="1"/>
  <c r="EA70" i="60" s="1"/>
  <c r="EA71" i="60" s="1"/>
  <c r="EA72" i="60" s="1"/>
  <c r="EA73" i="60" s="1"/>
  <c r="EA74" i="60" s="1"/>
  <c r="EA75" i="60" s="1"/>
  <c r="EA76" i="60" s="1"/>
  <c r="EA77" i="60" s="1"/>
  <c r="EA78" i="60" s="1"/>
  <c r="EA79" i="60" s="1"/>
  <c r="EA80" i="60" s="1"/>
  <c r="EA81" i="60" s="1"/>
  <c r="EA82" i="60" s="1"/>
  <c r="EA83" i="60" s="1"/>
  <c r="EA84" i="60" s="1"/>
  <c r="EA85" i="60" s="1"/>
  <c r="DH13" i="60"/>
  <c r="DH14" i="60"/>
  <c r="DH15" i="60"/>
  <c r="DH16" i="60" s="1"/>
  <c r="DH17" i="60" s="1"/>
  <c r="DH18" i="60" s="1"/>
  <c r="DH19" i="60" s="1"/>
  <c r="DH20" i="60" s="1"/>
  <c r="DH21" i="60" s="1"/>
  <c r="DH22" i="60" s="1"/>
  <c r="DH23" i="60" s="1"/>
  <c r="DH24" i="60" s="1"/>
  <c r="DH25" i="60" s="1"/>
  <c r="DH26" i="60" s="1"/>
  <c r="DH27" i="60" s="1"/>
  <c r="DH28" i="60" s="1"/>
  <c r="DH29" i="60" s="1"/>
  <c r="DH30" i="60" s="1"/>
  <c r="DH31" i="60" s="1"/>
  <c r="DH32" i="60" s="1"/>
  <c r="DH33" i="60" s="1"/>
  <c r="DH34" i="60" s="1"/>
  <c r="DH35" i="60" s="1"/>
  <c r="DH36" i="60" s="1"/>
  <c r="DH37" i="60" s="1"/>
  <c r="DH38" i="60" s="1"/>
  <c r="DH39" i="60" s="1"/>
  <c r="DH40" i="60" s="1"/>
  <c r="DH41" i="60" s="1"/>
  <c r="DH42" i="60" s="1"/>
  <c r="DH43" i="60" s="1"/>
  <c r="DH44" i="60" s="1"/>
  <c r="DH45" i="60" s="1"/>
  <c r="DH46" i="60" s="1"/>
  <c r="DH47" i="60" s="1"/>
  <c r="DH48" i="60" s="1"/>
  <c r="DH49" i="60" s="1"/>
  <c r="DH50" i="60" s="1"/>
  <c r="DH51" i="60" s="1"/>
  <c r="DH52" i="60" s="1"/>
  <c r="DH53" i="60" s="1"/>
  <c r="DH54" i="60" s="1"/>
  <c r="DH55" i="60" s="1"/>
  <c r="DH56" i="60" s="1"/>
  <c r="DH57" i="60" s="1"/>
  <c r="DH58" i="60" s="1"/>
  <c r="DH59" i="60" s="1"/>
  <c r="DH60" i="60" s="1"/>
  <c r="DH61" i="60" s="1"/>
  <c r="DH62" i="60" s="1"/>
  <c r="DH63" i="60" s="1"/>
  <c r="DH64" i="60" s="1"/>
  <c r="DH65" i="60" s="1"/>
  <c r="DH66" i="60" s="1"/>
  <c r="DH67" i="60" s="1"/>
  <c r="DH68" i="60" s="1"/>
  <c r="DH69" i="60" s="1"/>
  <c r="DH70" i="60" s="1"/>
  <c r="DH71" i="60" s="1"/>
  <c r="DH72" i="60" s="1"/>
  <c r="DH73" i="60" s="1"/>
  <c r="DH74" i="60" s="1"/>
  <c r="DH75" i="60" s="1"/>
  <c r="DH76" i="60" s="1"/>
  <c r="DH77" i="60" s="1"/>
  <c r="DH78" i="60" s="1"/>
  <c r="DH79" i="60" s="1"/>
  <c r="DH80" i="60" s="1"/>
  <c r="DH81" i="60" s="1"/>
  <c r="DH82" i="60" s="1"/>
  <c r="DH83" i="60" s="1"/>
  <c r="DH84" i="60" s="1"/>
  <c r="DH85" i="60" s="1"/>
  <c r="DN13" i="60"/>
  <c r="DN14" i="60"/>
  <c r="DN15" i="60" s="1"/>
  <c r="DN16" i="60" s="1"/>
  <c r="DN17" i="60" s="1"/>
  <c r="DN18" i="60"/>
  <c r="DN19" i="60" s="1"/>
  <c r="DN20" i="60" s="1"/>
  <c r="DN21" i="60" s="1"/>
  <c r="DN22" i="60" s="1"/>
  <c r="DN23" i="60" s="1"/>
  <c r="DN24" i="60" s="1"/>
  <c r="DN25" i="60" s="1"/>
  <c r="DN26" i="60" s="1"/>
  <c r="DN27" i="60"/>
  <c r="DN28" i="60" s="1"/>
  <c r="DN29" i="60" s="1"/>
  <c r="DN30" i="60" s="1"/>
  <c r="DN31" i="60" s="1"/>
  <c r="DN32" i="60" s="1"/>
  <c r="DN33" i="60" s="1"/>
  <c r="DN34" i="60" s="1"/>
  <c r="DN35" i="60" s="1"/>
  <c r="DN36" i="60" s="1"/>
  <c r="DN37" i="60" s="1"/>
  <c r="DN38" i="60" s="1"/>
  <c r="DN39" i="60" s="1"/>
  <c r="DN40" i="60" s="1"/>
  <c r="DN41" i="60" s="1"/>
  <c r="DN42" i="60" s="1"/>
  <c r="DN43" i="60" s="1"/>
  <c r="DN44" i="60" s="1"/>
  <c r="DN45" i="60" s="1"/>
  <c r="DN46" i="60" s="1"/>
  <c r="DN47" i="60" s="1"/>
  <c r="DN48" i="60" s="1"/>
  <c r="DN49" i="60" s="1"/>
  <c r="DN50" i="60" s="1"/>
  <c r="DN51" i="60" s="1"/>
  <c r="DN52" i="60" s="1"/>
  <c r="DN53" i="60" s="1"/>
  <c r="DN54" i="60" s="1"/>
  <c r="DN55" i="60" s="1"/>
  <c r="DN56" i="60" s="1"/>
  <c r="DN57" i="60" s="1"/>
  <c r="DN58" i="60" s="1"/>
  <c r="DN59" i="60" s="1"/>
  <c r="DN60" i="60" s="1"/>
  <c r="DN61" i="60" s="1"/>
  <c r="DN62" i="60" s="1"/>
  <c r="DN63" i="60" s="1"/>
  <c r="DN64" i="60" s="1"/>
  <c r="DN65" i="60" s="1"/>
  <c r="DN66" i="60" s="1"/>
  <c r="DN67" i="60" s="1"/>
  <c r="DN68" i="60" s="1"/>
  <c r="DN69" i="60" s="1"/>
  <c r="DN70" i="60" s="1"/>
  <c r="DN71" i="60" s="1"/>
  <c r="DN72" i="60" s="1"/>
  <c r="DN73" i="60" s="1"/>
  <c r="DN74" i="60" s="1"/>
  <c r="DN75" i="60" s="1"/>
  <c r="DN76" i="60" s="1"/>
  <c r="DN77" i="60" s="1"/>
  <c r="DN78" i="60" s="1"/>
  <c r="DN79" i="60" s="1"/>
  <c r="DN80" i="60" s="1"/>
  <c r="DN81" i="60" s="1"/>
  <c r="DN82" i="60" s="1"/>
  <c r="DN83" i="60" s="1"/>
  <c r="DN84" i="60" s="1"/>
  <c r="DN85" i="60" s="1"/>
  <c r="DO13" i="60"/>
  <c r="ES13" i="60"/>
  <c r="ES14" i="60" s="1"/>
  <c r="ES15" i="60" s="1"/>
  <c r="ES16" i="60"/>
  <c r="ES17" i="60" s="1"/>
  <c r="ES18" i="60" s="1"/>
  <c r="ES19" i="60" s="1"/>
  <c r="ES20" i="60" s="1"/>
  <c r="ES21" i="60" s="1"/>
  <c r="ES22" i="60" s="1"/>
  <c r="ES23" i="60" s="1"/>
  <c r="ES24" i="60" s="1"/>
  <c r="ES25" i="60" s="1"/>
  <c r="ES26" i="60" s="1"/>
  <c r="ES27" i="60" s="1"/>
  <c r="ES28" i="60" s="1"/>
  <c r="ES29" i="60" s="1"/>
  <c r="ES30" i="60" s="1"/>
  <c r="ES31" i="60" s="1"/>
  <c r="ES32" i="60" s="1"/>
  <c r="ES33" i="60" s="1"/>
  <c r="ES34" i="60" s="1"/>
  <c r="ES35" i="60" s="1"/>
  <c r="ES36" i="60" s="1"/>
  <c r="ES37" i="60" s="1"/>
  <c r="ES38" i="60" s="1"/>
  <c r="ES39" i="60" s="1"/>
  <c r="ES40" i="60" s="1"/>
  <c r="ES41" i="60" s="1"/>
  <c r="ES42" i="60" s="1"/>
  <c r="ES43" i="60" s="1"/>
  <c r="ES44" i="60" s="1"/>
  <c r="ES45" i="60" s="1"/>
  <c r="ES46" i="60" s="1"/>
  <c r="ES47" i="60" s="1"/>
  <c r="ES48" i="60" s="1"/>
  <c r="ES49" i="60" s="1"/>
  <c r="ES50" i="60" s="1"/>
  <c r="ES51" i="60" s="1"/>
  <c r="ES52" i="60" s="1"/>
  <c r="ES53" i="60" s="1"/>
  <c r="ES54" i="60" s="1"/>
  <c r="ES55" i="60" s="1"/>
  <c r="ES56" i="60" s="1"/>
  <c r="ES57" i="60" s="1"/>
  <c r="ES58" i="60" s="1"/>
  <c r="ES59" i="60" s="1"/>
  <c r="ES60" i="60" s="1"/>
  <c r="ES61" i="60" s="1"/>
  <c r="ES62" i="60" s="1"/>
  <c r="ES63" i="60" s="1"/>
  <c r="ES64" i="60" s="1"/>
  <c r="ES65" i="60" s="1"/>
  <c r="ES66" i="60" s="1"/>
  <c r="ES67" i="60" s="1"/>
  <c r="ES68" i="60" s="1"/>
  <c r="ES69" i="60" s="1"/>
  <c r="ES70" i="60" s="1"/>
  <c r="ES71" i="60" s="1"/>
  <c r="ES72" i="60" s="1"/>
  <c r="ES73" i="60" s="1"/>
  <c r="ES74" i="60" s="1"/>
  <c r="ES75" i="60" s="1"/>
  <c r="ES76" i="60" s="1"/>
  <c r="ES77" i="60" s="1"/>
  <c r="ES78" i="60" s="1"/>
  <c r="ES79" i="60" s="1"/>
  <c r="ES80" i="60" s="1"/>
  <c r="ES81" i="60" s="1"/>
  <c r="ES82" i="60" s="1"/>
  <c r="ES83" i="60" s="1"/>
  <c r="ES84" i="60" s="1"/>
  <c r="ES85" i="60" s="1"/>
  <c r="DT13" i="60"/>
  <c r="DW13" i="60"/>
  <c r="DW14" i="60" s="1"/>
  <c r="DW15" i="60"/>
  <c r="DW16" i="60" s="1"/>
  <c r="DW17" i="60" s="1"/>
  <c r="DW18" i="60" s="1"/>
  <c r="DW19" i="60"/>
  <c r="DW20" i="60" s="1"/>
  <c r="DW21" i="60" s="1"/>
  <c r="DW22" i="60" s="1"/>
  <c r="DW23" i="60" s="1"/>
  <c r="DW24" i="60" s="1"/>
  <c r="DW25" i="60" s="1"/>
  <c r="DW26" i="60" s="1"/>
  <c r="DW27" i="60" s="1"/>
  <c r="DW28" i="60" s="1"/>
  <c r="DW29" i="60" s="1"/>
  <c r="DW30" i="60" s="1"/>
  <c r="DW31" i="60" s="1"/>
  <c r="DW32" i="60" s="1"/>
  <c r="DW33" i="60" s="1"/>
  <c r="DW34" i="60" s="1"/>
  <c r="DW35" i="60" s="1"/>
  <c r="DW36" i="60" s="1"/>
  <c r="DW37" i="60" s="1"/>
  <c r="DW38" i="60" s="1"/>
  <c r="DW39" i="60" s="1"/>
  <c r="DW40" i="60" s="1"/>
  <c r="DW41" i="60" s="1"/>
  <c r="DW42" i="60" s="1"/>
  <c r="DW43" i="60" s="1"/>
  <c r="DW44" i="60" s="1"/>
  <c r="DW45" i="60" s="1"/>
  <c r="DW46" i="60" s="1"/>
  <c r="DW47" i="60" s="1"/>
  <c r="DW48" i="60" s="1"/>
  <c r="DW49" i="60" s="1"/>
  <c r="DW50" i="60" s="1"/>
  <c r="DW51" i="60" s="1"/>
  <c r="DW52" i="60" s="1"/>
  <c r="DW53" i="60" s="1"/>
  <c r="DW54" i="60" s="1"/>
  <c r="DW55" i="60" s="1"/>
  <c r="DW56" i="60" s="1"/>
  <c r="DW57" i="60" s="1"/>
  <c r="DW58" i="60" s="1"/>
  <c r="DW59" i="60" s="1"/>
  <c r="DW60" i="60" s="1"/>
  <c r="DW61" i="60" s="1"/>
  <c r="DW62" i="60" s="1"/>
  <c r="DW63" i="60" s="1"/>
  <c r="DW64" i="60" s="1"/>
  <c r="DW65" i="60" s="1"/>
  <c r="DW66" i="60" s="1"/>
  <c r="DW67" i="60" s="1"/>
  <c r="DW68" i="60" s="1"/>
  <c r="DW69" i="60" s="1"/>
  <c r="DW70" i="60" s="1"/>
  <c r="DW71" i="60" s="1"/>
  <c r="DW72" i="60" s="1"/>
  <c r="DW73" i="60" s="1"/>
  <c r="DW74" i="60" s="1"/>
  <c r="DW75" i="60" s="1"/>
  <c r="DW76" i="60" s="1"/>
  <c r="DW77" i="60" s="1"/>
  <c r="DW78" i="60" s="1"/>
  <c r="DW79" i="60" s="1"/>
  <c r="DW80" i="60" s="1"/>
  <c r="DW81" i="60" s="1"/>
  <c r="DW82" i="60" s="1"/>
  <c r="DW83" i="60" s="1"/>
  <c r="DW84" i="60" s="1"/>
  <c r="DW85" i="60" s="1"/>
  <c r="DP13" i="60"/>
  <c r="DP14" i="60"/>
  <c r="DP15" i="60" s="1"/>
  <c r="DP16" i="60" s="1"/>
  <c r="DP17" i="60" s="1"/>
  <c r="DP18" i="60" s="1"/>
  <c r="DP19" i="60" s="1"/>
  <c r="DP20" i="60" s="1"/>
  <c r="DP21" i="60" s="1"/>
  <c r="DP22" i="60" s="1"/>
  <c r="DP23" i="60" s="1"/>
  <c r="DP24" i="60" s="1"/>
  <c r="DP25" i="60" s="1"/>
  <c r="DP26" i="60" s="1"/>
  <c r="DP27" i="60" s="1"/>
  <c r="DP28" i="60" s="1"/>
  <c r="DP29" i="60" s="1"/>
  <c r="DP30" i="60" s="1"/>
  <c r="DP31" i="60" s="1"/>
  <c r="EI13" i="60"/>
  <c r="EI14" i="60"/>
  <c r="EI15" i="60" s="1"/>
  <c r="EI16" i="60"/>
  <c r="EI17" i="60" s="1"/>
  <c r="EI18" i="60" s="1"/>
  <c r="EI19" i="60" s="1"/>
  <c r="EI20" i="60" s="1"/>
  <c r="EI21" i="60" s="1"/>
  <c r="EI22" i="60" s="1"/>
  <c r="EI23" i="60" s="1"/>
  <c r="EI24" i="60" s="1"/>
  <c r="EI25" i="60" s="1"/>
  <c r="EI26" i="60" s="1"/>
  <c r="EI27" i="60" s="1"/>
  <c r="EI28" i="60" s="1"/>
  <c r="EI29" i="60" s="1"/>
  <c r="EI30" i="60" s="1"/>
  <c r="EI31" i="60" s="1"/>
  <c r="EI32" i="60" s="1"/>
  <c r="EI33" i="60" s="1"/>
  <c r="EI34" i="60" s="1"/>
  <c r="EI35" i="60" s="1"/>
  <c r="EI36" i="60" s="1"/>
  <c r="EI37" i="60" s="1"/>
  <c r="EI38" i="60" s="1"/>
  <c r="EI39" i="60" s="1"/>
  <c r="EI40" i="60" s="1"/>
  <c r="EI41" i="60" s="1"/>
  <c r="EI42" i="60" s="1"/>
  <c r="EI43" i="60" s="1"/>
  <c r="EI44" i="60" s="1"/>
  <c r="EI45" i="60" s="1"/>
  <c r="EI46" i="60" s="1"/>
  <c r="EI47" i="60" s="1"/>
  <c r="EI48" i="60" s="1"/>
  <c r="EI49" i="60" s="1"/>
  <c r="EI50" i="60" s="1"/>
  <c r="EI51" i="60" s="1"/>
  <c r="EI52" i="60" s="1"/>
  <c r="EI53" i="60" s="1"/>
  <c r="EI54" i="60" s="1"/>
  <c r="EI55" i="60" s="1"/>
  <c r="EI56" i="60" s="1"/>
  <c r="EI57" i="60" s="1"/>
  <c r="EI58" i="60" s="1"/>
  <c r="EI59" i="60" s="1"/>
  <c r="EI60" i="60" s="1"/>
  <c r="EI61" i="60" s="1"/>
  <c r="EI62" i="60" s="1"/>
  <c r="EI63" i="60" s="1"/>
  <c r="EI64" i="60" s="1"/>
  <c r="EI65" i="60" s="1"/>
  <c r="EI66" i="60" s="1"/>
  <c r="EI67" i="60" s="1"/>
  <c r="EI68" i="60" s="1"/>
  <c r="EI69" i="60" s="1"/>
  <c r="EI70" i="60" s="1"/>
  <c r="EI71" i="60" s="1"/>
  <c r="EI72" i="60" s="1"/>
  <c r="EI73" i="60" s="1"/>
  <c r="EI74" i="60" s="1"/>
  <c r="EI75" i="60" s="1"/>
  <c r="EI76" i="60" s="1"/>
  <c r="EI77" i="60" s="1"/>
  <c r="EI78" i="60" s="1"/>
  <c r="EI79" i="60" s="1"/>
  <c r="EI80" i="60" s="1"/>
  <c r="EI81" i="60" s="1"/>
  <c r="EI82" i="60" s="1"/>
  <c r="EI83" i="60" s="1"/>
  <c r="EI84" i="60" s="1"/>
  <c r="EI85" i="60" s="1"/>
  <c r="EB13" i="60"/>
  <c r="EB14" i="60"/>
  <c r="EB15" i="60" s="1"/>
  <c r="EB16" i="60" s="1"/>
  <c r="EB17" i="60" s="1"/>
  <c r="EB18" i="60"/>
  <c r="EB19" i="60" s="1"/>
  <c r="EB20" i="60" s="1"/>
  <c r="EB21" i="60" s="1"/>
  <c r="EB22" i="60" s="1"/>
  <c r="EB23" i="60" s="1"/>
  <c r="EB24" i="60" s="1"/>
  <c r="EB25" i="60" s="1"/>
  <c r="EB26" i="60" s="1"/>
  <c r="EB27" i="60" s="1"/>
  <c r="EB28" i="60" s="1"/>
  <c r="EB29" i="60" s="1"/>
  <c r="EB30" i="60" s="1"/>
  <c r="EB31" i="60" s="1"/>
  <c r="EB32" i="60" s="1"/>
  <c r="EB33" i="60" s="1"/>
  <c r="EB34" i="60" s="1"/>
  <c r="EB35" i="60" s="1"/>
  <c r="EB36" i="60" s="1"/>
  <c r="EB37" i="60" s="1"/>
  <c r="EB38" i="60" s="1"/>
  <c r="EB39" i="60" s="1"/>
  <c r="EB40" i="60" s="1"/>
  <c r="EB41" i="60" s="1"/>
  <c r="EB42" i="60" s="1"/>
  <c r="EB43" i="60" s="1"/>
  <c r="EB44" i="60" s="1"/>
  <c r="EB45" i="60" s="1"/>
  <c r="EB46" i="60" s="1"/>
  <c r="EB47" i="60" s="1"/>
  <c r="EB48" i="60" s="1"/>
  <c r="EB49" i="60" s="1"/>
  <c r="EB50" i="60" s="1"/>
  <c r="EB51" i="60" s="1"/>
  <c r="EB52" i="60" s="1"/>
  <c r="EB53" i="60" s="1"/>
  <c r="EB54" i="60" s="1"/>
  <c r="EB55" i="60" s="1"/>
  <c r="EB56" i="60" s="1"/>
  <c r="EB57" i="60" s="1"/>
  <c r="EB58" i="60" s="1"/>
  <c r="EB59" i="60" s="1"/>
  <c r="EB60" i="60" s="1"/>
  <c r="EB61" i="60" s="1"/>
  <c r="EB62" i="60" s="1"/>
  <c r="EB63" i="60" s="1"/>
  <c r="EB64" i="60" s="1"/>
  <c r="EB65" i="60" s="1"/>
  <c r="EB66" i="60" s="1"/>
  <c r="EB67" i="60" s="1"/>
  <c r="EB68" i="60" s="1"/>
  <c r="EB69" i="60" s="1"/>
  <c r="EB70" i="60" s="1"/>
  <c r="EB71" i="60" s="1"/>
  <c r="EB72" i="60" s="1"/>
  <c r="EB73" i="60" s="1"/>
  <c r="EB74" i="60" s="1"/>
  <c r="EB75" i="60" s="1"/>
  <c r="EB76" i="60" s="1"/>
  <c r="EB77" i="60" s="1"/>
  <c r="EB78" i="60" s="1"/>
  <c r="EB79" i="60" s="1"/>
  <c r="EB80" i="60" s="1"/>
  <c r="EB81" i="60" s="1"/>
  <c r="EB82" i="60" s="1"/>
  <c r="EB83" i="60" s="1"/>
  <c r="EB84" i="60" s="1"/>
  <c r="EB85" i="60" s="1"/>
  <c r="DV13" i="60"/>
  <c r="DV14" i="60" s="1"/>
  <c r="DV15" i="60" s="1"/>
  <c r="DV16" i="60" s="1"/>
  <c r="DV17" i="60" s="1"/>
  <c r="DV18" i="60" s="1"/>
  <c r="DV19" i="60" s="1"/>
  <c r="DV20" i="60" s="1"/>
  <c r="DV21" i="60" s="1"/>
  <c r="DV22" i="60" s="1"/>
  <c r="DV23" i="60" s="1"/>
  <c r="DV24" i="60" s="1"/>
  <c r="DV25" i="60" s="1"/>
  <c r="DV26" i="60" s="1"/>
  <c r="DV27" i="60" s="1"/>
  <c r="DV28" i="60" s="1"/>
  <c r="DV29" i="60" s="1"/>
  <c r="DV30" i="60" s="1"/>
  <c r="DV31" i="60" s="1"/>
  <c r="DV32" i="60" s="1"/>
  <c r="DV33" i="60" s="1"/>
  <c r="DV34" i="60" s="1"/>
  <c r="DV35" i="60" s="1"/>
  <c r="DV36" i="60" s="1"/>
  <c r="DV37" i="60" s="1"/>
  <c r="DV38" i="60" s="1"/>
  <c r="DV39" i="60" s="1"/>
  <c r="DV40" i="60" s="1"/>
  <c r="DV41" i="60" s="1"/>
  <c r="DV42" i="60" s="1"/>
  <c r="DV43" i="60" s="1"/>
  <c r="DV44" i="60" s="1"/>
  <c r="DV45" i="60" s="1"/>
  <c r="DV46" i="60" s="1"/>
  <c r="DV47" i="60" s="1"/>
  <c r="DV48" i="60" s="1"/>
  <c r="DV49" i="60" s="1"/>
  <c r="DV50" i="60" s="1"/>
  <c r="DV51" i="60" s="1"/>
  <c r="DV52" i="60" s="1"/>
  <c r="DV53" i="60" s="1"/>
  <c r="DV54" i="60" s="1"/>
  <c r="DV55" i="60" s="1"/>
  <c r="DV56" i="60" s="1"/>
  <c r="DV57" i="60" s="1"/>
  <c r="DV58" i="60" s="1"/>
  <c r="DV59" i="60" s="1"/>
  <c r="DV60" i="60" s="1"/>
  <c r="DV61" i="60" s="1"/>
  <c r="DV62" i="60" s="1"/>
  <c r="DV63" i="60" s="1"/>
  <c r="DV64" i="60" s="1"/>
  <c r="DV65" i="60" s="1"/>
  <c r="DV66" i="60" s="1"/>
  <c r="DV67" i="60" s="1"/>
  <c r="DV68" i="60" s="1"/>
  <c r="DV69" i="60" s="1"/>
  <c r="DV70" i="60" s="1"/>
  <c r="DV71" i="60" s="1"/>
  <c r="DV72" i="60" s="1"/>
  <c r="DV73" i="60" s="1"/>
  <c r="DV74" i="60" s="1"/>
  <c r="DV75" i="60" s="1"/>
  <c r="DV76" i="60" s="1"/>
  <c r="DV77" i="60" s="1"/>
  <c r="DV78" i="60" s="1"/>
  <c r="DV79" i="60" s="1"/>
  <c r="DV80" i="60" s="1"/>
  <c r="DV81" i="60" s="1"/>
  <c r="DV82" i="60" s="1"/>
  <c r="DV83" i="60" s="1"/>
  <c r="DV84" i="60" s="1"/>
  <c r="DV85" i="60" s="1"/>
  <c r="DI13" i="60"/>
  <c r="DI14" i="60" s="1"/>
  <c r="DI15" i="60" s="1"/>
  <c r="DI16" i="60" s="1"/>
  <c r="DI17" i="60" s="1"/>
  <c r="DI18" i="60" s="1"/>
  <c r="DI19" i="60" s="1"/>
  <c r="DI20" i="60" s="1"/>
  <c r="DI21" i="60" s="1"/>
  <c r="DI22" i="60" s="1"/>
  <c r="DI23" i="60" s="1"/>
  <c r="DI24" i="60" s="1"/>
  <c r="DI25" i="60" s="1"/>
  <c r="DI26" i="60" s="1"/>
  <c r="DI27" i="60" s="1"/>
  <c r="DI28" i="60" s="1"/>
  <c r="DI29" i="60"/>
  <c r="DI30" i="60" s="1"/>
  <c r="DI31" i="60" s="1"/>
  <c r="DI32" i="60" s="1"/>
  <c r="DI33" i="60" s="1"/>
  <c r="DI34" i="60" s="1"/>
  <c r="DI35" i="60" s="1"/>
  <c r="DI36" i="60" s="1"/>
  <c r="DI37" i="60" s="1"/>
  <c r="DI38" i="60" s="1"/>
  <c r="DI39" i="60" s="1"/>
  <c r="DI40" i="60" s="1"/>
  <c r="DI41" i="60" s="1"/>
  <c r="DI42" i="60" s="1"/>
  <c r="DI43" i="60" s="1"/>
  <c r="DI44" i="60" s="1"/>
  <c r="DI45" i="60"/>
  <c r="DI46" i="60" s="1"/>
  <c r="DI47" i="60" s="1"/>
  <c r="DI48" i="60" s="1"/>
  <c r="DI49" i="60" s="1"/>
  <c r="DI50" i="60" s="1"/>
  <c r="DI51" i="60" s="1"/>
  <c r="DI52" i="60" s="1"/>
  <c r="DI53" i="60" s="1"/>
  <c r="DI54" i="60" s="1"/>
  <c r="DI55" i="60" s="1"/>
  <c r="DI56" i="60" s="1"/>
  <c r="DI57" i="60" s="1"/>
  <c r="DI58" i="60" s="1"/>
  <c r="DI59" i="60" s="1"/>
  <c r="DI60" i="60" s="1"/>
  <c r="DI61" i="60" s="1"/>
  <c r="DI62" i="60" s="1"/>
  <c r="DI63" i="60" s="1"/>
  <c r="DI64" i="60" s="1"/>
  <c r="DI65" i="60" s="1"/>
  <c r="DI66" i="60" s="1"/>
  <c r="DI67" i="60" s="1"/>
  <c r="DI68" i="60" s="1"/>
  <c r="DI69" i="60" s="1"/>
  <c r="DI70" i="60" s="1"/>
  <c r="DI71" i="60" s="1"/>
  <c r="DI72" i="60" s="1"/>
  <c r="DI73" i="60" s="1"/>
  <c r="DI74" i="60" s="1"/>
  <c r="DI75" i="60" s="1"/>
  <c r="DI76" i="60" s="1"/>
  <c r="DI77" i="60" s="1"/>
  <c r="DI78" i="60" s="1"/>
  <c r="DI79" i="60" s="1"/>
  <c r="DI80" i="60" s="1"/>
  <c r="DI81" i="60" s="1"/>
  <c r="DI82" i="60" s="1"/>
  <c r="DI83" i="60" s="1"/>
  <c r="DI84" i="60" s="1"/>
  <c r="DI85" i="60" s="1"/>
  <c r="DT14" i="60"/>
  <c r="DT15" i="60" s="1"/>
  <c r="DT16" i="60"/>
  <c r="DT17" i="60" s="1"/>
  <c r="DT18" i="60" s="1"/>
  <c r="DT19" i="60" s="1"/>
  <c r="DT20" i="60" s="1"/>
  <c r="DT21" i="60" s="1"/>
  <c r="DT22" i="60" s="1"/>
  <c r="DT23" i="60" s="1"/>
  <c r="DT24" i="60" s="1"/>
  <c r="DT25" i="60" s="1"/>
  <c r="DT26" i="60" s="1"/>
  <c r="DT27" i="60" s="1"/>
  <c r="DT28" i="60" s="1"/>
  <c r="DT29" i="60" s="1"/>
  <c r="DT30" i="60" s="1"/>
  <c r="DT31" i="60" s="1"/>
  <c r="DT32" i="60" s="1"/>
  <c r="DT33" i="60" s="1"/>
  <c r="DT34" i="60" s="1"/>
  <c r="DT35" i="60" s="1"/>
  <c r="DT36" i="60" s="1"/>
  <c r="DT37" i="60" s="1"/>
  <c r="DT38" i="60" s="1"/>
  <c r="DT39" i="60" s="1"/>
  <c r="DT40" i="60" s="1"/>
  <c r="DT41" i="60" s="1"/>
  <c r="DT42" i="60" s="1"/>
  <c r="DT43" i="60" s="1"/>
  <c r="DT44" i="60" s="1"/>
  <c r="DT45" i="60" s="1"/>
  <c r="DT46" i="60" s="1"/>
  <c r="DT47" i="60" s="1"/>
  <c r="DT48" i="60" s="1"/>
  <c r="DT49" i="60" s="1"/>
  <c r="DT50" i="60" s="1"/>
  <c r="DT51" i="60" s="1"/>
  <c r="DT52" i="60" s="1"/>
  <c r="DT53" i="60" s="1"/>
  <c r="DT54" i="60" s="1"/>
  <c r="DT55" i="60" s="1"/>
  <c r="DT56" i="60" s="1"/>
  <c r="DT57" i="60" s="1"/>
  <c r="DT58" i="60" s="1"/>
  <c r="DT59" i="60" s="1"/>
  <c r="DT60" i="60" s="1"/>
  <c r="DT61" i="60" s="1"/>
  <c r="DT62" i="60" s="1"/>
  <c r="DT63" i="60" s="1"/>
  <c r="DT64" i="60" s="1"/>
  <c r="DT65" i="60" s="1"/>
  <c r="DT66" i="60" s="1"/>
  <c r="DT67" i="60" s="1"/>
  <c r="DT68" i="60" s="1"/>
  <c r="DT69" i="60" s="1"/>
  <c r="DT70" i="60" s="1"/>
  <c r="DT71" i="60" s="1"/>
  <c r="DT72" i="60" s="1"/>
  <c r="DT73" i="60" s="1"/>
  <c r="DT74" i="60" s="1"/>
  <c r="DT75" i="60" s="1"/>
  <c r="DT76" i="60" s="1"/>
  <c r="DT77" i="60" s="1"/>
  <c r="DT78" i="60" s="1"/>
  <c r="DT79" i="60" s="1"/>
  <c r="DT80" i="60" s="1"/>
  <c r="DT81" i="60" s="1"/>
  <c r="DT82" i="60" s="1"/>
  <c r="DT83" i="60" s="1"/>
  <c r="DT84" i="60" s="1"/>
  <c r="DT85" i="60" s="1"/>
  <c r="EE13" i="60"/>
  <c r="EE14" i="60"/>
  <c r="EE15" i="60"/>
  <c r="EE16" i="60" s="1"/>
  <c r="EE17" i="60" s="1"/>
  <c r="EE18" i="60" s="1"/>
  <c r="EE19" i="60" s="1"/>
  <c r="EE20" i="60" s="1"/>
  <c r="EE21" i="60" s="1"/>
  <c r="EE22" i="60" s="1"/>
  <c r="EE23" i="60"/>
  <c r="EE24" i="60" s="1"/>
  <c r="EE25" i="60" s="1"/>
  <c r="EE26" i="60" s="1"/>
  <c r="EE27" i="60" s="1"/>
  <c r="EE28" i="60" s="1"/>
  <c r="EE29" i="60" s="1"/>
  <c r="EE30" i="60" s="1"/>
  <c r="EE31" i="60" s="1"/>
  <c r="EE32" i="60" s="1"/>
  <c r="EE33" i="60" s="1"/>
  <c r="EE34" i="60" s="1"/>
  <c r="EE35" i="60" s="1"/>
  <c r="EE36" i="60" s="1"/>
  <c r="EE37" i="60" s="1"/>
  <c r="EE38" i="60" s="1"/>
  <c r="EE39" i="60" s="1"/>
  <c r="EE40" i="60" s="1"/>
  <c r="EE41" i="60" s="1"/>
  <c r="EE42" i="60" s="1"/>
  <c r="EE43" i="60" s="1"/>
  <c r="EE44" i="60" s="1"/>
  <c r="EE45" i="60" s="1"/>
  <c r="EE46" i="60" s="1"/>
  <c r="EE47" i="60" s="1"/>
  <c r="EE48" i="60" s="1"/>
  <c r="EE49" i="60" s="1"/>
  <c r="EE50" i="60" s="1"/>
  <c r="EE51" i="60" s="1"/>
  <c r="EE52" i="60" s="1"/>
  <c r="EE53" i="60" s="1"/>
  <c r="EE54" i="60" s="1"/>
  <c r="EE55" i="60" s="1"/>
  <c r="EE56" i="60" s="1"/>
  <c r="EE57" i="60" s="1"/>
  <c r="EE58" i="60" s="1"/>
  <c r="EE59" i="60" s="1"/>
  <c r="EE60" i="60" s="1"/>
  <c r="EE61" i="60" s="1"/>
  <c r="EE62" i="60" s="1"/>
  <c r="EE63" i="60" s="1"/>
  <c r="EE64" i="60" s="1"/>
  <c r="EE65" i="60" s="1"/>
  <c r="EE66" i="60" s="1"/>
  <c r="EE67" i="60" s="1"/>
  <c r="EE68" i="60" s="1"/>
  <c r="EE69" i="60" s="1"/>
  <c r="EE70" i="60" s="1"/>
  <c r="EE71" i="60" s="1"/>
  <c r="EE72" i="60" s="1"/>
  <c r="EE73" i="60" s="1"/>
  <c r="EE74" i="60" s="1"/>
  <c r="EE75" i="60" s="1"/>
  <c r="EE76" i="60" s="1"/>
  <c r="EE77" i="60" s="1"/>
  <c r="EE78" i="60" s="1"/>
  <c r="EE79" i="60" s="1"/>
  <c r="EE80" i="60" s="1"/>
  <c r="EE81" i="60" s="1"/>
  <c r="EE82" i="60" s="1"/>
  <c r="EE83" i="60" s="1"/>
  <c r="EE84" i="60" s="1"/>
  <c r="EE85" i="60" s="1"/>
  <c r="DJ13" i="60"/>
  <c r="DJ14" i="60"/>
  <c r="DJ15" i="60" s="1"/>
  <c r="DJ16" i="60" s="1"/>
  <c r="DJ17" i="60" s="1"/>
  <c r="DJ18" i="60" s="1"/>
  <c r="DJ19" i="60"/>
  <c r="DJ20" i="60" s="1"/>
  <c r="DJ21" i="60" s="1"/>
  <c r="DJ22" i="60" s="1"/>
  <c r="DJ23" i="60" s="1"/>
  <c r="DJ24" i="60" s="1"/>
  <c r="DJ25" i="60" s="1"/>
  <c r="DJ26" i="60" s="1"/>
  <c r="DJ27" i="60" s="1"/>
  <c r="DJ28" i="60" s="1"/>
  <c r="DJ29" i="60" s="1"/>
  <c r="DJ30" i="60" s="1"/>
  <c r="DJ31" i="60" s="1"/>
  <c r="DJ32" i="60" s="1"/>
  <c r="DJ33" i="60" s="1"/>
  <c r="DJ34" i="60" s="1"/>
  <c r="DJ35" i="60" s="1"/>
  <c r="DJ36" i="60" s="1"/>
  <c r="DJ37" i="60" s="1"/>
  <c r="DJ38" i="60" s="1"/>
  <c r="DJ39" i="60" s="1"/>
  <c r="DJ40" i="60" s="1"/>
  <c r="DJ41" i="60" s="1"/>
  <c r="DJ42" i="60" s="1"/>
  <c r="DJ43" i="60" s="1"/>
  <c r="DJ44" i="60" s="1"/>
  <c r="DJ45" i="60" s="1"/>
  <c r="DJ46" i="60" s="1"/>
  <c r="DJ47" i="60" s="1"/>
  <c r="DJ48" i="60" s="1"/>
  <c r="DJ49" i="60" s="1"/>
  <c r="DJ50" i="60" s="1"/>
  <c r="DJ51" i="60" s="1"/>
  <c r="DJ52" i="60" s="1"/>
  <c r="DJ53" i="60" s="1"/>
  <c r="DJ54" i="60" s="1"/>
  <c r="DJ55" i="60" s="1"/>
  <c r="DJ56" i="60" s="1"/>
  <c r="DJ57" i="60" s="1"/>
  <c r="DJ58" i="60" s="1"/>
  <c r="DJ59" i="60" s="1"/>
  <c r="DJ60" i="60" s="1"/>
  <c r="DJ61" i="60" s="1"/>
  <c r="DJ62" i="60" s="1"/>
  <c r="DJ63" i="60" s="1"/>
  <c r="DJ64" i="60" s="1"/>
  <c r="DJ65" i="60" s="1"/>
  <c r="DJ66" i="60" s="1"/>
  <c r="DJ67" i="60" s="1"/>
  <c r="DJ68" i="60" s="1"/>
  <c r="DJ69" i="60" s="1"/>
  <c r="DJ70" i="60" s="1"/>
  <c r="DJ71" i="60" s="1"/>
  <c r="DJ72" i="60" s="1"/>
  <c r="DJ73" i="60" s="1"/>
  <c r="DJ74" i="60" s="1"/>
  <c r="DJ75" i="60" s="1"/>
  <c r="DJ76" i="60" s="1"/>
  <c r="DJ77" i="60" s="1"/>
  <c r="DJ78" i="60" s="1"/>
  <c r="DJ79" i="60" s="1"/>
  <c r="DJ80" i="60" s="1"/>
  <c r="DJ81" i="60" s="1"/>
  <c r="DJ82" i="60" s="1"/>
  <c r="DJ83" i="60" s="1"/>
  <c r="DJ84" i="60" s="1"/>
  <c r="DJ85" i="60" s="1"/>
  <c r="EQ13" i="60"/>
  <c r="EQ14" i="60"/>
  <c r="EQ15" i="60" s="1"/>
  <c r="EQ16" i="60" s="1"/>
  <c r="EQ17" i="60" s="1"/>
  <c r="EQ18" i="60"/>
  <c r="EQ19" i="60" s="1"/>
  <c r="EQ20" i="60" s="1"/>
  <c r="EQ21" i="60" s="1"/>
  <c r="EQ22" i="60" s="1"/>
  <c r="EQ23" i="60" s="1"/>
  <c r="EQ24" i="60" s="1"/>
  <c r="EQ25" i="60" s="1"/>
  <c r="EQ26" i="60" s="1"/>
  <c r="EQ27" i="60" s="1"/>
  <c r="EQ28" i="60" s="1"/>
  <c r="EQ29" i="60" s="1"/>
  <c r="EQ30" i="60" s="1"/>
  <c r="EQ31" i="60" s="1"/>
  <c r="EQ32" i="60" s="1"/>
  <c r="EQ33" i="60" s="1"/>
  <c r="EQ34" i="60" s="1"/>
  <c r="EQ35" i="60" s="1"/>
  <c r="EQ36" i="60" s="1"/>
  <c r="EQ37" i="60" s="1"/>
  <c r="EQ38" i="60" s="1"/>
  <c r="EQ39" i="60" s="1"/>
  <c r="EQ40" i="60" s="1"/>
  <c r="EQ41" i="60" s="1"/>
  <c r="EQ42" i="60" s="1"/>
  <c r="EQ43" i="60" s="1"/>
  <c r="EQ44" i="60" s="1"/>
  <c r="EQ45" i="60" s="1"/>
  <c r="EQ46" i="60" s="1"/>
  <c r="EQ47" i="60" s="1"/>
  <c r="EQ48" i="60" s="1"/>
  <c r="EQ49" i="60" s="1"/>
  <c r="EQ50" i="60" s="1"/>
  <c r="EQ51" i="60" s="1"/>
  <c r="EQ52" i="60" s="1"/>
  <c r="EQ53" i="60" s="1"/>
  <c r="EQ54" i="60" s="1"/>
  <c r="EQ55" i="60" s="1"/>
  <c r="EQ56" i="60" s="1"/>
  <c r="EQ57" i="60" s="1"/>
  <c r="EQ58" i="60" s="1"/>
  <c r="EQ59" i="60" s="1"/>
  <c r="EQ60" i="60" s="1"/>
  <c r="EQ61" i="60" s="1"/>
  <c r="EQ62" i="60" s="1"/>
  <c r="EQ63" i="60" s="1"/>
  <c r="EQ64" i="60" s="1"/>
  <c r="EQ65" i="60" s="1"/>
  <c r="EQ66" i="60" s="1"/>
  <c r="EQ67" i="60" s="1"/>
  <c r="EQ68" i="60" s="1"/>
  <c r="EQ69" i="60" s="1"/>
  <c r="EQ70" i="60" s="1"/>
  <c r="EQ71" i="60" s="1"/>
  <c r="EQ72" i="60" s="1"/>
  <c r="EQ73" i="60" s="1"/>
  <c r="EQ74" i="60" s="1"/>
  <c r="EQ75" i="60" s="1"/>
  <c r="EQ76" i="60" s="1"/>
  <c r="EQ77" i="60" s="1"/>
  <c r="EQ78" i="60" s="1"/>
  <c r="EQ79" i="60" s="1"/>
  <c r="EQ80" i="60" s="1"/>
  <c r="EQ81" i="60" s="1"/>
  <c r="EQ82" i="60" s="1"/>
  <c r="EQ83" i="60" s="1"/>
  <c r="EQ84" i="60" s="1"/>
  <c r="EQ85" i="60" s="1"/>
  <c r="DQ13" i="60"/>
  <c r="DQ14" i="60" s="1"/>
  <c r="DQ15" i="60" s="1"/>
  <c r="DQ16" i="60"/>
  <c r="DQ17" i="60"/>
  <c r="DQ18" i="60" s="1"/>
  <c r="DQ19" i="60" s="1"/>
  <c r="DQ20" i="60" s="1"/>
  <c r="DQ21" i="60" s="1"/>
  <c r="DQ22" i="60" s="1"/>
  <c r="DQ23" i="60" s="1"/>
  <c r="DQ24" i="60"/>
  <c r="DQ25" i="60" s="1"/>
  <c r="DQ26" i="60" s="1"/>
  <c r="DQ27" i="60" s="1"/>
  <c r="DQ28" i="60" s="1"/>
  <c r="DQ29" i="60" s="1"/>
  <c r="DQ30" i="60" s="1"/>
  <c r="DQ31" i="60" s="1"/>
  <c r="DQ32" i="60" s="1"/>
  <c r="DQ33" i="60" s="1"/>
  <c r="DQ34" i="60" s="1"/>
  <c r="DQ35" i="60" s="1"/>
  <c r="DQ36" i="60" s="1"/>
  <c r="DQ37" i="60" s="1"/>
  <c r="DQ38" i="60" s="1"/>
  <c r="DQ39" i="60" s="1"/>
  <c r="DQ40" i="60" s="1"/>
  <c r="DQ41" i="60" s="1"/>
  <c r="DQ42" i="60" s="1"/>
  <c r="DQ43" i="60" s="1"/>
  <c r="DQ44" i="60" s="1"/>
  <c r="DQ45" i="60" s="1"/>
  <c r="DQ46" i="60" s="1"/>
  <c r="DQ47" i="60" s="1"/>
  <c r="DQ48" i="60" s="1"/>
  <c r="DQ49" i="60" s="1"/>
  <c r="DQ50" i="60" s="1"/>
  <c r="DQ51" i="60" s="1"/>
  <c r="DQ52" i="60" s="1"/>
  <c r="DQ53" i="60" s="1"/>
  <c r="DQ54" i="60" s="1"/>
  <c r="DQ55" i="60" s="1"/>
  <c r="DQ56" i="60" s="1"/>
  <c r="DQ57" i="60" s="1"/>
  <c r="DQ58" i="60" s="1"/>
  <c r="DQ59" i="60" s="1"/>
  <c r="DQ60" i="60" s="1"/>
  <c r="DQ61" i="60" s="1"/>
  <c r="DQ62" i="60" s="1"/>
  <c r="DQ63" i="60" s="1"/>
  <c r="DQ64" i="60" s="1"/>
  <c r="DQ65" i="60" s="1"/>
  <c r="DQ66" i="60" s="1"/>
  <c r="DQ67" i="60" s="1"/>
  <c r="DQ68" i="60" s="1"/>
  <c r="DQ69" i="60" s="1"/>
  <c r="DQ70" i="60" s="1"/>
  <c r="DQ71" i="60" s="1"/>
  <c r="DQ72" i="60" s="1"/>
  <c r="DQ73" i="60" s="1"/>
  <c r="DQ74" i="60" s="1"/>
  <c r="DQ75" i="60" s="1"/>
  <c r="DQ76" i="60" s="1"/>
  <c r="DQ77" i="60" s="1"/>
  <c r="DQ78" i="60" s="1"/>
  <c r="DQ79" i="60" s="1"/>
  <c r="DQ80" i="60" s="1"/>
  <c r="DQ81" i="60" s="1"/>
  <c r="DQ82" i="60" s="1"/>
  <c r="DQ83" i="60" s="1"/>
  <c r="DQ84" i="60" s="1"/>
  <c r="DQ85" i="60" s="1"/>
  <c r="ED13" i="60"/>
  <c r="ED14" i="60"/>
  <c r="ED15" i="60" s="1"/>
  <c r="ED16" i="60" s="1"/>
  <c r="ED17" i="60" s="1"/>
  <c r="ED18" i="60" s="1"/>
  <c r="ED19" i="60" s="1"/>
  <c r="ED20" i="60" s="1"/>
  <c r="ED21" i="60" s="1"/>
  <c r="ED22" i="60" s="1"/>
  <c r="ED23" i="60" s="1"/>
  <c r="ED24" i="60" s="1"/>
  <c r="ED25" i="60" s="1"/>
  <c r="ED26" i="60" s="1"/>
  <c r="ED27" i="60" s="1"/>
  <c r="ED28" i="60" s="1"/>
  <c r="ED29" i="60" s="1"/>
  <c r="ED30" i="60" s="1"/>
  <c r="ED31" i="60" s="1"/>
  <c r="ED32" i="60" s="1"/>
  <c r="ED33" i="60" s="1"/>
  <c r="ED34" i="60" s="1"/>
  <c r="ED35" i="60" s="1"/>
  <c r="ED36" i="60" s="1"/>
  <c r="ED37" i="60" s="1"/>
  <c r="ED38" i="60" s="1"/>
  <c r="ED39" i="60" s="1"/>
  <c r="ED40" i="60" s="1"/>
  <c r="ED41" i="60" s="1"/>
  <c r="ED42" i="60" s="1"/>
  <c r="ED43" i="60" s="1"/>
  <c r="ED44" i="60" s="1"/>
  <c r="ED45" i="60" s="1"/>
  <c r="ED46" i="60" s="1"/>
  <c r="ED47" i="60" s="1"/>
  <c r="ED48" i="60" s="1"/>
  <c r="ED49" i="60" s="1"/>
  <c r="ED50" i="60" s="1"/>
  <c r="ED51" i="60" s="1"/>
  <c r="ED52" i="60" s="1"/>
  <c r="ED53" i="60" s="1"/>
  <c r="ED54" i="60" s="1"/>
  <c r="ED55" i="60" s="1"/>
  <c r="ED56" i="60" s="1"/>
  <c r="ED57" i="60" s="1"/>
  <c r="ED58" i="60" s="1"/>
  <c r="ED59" i="60" s="1"/>
  <c r="ED60" i="60" s="1"/>
  <c r="ED61" i="60" s="1"/>
  <c r="ED62" i="60" s="1"/>
  <c r="ED63" i="60" s="1"/>
  <c r="ED64" i="60" s="1"/>
  <c r="ED65" i="60" s="1"/>
  <c r="ED66" i="60" s="1"/>
  <c r="ED67" i="60" s="1"/>
  <c r="ED68" i="60" s="1"/>
  <c r="ED69" i="60" s="1"/>
  <c r="ED70" i="60" s="1"/>
  <c r="ED71" i="60" s="1"/>
  <c r="ED72" i="60" s="1"/>
  <c r="ED73" i="60" s="1"/>
  <c r="ED74" i="60" s="1"/>
  <c r="ED75" i="60" s="1"/>
  <c r="ED76" i="60" s="1"/>
  <c r="ED77" i="60" s="1"/>
  <c r="ED78" i="60" s="1"/>
  <c r="ED79" i="60" s="1"/>
  <c r="ED80" i="60" s="1"/>
  <c r="ED81" i="60" s="1"/>
  <c r="ED82" i="60" s="1"/>
  <c r="ED83" i="60" s="1"/>
  <c r="ED84" i="60" s="1"/>
  <c r="ED85" i="60" s="1"/>
  <c r="EJ13" i="60"/>
  <c r="DX13" i="60"/>
  <c r="DX14" i="60" s="1"/>
  <c r="DX15" i="60" s="1"/>
  <c r="DX16" i="60" s="1"/>
  <c r="DX17" i="60" s="1"/>
  <c r="DX18" i="60" s="1"/>
  <c r="DX19" i="60" s="1"/>
  <c r="DX20" i="60" s="1"/>
  <c r="DX21" i="60" s="1"/>
  <c r="DX22" i="60" s="1"/>
  <c r="DX23" i="60" s="1"/>
  <c r="DX24" i="60" s="1"/>
  <c r="DX25" i="60" s="1"/>
  <c r="DX26" i="60" s="1"/>
  <c r="DX27" i="60" s="1"/>
  <c r="DX28" i="60" s="1"/>
  <c r="DX29" i="60" s="1"/>
  <c r="DX30" i="60" s="1"/>
  <c r="DX31" i="60" s="1"/>
  <c r="DX32" i="60" s="1"/>
  <c r="DX33" i="60" s="1"/>
  <c r="DX34" i="60" s="1"/>
  <c r="DX35" i="60" s="1"/>
  <c r="DX36" i="60" s="1"/>
  <c r="DX37" i="60" s="1"/>
  <c r="DX38" i="60" s="1"/>
  <c r="DX39" i="60" s="1"/>
  <c r="DX40" i="60" s="1"/>
  <c r="DX41" i="60" s="1"/>
  <c r="DX42" i="60" s="1"/>
  <c r="DX43" i="60" s="1"/>
  <c r="DX44" i="60" s="1"/>
  <c r="DX45" i="60" s="1"/>
  <c r="DX46" i="60" s="1"/>
  <c r="DX47" i="60" s="1"/>
  <c r="DX48" i="60" s="1"/>
  <c r="DX49" i="60" s="1"/>
  <c r="DX50" i="60" s="1"/>
  <c r="DX51" i="60" s="1"/>
  <c r="DX52" i="60" s="1"/>
  <c r="DX53" i="60" s="1"/>
  <c r="DX54" i="60" s="1"/>
  <c r="DX55" i="60" s="1"/>
  <c r="DX56" i="60" s="1"/>
  <c r="DX57" i="60" s="1"/>
  <c r="DX58" i="60" s="1"/>
  <c r="DX59" i="60" s="1"/>
  <c r="DX60" i="60" s="1"/>
  <c r="DX61" i="60" s="1"/>
  <c r="DX62" i="60" s="1"/>
  <c r="DX63" i="60" s="1"/>
  <c r="DX64" i="60" s="1"/>
  <c r="DX65" i="60" s="1"/>
  <c r="DX66" i="60" s="1"/>
  <c r="DX67" i="60" s="1"/>
  <c r="DX68" i="60" s="1"/>
  <c r="DX69" i="60" s="1"/>
  <c r="DX70" i="60" s="1"/>
  <c r="DX71" i="60" s="1"/>
  <c r="DX72" i="60" s="1"/>
  <c r="DX73" i="60" s="1"/>
  <c r="DX74" i="60" s="1"/>
  <c r="DX75" i="60" s="1"/>
  <c r="DX76" i="60" s="1"/>
  <c r="DX77" i="60" s="1"/>
  <c r="DX78" i="60" s="1"/>
  <c r="DX79" i="60" s="1"/>
  <c r="DX80" i="60" s="1"/>
  <c r="DX81" i="60" s="1"/>
  <c r="DX82" i="60" s="1"/>
  <c r="DX83" i="60" s="1"/>
  <c r="DX84" i="60" s="1"/>
  <c r="DX85" i="60" s="1"/>
  <c r="ER13" i="60"/>
  <c r="ER14" i="60" s="1"/>
  <c r="ER15" i="60" s="1"/>
  <c r="ER16" i="60" s="1"/>
  <c r="ER17" i="60" s="1"/>
  <c r="ER18" i="60" s="1"/>
  <c r="ER19" i="60" s="1"/>
  <c r="ER20" i="60" s="1"/>
  <c r="ER21" i="60"/>
  <c r="ER22" i="60" s="1"/>
  <c r="ER23" i="60" s="1"/>
  <c r="ER24" i="60" s="1"/>
  <c r="ER25" i="60" s="1"/>
  <c r="ER26" i="60" s="1"/>
  <c r="ER27" i="60" s="1"/>
  <c r="ER28" i="60" s="1"/>
  <c r="ER29" i="60" s="1"/>
  <c r="ER30" i="60" s="1"/>
  <c r="ER31" i="60" s="1"/>
  <c r="ER32" i="60" s="1"/>
  <c r="ER33" i="60" s="1"/>
  <c r="ER34" i="60" s="1"/>
  <c r="ER35" i="60" s="1"/>
  <c r="ER36" i="60" s="1"/>
  <c r="ER37" i="60" s="1"/>
  <c r="ER38" i="60" s="1"/>
  <c r="ER39" i="60" s="1"/>
  <c r="ER40" i="60" s="1"/>
  <c r="ER41" i="60" s="1"/>
  <c r="ER42" i="60" s="1"/>
  <c r="ER43" i="60" s="1"/>
  <c r="ER44" i="60" s="1"/>
  <c r="ER45" i="60" s="1"/>
  <c r="ER46" i="60" s="1"/>
  <c r="ER47" i="60" s="1"/>
  <c r="ER48" i="60" s="1"/>
  <c r="ER49" i="60" s="1"/>
  <c r="ER50" i="60" s="1"/>
  <c r="ER51" i="60" s="1"/>
  <c r="ER52" i="60" s="1"/>
  <c r="ER53" i="60" s="1"/>
  <c r="ER54" i="60" s="1"/>
  <c r="ER55" i="60" s="1"/>
  <c r="ER56" i="60" s="1"/>
  <c r="ER57" i="60" s="1"/>
  <c r="ER58" i="60" s="1"/>
  <c r="ER59" i="60" s="1"/>
  <c r="ER60" i="60" s="1"/>
  <c r="ER61" i="60" s="1"/>
  <c r="ER62" i="60" s="1"/>
  <c r="ER63" i="60" s="1"/>
  <c r="ER64" i="60" s="1"/>
  <c r="ER65" i="60" s="1"/>
  <c r="ER66" i="60" s="1"/>
  <c r="ER67" i="60" s="1"/>
  <c r="ER68" i="60" s="1"/>
  <c r="ER69" i="60" s="1"/>
  <c r="ER70" i="60" s="1"/>
  <c r="ER71" i="60" s="1"/>
  <c r="ER72" i="60" s="1"/>
  <c r="ER73" i="60" s="1"/>
  <c r="ER74" i="60" s="1"/>
  <c r="ER75" i="60" s="1"/>
  <c r="ER76" i="60" s="1"/>
  <c r="ER77" i="60" s="1"/>
  <c r="ER78" i="60" s="1"/>
  <c r="ER79" i="60" s="1"/>
  <c r="ER80" i="60" s="1"/>
  <c r="ER81" i="60" s="1"/>
  <c r="ER82" i="60" s="1"/>
  <c r="ER83" i="60" s="1"/>
  <c r="ER84" i="60" s="1"/>
  <c r="ER85" i="60" s="1"/>
  <c r="EM13" i="60"/>
  <c r="EM14" i="60"/>
  <c r="EM15" i="60"/>
  <c r="EM16" i="60"/>
  <c r="EM17" i="60" s="1"/>
  <c r="EM18" i="60" s="1"/>
  <c r="EM19" i="60" s="1"/>
  <c r="EM20" i="60" s="1"/>
  <c r="EM21" i="60" s="1"/>
  <c r="EM22" i="60" s="1"/>
  <c r="EM23" i="60" s="1"/>
  <c r="EM24" i="60" s="1"/>
  <c r="EM25" i="60" s="1"/>
  <c r="EM26" i="60" s="1"/>
  <c r="EM27" i="60" s="1"/>
  <c r="EM28" i="60" s="1"/>
  <c r="EM29" i="60" s="1"/>
  <c r="EM30" i="60" s="1"/>
  <c r="EM31" i="60" s="1"/>
  <c r="EM32" i="60" s="1"/>
  <c r="EM33" i="60" s="1"/>
  <c r="EM34" i="60" s="1"/>
  <c r="EM35" i="60" s="1"/>
  <c r="EM36" i="60" s="1"/>
  <c r="EM37" i="60" s="1"/>
  <c r="EM38" i="60" s="1"/>
  <c r="EM39" i="60" s="1"/>
  <c r="EM40" i="60" s="1"/>
  <c r="EM41" i="60" s="1"/>
  <c r="EM42" i="60" s="1"/>
  <c r="EM43" i="60" s="1"/>
  <c r="EM44" i="60" s="1"/>
  <c r="EM45" i="60" s="1"/>
  <c r="EM46" i="60" s="1"/>
  <c r="EM47" i="60" s="1"/>
  <c r="EM48" i="60" s="1"/>
  <c r="EM49" i="60" s="1"/>
  <c r="EM50" i="60" s="1"/>
  <c r="EM51" i="60" s="1"/>
  <c r="EM52" i="60" s="1"/>
  <c r="EM53" i="60" s="1"/>
  <c r="EM54" i="60" s="1"/>
  <c r="EM55" i="60" s="1"/>
  <c r="EM56" i="60" s="1"/>
  <c r="EM57" i="60" s="1"/>
  <c r="EM58" i="60" s="1"/>
  <c r="EM59" i="60" s="1"/>
  <c r="EM60" i="60" s="1"/>
  <c r="EM61" i="60" s="1"/>
  <c r="EM62" i="60" s="1"/>
  <c r="EM63" i="60" s="1"/>
  <c r="EM64" i="60" s="1"/>
  <c r="EM65" i="60" s="1"/>
  <c r="EM66" i="60" s="1"/>
  <c r="EM67" i="60" s="1"/>
  <c r="EM68" i="60" s="1"/>
  <c r="EM69" i="60" s="1"/>
  <c r="EM70" i="60" s="1"/>
  <c r="EM71" i="60" s="1"/>
  <c r="EM72" i="60" s="1"/>
  <c r="EM73" i="60" s="1"/>
  <c r="EM74" i="60" s="1"/>
  <c r="EM75" i="60" s="1"/>
  <c r="EM76" i="60" s="1"/>
  <c r="EM77" i="60" s="1"/>
  <c r="EM78" i="60" s="1"/>
  <c r="EM79" i="60" s="1"/>
  <c r="EM80" i="60" s="1"/>
  <c r="EM81" i="60" s="1"/>
  <c r="EM82" i="60" s="1"/>
  <c r="EM83" i="60" s="1"/>
  <c r="EM84" i="60" s="1"/>
  <c r="EM85" i="60" s="1"/>
  <c r="EF13" i="60"/>
  <c r="EF14" i="60"/>
  <c r="EF15" i="60" s="1"/>
  <c r="EF16" i="60" s="1"/>
  <c r="EF17" i="60" s="1"/>
  <c r="EF18" i="60" s="1"/>
  <c r="EF19" i="60" s="1"/>
  <c r="EF20" i="60" s="1"/>
  <c r="EF21" i="60" s="1"/>
  <c r="EF22" i="60" s="1"/>
  <c r="EF23" i="60" s="1"/>
  <c r="EF24" i="60" s="1"/>
  <c r="EF25" i="60" s="1"/>
  <c r="EF26" i="60" s="1"/>
  <c r="EF27" i="60" s="1"/>
  <c r="EF28" i="60" s="1"/>
  <c r="EF29" i="60" s="1"/>
  <c r="EF30" i="60" s="1"/>
  <c r="EF31" i="60" s="1"/>
  <c r="EF32" i="60" s="1"/>
  <c r="EF33" i="60" s="1"/>
  <c r="EF34" i="60" s="1"/>
  <c r="EF35" i="60" s="1"/>
  <c r="EF36" i="60" s="1"/>
  <c r="EF37" i="60" s="1"/>
  <c r="EF38" i="60" s="1"/>
  <c r="EF39" i="60" s="1"/>
  <c r="EF40" i="60" s="1"/>
  <c r="EF41" i="60" s="1"/>
  <c r="EF42" i="60" s="1"/>
  <c r="EF43" i="60" s="1"/>
  <c r="EF44" i="60" s="1"/>
  <c r="EF45" i="60" s="1"/>
  <c r="EF46" i="60" s="1"/>
  <c r="EF47" i="60" s="1"/>
  <c r="EF48" i="60" s="1"/>
  <c r="EF49" i="60" s="1"/>
  <c r="EF50" i="60" s="1"/>
  <c r="EF51" i="60" s="1"/>
  <c r="EF52" i="60" s="1"/>
  <c r="EF53" i="60" s="1"/>
  <c r="EF54" i="60" s="1"/>
  <c r="EF55" i="60" s="1"/>
  <c r="EF56" i="60" s="1"/>
  <c r="EF57" i="60" s="1"/>
  <c r="EF58" i="60" s="1"/>
  <c r="EF59" i="60" s="1"/>
  <c r="EF60" i="60" s="1"/>
  <c r="EF61" i="60" s="1"/>
  <c r="EF62" i="60" s="1"/>
  <c r="EF63" i="60" s="1"/>
  <c r="EF64" i="60" s="1"/>
  <c r="EF65" i="60" s="1"/>
  <c r="EF66" i="60" s="1"/>
  <c r="EF67" i="60" s="1"/>
  <c r="EF68" i="60" s="1"/>
  <c r="EF69" i="60" s="1"/>
  <c r="EF70" i="60" s="1"/>
  <c r="EF71" i="60" s="1"/>
  <c r="EF72" i="60" s="1"/>
  <c r="EF73" i="60" s="1"/>
  <c r="EF74" i="60" s="1"/>
  <c r="EF75" i="60" s="1"/>
  <c r="EF76" i="60" s="1"/>
  <c r="EF77" i="60" s="1"/>
  <c r="EF78" i="60" s="1"/>
  <c r="EF79" i="60" s="1"/>
  <c r="EF80" i="60" s="1"/>
  <c r="EF81" i="60" s="1"/>
  <c r="EF82" i="60" s="1"/>
  <c r="EF83" i="60" s="1"/>
  <c r="EF84" i="60" s="1"/>
  <c r="EF85" i="60" s="1"/>
  <c r="EL13" i="60"/>
  <c r="EL14" i="60" s="1"/>
  <c r="EL15" i="60" s="1"/>
  <c r="EL16" i="60" s="1"/>
  <c r="EL17" i="60" s="1"/>
  <c r="EL18" i="60" s="1"/>
  <c r="EL19" i="60" s="1"/>
  <c r="EL20" i="60" s="1"/>
  <c r="EL21" i="60"/>
  <c r="EL22" i="60" s="1"/>
  <c r="EL23" i="60" s="1"/>
  <c r="EL24" i="60" s="1"/>
  <c r="EL25" i="60" s="1"/>
  <c r="EL26" i="60" s="1"/>
  <c r="EL27" i="60" s="1"/>
  <c r="EL28" i="60" s="1"/>
  <c r="EL29" i="60"/>
  <c r="EL30" i="60" s="1"/>
  <c r="EL31" i="60" s="1"/>
  <c r="EL32" i="60" s="1"/>
  <c r="EL33" i="60" s="1"/>
  <c r="EL34" i="60" s="1"/>
  <c r="EL35" i="60" s="1"/>
  <c r="EL36" i="60" s="1"/>
  <c r="EL37" i="60" s="1"/>
  <c r="EL38" i="60" s="1"/>
  <c r="EL39" i="60" s="1"/>
  <c r="EL40" i="60" s="1"/>
  <c r="EL41" i="60" s="1"/>
  <c r="EL42" i="60" s="1"/>
  <c r="EL43" i="60" s="1"/>
  <c r="EL44" i="60" s="1"/>
  <c r="EL45" i="60" s="1"/>
  <c r="EL46" i="60" s="1"/>
  <c r="EL47" i="60" s="1"/>
  <c r="EL48" i="60" s="1"/>
  <c r="EL49" i="60" s="1"/>
  <c r="EL50" i="60" s="1"/>
  <c r="EL51" i="60" s="1"/>
  <c r="EL52" i="60" s="1"/>
  <c r="EL53" i="60" s="1"/>
  <c r="EL54" i="60" s="1"/>
  <c r="EL55" i="60" s="1"/>
  <c r="EL56" i="60" s="1"/>
  <c r="EL57" i="60" s="1"/>
  <c r="EL58" i="60" s="1"/>
  <c r="EL59" i="60" s="1"/>
  <c r="EL60" i="60" s="1"/>
  <c r="EL61" i="60"/>
  <c r="EL62" i="60" s="1"/>
  <c r="EL63" i="60" s="1"/>
  <c r="EL64" i="60" s="1"/>
  <c r="EL65" i="60" s="1"/>
  <c r="EL66" i="60" s="1"/>
  <c r="EL67" i="60" s="1"/>
  <c r="EL68" i="60" s="1"/>
  <c r="EL69" i="60" s="1"/>
  <c r="EL70" i="60" s="1"/>
  <c r="EL71" i="60" s="1"/>
  <c r="EL72" i="60" s="1"/>
  <c r="EL73" i="60" s="1"/>
  <c r="EL74" i="60" s="1"/>
  <c r="EL75" i="60" s="1"/>
  <c r="EL76" i="60" s="1"/>
  <c r="EL77" i="60" s="1"/>
  <c r="EL78" i="60" s="1"/>
  <c r="EL79" i="60" s="1"/>
  <c r="EL80" i="60" s="1"/>
  <c r="EL81" i="60" s="1"/>
  <c r="EL82" i="60" s="1"/>
  <c r="EL83" i="60" s="1"/>
  <c r="EL84" i="60" s="1"/>
  <c r="EL85" i="60" s="1"/>
  <c r="DR13" i="60"/>
  <c r="DR14" i="60" s="1"/>
  <c r="DR15" i="60" s="1"/>
  <c r="DR16" i="60"/>
  <c r="DR17" i="60" s="1"/>
  <c r="DR18" i="60" s="1"/>
  <c r="DR19" i="60" s="1"/>
  <c r="DR20" i="60"/>
  <c r="DR21" i="60" s="1"/>
  <c r="DR22" i="60" s="1"/>
  <c r="DR23" i="60" s="1"/>
  <c r="DR24" i="60" s="1"/>
  <c r="DR25" i="60" s="1"/>
  <c r="DR26" i="60" s="1"/>
  <c r="DR27" i="60" s="1"/>
  <c r="DR28" i="60" s="1"/>
  <c r="DR29" i="60" s="1"/>
  <c r="DR30" i="60" s="1"/>
  <c r="DR31" i="60" s="1"/>
  <c r="DR32" i="60" s="1"/>
  <c r="DR33" i="60" s="1"/>
  <c r="DR34" i="60" s="1"/>
  <c r="DR35" i="60" s="1"/>
  <c r="DR36" i="60" s="1"/>
  <c r="DR37" i="60" s="1"/>
  <c r="DR38" i="60" s="1"/>
  <c r="DR39" i="60" s="1"/>
  <c r="DR40" i="60" s="1"/>
  <c r="DR41" i="60" s="1"/>
  <c r="DR42" i="60" s="1"/>
  <c r="DR43" i="60" s="1"/>
  <c r="DR44" i="60" s="1"/>
  <c r="DR45" i="60" s="1"/>
  <c r="DR46" i="60" s="1"/>
  <c r="DR47" i="60" s="1"/>
  <c r="DR48" i="60" s="1"/>
  <c r="DR49" i="60" s="1"/>
  <c r="DR50" i="60" s="1"/>
  <c r="DR51" i="60" s="1"/>
  <c r="DR52" i="60" s="1"/>
  <c r="DR53" i="60" s="1"/>
  <c r="DR54" i="60" s="1"/>
  <c r="DR55" i="60" s="1"/>
  <c r="DR56" i="60" s="1"/>
  <c r="DR57" i="60" s="1"/>
  <c r="DR58" i="60" s="1"/>
  <c r="DR59" i="60" s="1"/>
  <c r="DR60" i="60" s="1"/>
  <c r="DR61" i="60" s="1"/>
  <c r="DR62" i="60" s="1"/>
  <c r="DR63" i="60" s="1"/>
  <c r="DR64" i="60" s="1"/>
  <c r="DR65" i="60" s="1"/>
  <c r="DR66" i="60" s="1"/>
  <c r="DR67" i="60" s="1"/>
  <c r="DR68" i="60" s="1"/>
  <c r="DR69" i="60" s="1"/>
  <c r="DR70" i="60" s="1"/>
  <c r="DR71" i="60" s="1"/>
  <c r="DR72" i="60" s="1"/>
  <c r="DR73" i="60" s="1"/>
  <c r="DR74" i="60" s="1"/>
  <c r="DR75" i="60" s="1"/>
  <c r="DR76" i="60" s="1"/>
  <c r="DR77" i="60" s="1"/>
  <c r="DR78" i="60" s="1"/>
  <c r="DR79" i="60" s="1"/>
  <c r="DR80" i="60" s="1"/>
  <c r="DR81" i="60" s="1"/>
  <c r="DR82" i="60" s="1"/>
  <c r="DR83" i="60" s="1"/>
  <c r="DR84" i="60" s="1"/>
  <c r="DR85" i="60" s="1"/>
  <c r="DY13" i="60"/>
  <c r="DY14" i="60" s="1"/>
  <c r="DY15" i="60" s="1"/>
  <c r="DY16" i="60" s="1"/>
  <c r="DY17" i="60" s="1"/>
  <c r="DY18" i="60" s="1"/>
  <c r="DY19" i="60" s="1"/>
  <c r="DY20" i="60" s="1"/>
  <c r="DY21" i="60" s="1"/>
  <c r="DY22" i="60" s="1"/>
  <c r="DY23" i="60" s="1"/>
  <c r="DY24" i="60" s="1"/>
  <c r="DY25" i="60" s="1"/>
  <c r="DY26" i="60" s="1"/>
  <c r="DY27" i="60" s="1"/>
  <c r="DY28" i="60" s="1"/>
  <c r="DY29" i="60" s="1"/>
  <c r="DY30" i="60" s="1"/>
  <c r="DY31" i="60" s="1"/>
  <c r="DY32" i="60" s="1"/>
  <c r="DY33" i="60" s="1"/>
  <c r="DY34" i="60" s="1"/>
  <c r="DY35" i="60" s="1"/>
  <c r="DY36" i="60" s="1"/>
  <c r="DY37" i="60" s="1"/>
  <c r="DY38" i="60" s="1"/>
  <c r="DY39" i="60" s="1"/>
  <c r="DY40" i="60" s="1"/>
  <c r="DY41" i="60" s="1"/>
  <c r="DY42" i="60" s="1"/>
  <c r="DY43" i="60" s="1"/>
  <c r="DY44" i="60" s="1"/>
  <c r="DY45" i="60" s="1"/>
  <c r="DY46" i="60" s="1"/>
  <c r="DY47" i="60" s="1"/>
  <c r="DY48" i="60" s="1"/>
  <c r="DY49" i="60" s="1"/>
  <c r="DY50" i="60" s="1"/>
  <c r="DY51" i="60" s="1"/>
  <c r="DY52" i="60" s="1"/>
  <c r="DY53" i="60" s="1"/>
  <c r="DY54" i="60" s="1"/>
  <c r="DY55" i="60" s="1"/>
  <c r="DY56" i="60" s="1"/>
  <c r="DY57" i="60" s="1"/>
  <c r="DY58" i="60" s="1"/>
  <c r="DY59" i="60" s="1"/>
  <c r="DY60" i="60" s="1"/>
  <c r="DY61" i="60" s="1"/>
  <c r="DY62" i="60" s="1"/>
  <c r="DY63" i="60" s="1"/>
  <c r="DY64" i="60" s="1"/>
  <c r="DY65" i="60" s="1"/>
  <c r="DY66" i="60" s="1"/>
  <c r="DY67" i="60" s="1"/>
  <c r="DY68" i="60" s="1"/>
  <c r="DY69" i="60" s="1"/>
  <c r="DY70" i="60" s="1"/>
  <c r="DY71" i="60" s="1"/>
  <c r="DY72" i="60" s="1"/>
  <c r="DY73" i="60" s="1"/>
  <c r="DY74" i="60" s="1"/>
  <c r="DY75" i="60" s="1"/>
  <c r="DY76" i="60" s="1"/>
  <c r="DY77" i="60" s="1"/>
  <c r="DY78" i="60" s="1"/>
  <c r="DY79" i="60" s="1"/>
  <c r="DY80" i="60" s="1"/>
  <c r="DY81" i="60" s="1"/>
  <c r="DY82" i="60" s="1"/>
  <c r="DY83" i="60" s="1"/>
  <c r="DY84" i="60" s="1"/>
  <c r="DY85" i="60" s="1"/>
  <c r="EG13" i="60"/>
  <c r="EG14" i="60"/>
  <c r="EG15" i="60"/>
  <c r="EG16" i="60" s="1"/>
  <c r="EG17" i="60" s="1"/>
  <c r="EG18" i="60"/>
  <c r="EG19" i="60" s="1"/>
  <c r="EG20" i="60" s="1"/>
  <c r="EG21" i="60" s="1"/>
  <c r="EG22" i="60" s="1"/>
  <c r="EG23" i="60" s="1"/>
  <c r="EG24" i="60" s="1"/>
  <c r="EG25" i="60" s="1"/>
  <c r="EG26" i="60" s="1"/>
  <c r="EG27" i="60"/>
  <c r="EG28" i="60" s="1"/>
  <c r="EG29" i="60" s="1"/>
  <c r="EG30" i="60" s="1"/>
  <c r="EG31" i="60" s="1"/>
  <c r="EG32" i="60" s="1"/>
  <c r="EG33" i="60" s="1"/>
  <c r="EG34" i="60" s="1"/>
  <c r="EG35" i="60" s="1"/>
  <c r="EG36" i="60" s="1"/>
  <c r="EG37" i="60" s="1"/>
  <c r="EG38" i="60" s="1"/>
  <c r="EG39" i="60" s="1"/>
  <c r="EG40" i="60" s="1"/>
  <c r="EG41" i="60" s="1"/>
  <c r="EG42" i="60" s="1"/>
  <c r="EG43" i="60" s="1"/>
  <c r="EG44" i="60" s="1"/>
  <c r="EG45" i="60" s="1"/>
  <c r="EG46" i="60" s="1"/>
  <c r="EG47" i="60" s="1"/>
  <c r="EG48" i="60" s="1"/>
  <c r="EG49" i="60" s="1"/>
  <c r="EG50" i="60" s="1"/>
  <c r="EG51" i="60" s="1"/>
  <c r="EG52" i="60" s="1"/>
  <c r="EG53" i="60" s="1"/>
  <c r="EG54" i="60" s="1"/>
  <c r="EG55" i="60" s="1"/>
  <c r="EG56" i="60" s="1"/>
  <c r="EG57" i="60" s="1"/>
  <c r="EG58" i="60" s="1"/>
  <c r="EG59" i="60" s="1"/>
  <c r="EG60" i="60" s="1"/>
  <c r="EG61" i="60" s="1"/>
  <c r="EG62" i="60" s="1"/>
  <c r="EG63" i="60" s="1"/>
  <c r="EG64" i="60" s="1"/>
  <c r="EG65" i="60" s="1"/>
  <c r="EG66" i="60" s="1"/>
  <c r="EG67" i="60" s="1"/>
  <c r="EG68" i="60" s="1"/>
  <c r="EG69" i="60" s="1"/>
  <c r="EG70" i="60" s="1"/>
  <c r="EG71" i="60" s="1"/>
  <c r="EG72" i="60" s="1"/>
  <c r="EG73" i="60" s="1"/>
  <c r="EG74" i="60" s="1"/>
  <c r="EG75" i="60" s="1"/>
  <c r="EG76" i="60" s="1"/>
  <c r="EG77" i="60" s="1"/>
  <c r="EG78" i="60" s="1"/>
  <c r="EG79" i="60" s="1"/>
  <c r="EG80" i="60" s="1"/>
  <c r="EG81" i="60" s="1"/>
  <c r="EG82" i="60" s="1"/>
  <c r="EG83" i="60" s="1"/>
  <c r="EG84" i="60" s="1"/>
  <c r="EG85" i="60" s="1"/>
  <c r="EN13" i="60"/>
  <c r="EN14" i="60"/>
  <c r="EN15" i="60" s="1"/>
  <c r="EN16" i="60" s="1"/>
  <c r="EN17" i="60" s="1"/>
  <c r="EN18" i="60" s="1"/>
  <c r="EN19" i="60" s="1"/>
  <c r="EN20" i="60" s="1"/>
  <c r="EN21" i="60" s="1"/>
  <c r="EN22" i="60" s="1"/>
  <c r="EN23" i="60" s="1"/>
  <c r="EN24" i="60" s="1"/>
  <c r="EN25" i="60" s="1"/>
  <c r="EN26" i="60" s="1"/>
  <c r="EN27" i="60" s="1"/>
  <c r="EN28" i="60" s="1"/>
  <c r="EN29" i="60" s="1"/>
  <c r="EN30" i="60" s="1"/>
  <c r="EN31" i="60" s="1"/>
  <c r="EN32" i="60" s="1"/>
  <c r="EN33" i="60" s="1"/>
  <c r="EN34" i="60" s="1"/>
  <c r="EN35" i="60" s="1"/>
  <c r="EN36" i="60" s="1"/>
  <c r="EN37" i="60" s="1"/>
  <c r="EN38" i="60" s="1"/>
  <c r="EN39" i="60" s="1"/>
  <c r="EN40" i="60" s="1"/>
  <c r="EN41" i="60" s="1"/>
  <c r="EN42" i="60" s="1"/>
  <c r="EN43" i="60" s="1"/>
  <c r="EN44" i="60" s="1"/>
  <c r="EN45" i="60" s="1"/>
  <c r="EN46" i="60" s="1"/>
  <c r="EN47" i="60" s="1"/>
  <c r="EN48" i="60" s="1"/>
  <c r="EN49" i="60" s="1"/>
  <c r="EN50" i="60" s="1"/>
  <c r="EN51" i="60" s="1"/>
  <c r="EN52" i="60" s="1"/>
  <c r="EN53" i="60" s="1"/>
  <c r="EN54" i="60" s="1"/>
  <c r="EN55" i="60" s="1"/>
  <c r="EN56" i="60" s="1"/>
  <c r="EN57" i="60" s="1"/>
  <c r="EN58" i="60" s="1"/>
  <c r="EN59" i="60" s="1"/>
  <c r="EN60" i="60" s="1"/>
  <c r="EN61" i="60" s="1"/>
  <c r="EN62" i="60" s="1"/>
  <c r="EN63" i="60" s="1"/>
  <c r="EN64" i="60" s="1"/>
  <c r="EN65" i="60" s="1"/>
  <c r="EN66" i="60" s="1"/>
  <c r="EN67" i="60" s="1"/>
  <c r="EN68" i="60" s="1"/>
  <c r="EN69" i="60" s="1"/>
  <c r="EN70" i="60" s="1"/>
  <c r="EN71" i="60" s="1"/>
  <c r="EN72" i="60" s="1"/>
  <c r="EN73" i="60" s="1"/>
  <c r="EN74" i="60" s="1"/>
  <c r="EN75" i="60" s="1"/>
  <c r="EN76" i="60" s="1"/>
  <c r="EN77" i="60" s="1"/>
  <c r="EN78" i="60" s="1"/>
  <c r="EN79" i="60" s="1"/>
  <c r="EN80" i="60" s="1"/>
  <c r="EN81" i="60" s="1"/>
  <c r="EN82" i="60" s="1"/>
  <c r="EN83" i="60" s="1"/>
  <c r="EN84" i="60" s="1"/>
  <c r="EN85" i="60" s="1"/>
  <c r="DZ13" i="60"/>
  <c r="DZ14" i="60" s="1"/>
  <c r="DZ15" i="60" s="1"/>
  <c r="DZ16" i="60" s="1"/>
  <c r="DZ17" i="60" s="1"/>
  <c r="DZ18" i="60" s="1"/>
  <c r="DZ19" i="60" s="1"/>
  <c r="DZ20" i="60" s="1"/>
  <c r="DZ21" i="60" s="1"/>
  <c r="DZ22" i="60" s="1"/>
  <c r="DZ23" i="60" s="1"/>
  <c r="DZ24" i="60" s="1"/>
  <c r="DZ25" i="60" s="1"/>
  <c r="DZ26" i="60" s="1"/>
  <c r="DZ27" i="60" s="1"/>
  <c r="DZ28" i="60" s="1"/>
  <c r="DZ29" i="60" s="1"/>
  <c r="DZ30" i="60" s="1"/>
  <c r="DZ31" i="60" s="1"/>
  <c r="DZ32" i="60" s="1"/>
  <c r="DZ33" i="60" s="1"/>
  <c r="DZ34" i="60" s="1"/>
  <c r="DZ35" i="60" s="1"/>
  <c r="DZ36" i="60" s="1"/>
  <c r="DZ37" i="60" s="1"/>
  <c r="DZ38" i="60" s="1"/>
  <c r="DZ39" i="60" s="1"/>
  <c r="DZ40" i="60" s="1"/>
  <c r="DZ41" i="60" s="1"/>
  <c r="DZ42" i="60" s="1"/>
  <c r="DZ43" i="60" s="1"/>
  <c r="DZ44" i="60" s="1"/>
  <c r="DZ45" i="60" s="1"/>
  <c r="DZ46" i="60" s="1"/>
  <c r="DZ47" i="60" s="1"/>
  <c r="DZ48" i="60" s="1"/>
  <c r="DZ49" i="60" s="1"/>
  <c r="DZ50" i="60" s="1"/>
  <c r="DZ51" i="60" s="1"/>
  <c r="DZ52" i="60" s="1"/>
  <c r="DZ53" i="60" s="1"/>
  <c r="DZ54" i="60" s="1"/>
  <c r="DZ55" i="60" s="1"/>
  <c r="DZ56" i="60" s="1"/>
  <c r="DZ57" i="60" s="1"/>
  <c r="DZ58" i="60" s="1"/>
  <c r="DZ59" i="60" s="1"/>
  <c r="DZ60" i="60" s="1"/>
  <c r="DZ61" i="60" s="1"/>
  <c r="DZ62" i="60" s="1"/>
  <c r="DZ63" i="60" s="1"/>
  <c r="DZ64" i="60" s="1"/>
  <c r="DZ65" i="60" s="1"/>
  <c r="DZ66" i="60" s="1"/>
  <c r="DZ67" i="60" s="1"/>
  <c r="DZ68" i="60" s="1"/>
  <c r="DZ69" i="60" s="1"/>
  <c r="DZ70" i="60" s="1"/>
  <c r="DZ71" i="60" s="1"/>
  <c r="DZ72" i="60" s="1"/>
  <c r="DZ73" i="60" s="1"/>
  <c r="DZ74" i="60" s="1"/>
  <c r="DZ75" i="60" s="1"/>
  <c r="DZ76" i="60" s="1"/>
  <c r="DZ77" i="60" s="1"/>
  <c r="DZ78" i="60" s="1"/>
  <c r="DZ79" i="60" s="1"/>
  <c r="DZ80" i="60" s="1"/>
  <c r="DZ81" i="60" s="1"/>
  <c r="DZ82" i="60" s="1"/>
  <c r="DZ83" i="60" s="1"/>
  <c r="DZ84" i="60" s="1"/>
  <c r="DZ85" i="60" s="1"/>
  <c r="ET13" i="60"/>
  <c r="ET14" i="60"/>
  <c r="ET15" i="60"/>
  <c r="ET16" i="60" s="1"/>
  <c r="ET17" i="60" s="1"/>
  <c r="ET18" i="60" s="1"/>
  <c r="ET19" i="60" s="1"/>
  <c r="ET20" i="60" s="1"/>
  <c r="ET21" i="60" s="1"/>
  <c r="ET22" i="60" s="1"/>
  <c r="ET23" i="60" s="1"/>
  <c r="ET24" i="60" s="1"/>
  <c r="ET25" i="60" s="1"/>
  <c r="ET26" i="60" s="1"/>
  <c r="ET27" i="60" s="1"/>
  <c r="ET28" i="60" s="1"/>
  <c r="ET29" i="60" s="1"/>
  <c r="ET30" i="60" s="1"/>
  <c r="ET31" i="60" s="1"/>
  <c r="ET32" i="60" s="1"/>
  <c r="ET33" i="60" s="1"/>
  <c r="ET34" i="60" s="1"/>
  <c r="ET35" i="60" s="1"/>
  <c r="ET36" i="60" s="1"/>
  <c r="ET37" i="60" s="1"/>
  <c r="ET38" i="60" s="1"/>
  <c r="ET39" i="60" s="1"/>
  <c r="ET40" i="60" s="1"/>
  <c r="ET41" i="60" s="1"/>
  <c r="ET42" i="60" s="1"/>
  <c r="ET43" i="60" s="1"/>
  <c r="ET44" i="60" s="1"/>
  <c r="ET45" i="60" s="1"/>
  <c r="ET46" i="60" s="1"/>
  <c r="ET47" i="60" s="1"/>
  <c r="ET48" i="60" s="1"/>
  <c r="ET49" i="60" s="1"/>
  <c r="ET50" i="60" s="1"/>
  <c r="ET51" i="60" s="1"/>
  <c r="ET52" i="60" s="1"/>
  <c r="ET53" i="60" s="1"/>
  <c r="ET54" i="60" s="1"/>
  <c r="ET55" i="60" s="1"/>
  <c r="ET56" i="60" s="1"/>
  <c r="ET57" i="60" s="1"/>
  <c r="ET58" i="60" s="1"/>
  <c r="ET59" i="60" s="1"/>
  <c r="ET60" i="60" s="1"/>
  <c r="ET61" i="60" s="1"/>
  <c r="ET62" i="60" s="1"/>
  <c r="ET63" i="60" s="1"/>
  <c r="ET64" i="60" s="1"/>
  <c r="ET65" i="60" s="1"/>
  <c r="ET66" i="60" s="1"/>
  <c r="ET67" i="60" s="1"/>
  <c r="ET68" i="60" s="1"/>
  <c r="ET69" i="60" s="1"/>
  <c r="ET70" i="60" s="1"/>
  <c r="ET71" i="60" s="1"/>
  <c r="ET72" i="60" s="1"/>
  <c r="ET73" i="60" s="1"/>
  <c r="ET74" i="60" s="1"/>
  <c r="ET75" i="60" s="1"/>
  <c r="ET76" i="60" s="1"/>
  <c r="ET77" i="60" s="1"/>
  <c r="ET78" i="60" s="1"/>
  <c r="ET79" i="60" s="1"/>
  <c r="ET80" i="60" s="1"/>
  <c r="ET81" i="60" s="1"/>
  <c r="ET82" i="60" s="1"/>
  <c r="ET83" i="60" s="1"/>
  <c r="ET84" i="60" s="1"/>
  <c r="ET85" i="60" s="1"/>
  <c r="EU13" i="60"/>
  <c r="EU14" i="60" s="1"/>
  <c r="EU15" i="60" s="1"/>
  <c r="EU16" i="60" s="1"/>
  <c r="EU17" i="60" s="1"/>
  <c r="EU18" i="60" s="1"/>
  <c r="EU19" i="60" s="1"/>
  <c r="EU20" i="60" s="1"/>
  <c r="EU21" i="60" s="1"/>
  <c r="EU22" i="60" s="1"/>
  <c r="EU23" i="60" s="1"/>
  <c r="EU24" i="60" s="1"/>
  <c r="EU25" i="60" s="1"/>
  <c r="EU26" i="60" s="1"/>
  <c r="EU27" i="60" s="1"/>
  <c r="EU28" i="60" s="1"/>
  <c r="EU29" i="60" s="1"/>
  <c r="EU30" i="60" s="1"/>
  <c r="EU31" i="60" s="1"/>
  <c r="EU32" i="60" s="1"/>
  <c r="EU33" i="60" s="1"/>
  <c r="EU34" i="60" s="1"/>
  <c r="EU35" i="60" s="1"/>
  <c r="EU36" i="60" s="1"/>
  <c r="EU37" i="60" s="1"/>
  <c r="EU38" i="60" s="1"/>
  <c r="EU39" i="60" s="1"/>
  <c r="EU40" i="60" s="1"/>
  <c r="EU41" i="60" s="1"/>
  <c r="EU42" i="60" s="1"/>
  <c r="EU43" i="60" s="1"/>
  <c r="EU44" i="60" s="1"/>
  <c r="EU45" i="60" s="1"/>
  <c r="EU46" i="60" s="1"/>
  <c r="EU47" i="60" s="1"/>
  <c r="EU48" i="60" s="1"/>
  <c r="EU49" i="60" s="1"/>
  <c r="EU50" i="60" s="1"/>
  <c r="EU51" i="60" s="1"/>
  <c r="EU52" i="60" s="1"/>
  <c r="EU53" i="60" s="1"/>
  <c r="EU54" i="60" s="1"/>
  <c r="EU55" i="60" s="1"/>
  <c r="EU56" i="60" s="1"/>
  <c r="EU57" i="60" s="1"/>
  <c r="EU58" i="60" s="1"/>
  <c r="EU59" i="60" s="1"/>
  <c r="EU60" i="60" s="1"/>
  <c r="EU61" i="60" s="1"/>
  <c r="EU62" i="60" s="1"/>
  <c r="EU63" i="60" s="1"/>
  <c r="EU64" i="60" s="1"/>
  <c r="EU65" i="60" s="1"/>
  <c r="EU66" i="60" s="1"/>
  <c r="EU67" i="60" s="1"/>
  <c r="EU68" i="60" s="1"/>
  <c r="EU69" i="60" s="1"/>
  <c r="EU70" i="60" s="1"/>
  <c r="EU71" i="60" s="1"/>
  <c r="EU72" i="60" s="1"/>
  <c r="EU73" i="60" s="1"/>
  <c r="EU74" i="60" s="1"/>
  <c r="EU75" i="60" s="1"/>
  <c r="EU76" i="60" s="1"/>
  <c r="EU77" i="60" s="1"/>
  <c r="EU78" i="60" s="1"/>
  <c r="EU79" i="60" s="1"/>
  <c r="EU80" i="60" s="1"/>
  <c r="EU81" i="60" s="1"/>
  <c r="EU82" i="60" s="1"/>
  <c r="EU83" i="60" s="1"/>
  <c r="EU84" i="60" s="1"/>
  <c r="EU85" i="60" s="1"/>
  <c r="EH13" i="60"/>
  <c r="EH14" i="60"/>
  <c r="EH15" i="60" s="1"/>
  <c r="EH16" i="60" s="1"/>
  <c r="EH17" i="60" s="1"/>
  <c r="EH18" i="60" s="1"/>
  <c r="EH19" i="60" s="1"/>
  <c r="EH20" i="60" s="1"/>
  <c r="EH21" i="60" s="1"/>
  <c r="EH22" i="60" s="1"/>
  <c r="EH23" i="60" s="1"/>
  <c r="EH24" i="60" s="1"/>
  <c r="EH25" i="60" s="1"/>
  <c r="EH26" i="60" s="1"/>
  <c r="EH27" i="60" s="1"/>
  <c r="EH28" i="60" s="1"/>
  <c r="EH29" i="60" s="1"/>
  <c r="EH30" i="60" s="1"/>
  <c r="EH31" i="60" s="1"/>
  <c r="EH32" i="60" s="1"/>
  <c r="EH33" i="60" s="1"/>
  <c r="EH34" i="60" s="1"/>
  <c r="EH35" i="60" s="1"/>
  <c r="EH36" i="60" s="1"/>
  <c r="EH37" i="60" s="1"/>
  <c r="EH38" i="60" s="1"/>
  <c r="EH39" i="60" s="1"/>
  <c r="EH40" i="60" s="1"/>
  <c r="EH41" i="60" s="1"/>
  <c r="EH42" i="60" s="1"/>
  <c r="EH43" i="60" s="1"/>
  <c r="EH44" i="60" s="1"/>
  <c r="EH45" i="60" s="1"/>
  <c r="EH46" i="60" s="1"/>
  <c r="EH47" i="60" s="1"/>
  <c r="EH48" i="60" s="1"/>
  <c r="EH49" i="60" s="1"/>
  <c r="EH50" i="60" s="1"/>
  <c r="EH51" i="60" s="1"/>
  <c r="EH52" i="60" s="1"/>
  <c r="EH53" i="60" s="1"/>
  <c r="EH54" i="60" s="1"/>
  <c r="EH55" i="60" s="1"/>
  <c r="EH56" i="60" s="1"/>
  <c r="EH57" i="60" s="1"/>
  <c r="EH58" i="60" s="1"/>
  <c r="EH59" i="60" s="1"/>
  <c r="EH60" i="60" s="1"/>
  <c r="EH61" i="60" s="1"/>
  <c r="EH62" i="60" s="1"/>
  <c r="EH63" i="60" s="1"/>
  <c r="EH64" i="60" s="1"/>
  <c r="EH65" i="60" s="1"/>
  <c r="EH66" i="60" s="1"/>
  <c r="EH67" i="60" s="1"/>
  <c r="EH68" i="60" s="1"/>
  <c r="EH69" i="60" s="1"/>
  <c r="EH70" i="60" s="1"/>
  <c r="EH71" i="60" s="1"/>
  <c r="EH72" i="60" s="1"/>
  <c r="EH73" i="60" s="1"/>
  <c r="EH74" i="60" s="1"/>
  <c r="EH75" i="60" s="1"/>
  <c r="EH76" i="60" s="1"/>
  <c r="EH77" i="60" s="1"/>
  <c r="EH78" i="60" s="1"/>
  <c r="EH79" i="60" s="1"/>
  <c r="EH80" i="60" s="1"/>
  <c r="EH81" i="60" s="1"/>
  <c r="EH82" i="60" s="1"/>
  <c r="EH83" i="60" s="1"/>
  <c r="EH84" i="60" s="1"/>
  <c r="EH85" i="60" s="1"/>
  <c r="EO13" i="60"/>
  <c r="EO14" i="60" s="1"/>
  <c r="EO15" i="60" s="1"/>
  <c r="EO16" i="60" s="1"/>
  <c r="EO17" i="60" s="1"/>
  <c r="EO18" i="60" s="1"/>
  <c r="EO19" i="60" s="1"/>
  <c r="EO20" i="60" s="1"/>
  <c r="EO21" i="60" s="1"/>
  <c r="EO22" i="60" s="1"/>
  <c r="EO23" i="60" s="1"/>
  <c r="EO24" i="60" s="1"/>
  <c r="EO25" i="60" s="1"/>
  <c r="EO26" i="60" s="1"/>
  <c r="EO27" i="60" s="1"/>
  <c r="EO28" i="60" s="1"/>
  <c r="EO29" i="60" s="1"/>
  <c r="EO30" i="60" s="1"/>
  <c r="EO31" i="60" s="1"/>
  <c r="EO32" i="60" s="1"/>
  <c r="EO33" i="60" s="1"/>
  <c r="EO34" i="60" s="1"/>
  <c r="EO35" i="60" s="1"/>
  <c r="EO36" i="60" s="1"/>
  <c r="EO37" i="60" s="1"/>
  <c r="EO38" i="60" s="1"/>
  <c r="EO39" i="60" s="1"/>
  <c r="EO40" i="60" s="1"/>
  <c r="EO41" i="60" s="1"/>
  <c r="EO42" i="60" s="1"/>
  <c r="EO43" i="60" s="1"/>
  <c r="EO44" i="60" s="1"/>
  <c r="EO45" i="60" s="1"/>
  <c r="EO46" i="60" s="1"/>
  <c r="EO47" i="60" s="1"/>
  <c r="EO48" i="60" s="1"/>
  <c r="EO49" i="60" s="1"/>
  <c r="EO50" i="60" s="1"/>
  <c r="EO51" i="60" s="1"/>
  <c r="EO52" i="60" s="1"/>
  <c r="EO53" i="60" s="1"/>
  <c r="EO54" i="60" s="1"/>
  <c r="EO55" i="60" s="1"/>
  <c r="EO56" i="60" s="1"/>
  <c r="EO57" i="60" s="1"/>
  <c r="EO58" i="60" s="1"/>
  <c r="EO59" i="60" s="1"/>
  <c r="EO60" i="60" s="1"/>
  <c r="EO61" i="60" s="1"/>
  <c r="EO62" i="60" s="1"/>
  <c r="EO63" i="60" s="1"/>
  <c r="EO64" i="60" s="1"/>
  <c r="EO65" i="60" s="1"/>
  <c r="EO66" i="60" s="1"/>
  <c r="EO67" i="60" s="1"/>
  <c r="EO68" i="60" s="1"/>
  <c r="EO69" i="60" s="1"/>
  <c r="EO70" i="60" s="1"/>
  <c r="EO71" i="60" s="1"/>
  <c r="EO72" i="60" s="1"/>
  <c r="EO73" i="60" s="1"/>
  <c r="EO74" i="60" s="1"/>
  <c r="EO75" i="60" s="1"/>
  <c r="EO76" i="60" s="1"/>
  <c r="EO77" i="60" s="1"/>
  <c r="EO78" i="60" s="1"/>
  <c r="EO79" i="60" s="1"/>
  <c r="EO80" i="60" s="1"/>
  <c r="EO81" i="60" s="1"/>
  <c r="EO82" i="60" s="1"/>
  <c r="EO83" i="60" s="1"/>
  <c r="EO84" i="60" s="1"/>
  <c r="EO85" i="60" s="1"/>
  <c r="EV13" i="60"/>
  <c r="EV14" i="60" s="1"/>
  <c r="EV15" i="60"/>
  <c r="EV16" i="60" s="1"/>
  <c r="EV17" i="60" s="1"/>
  <c r="EV18" i="60" s="1"/>
  <c r="EV19" i="60" s="1"/>
  <c r="EV20" i="60" s="1"/>
  <c r="EV21" i="60" s="1"/>
  <c r="EV22" i="60" s="1"/>
  <c r="EV23" i="60" s="1"/>
  <c r="EV24" i="60" s="1"/>
  <c r="EV25" i="60" s="1"/>
  <c r="EV26" i="60" s="1"/>
  <c r="EV27" i="60" s="1"/>
  <c r="EV28" i="60" s="1"/>
  <c r="EV29" i="60" s="1"/>
  <c r="EV30" i="60" s="1"/>
  <c r="EV31" i="60" s="1"/>
  <c r="EV32" i="60" s="1"/>
  <c r="EV33" i="60" s="1"/>
  <c r="EV34" i="60" s="1"/>
  <c r="EV35" i="60" s="1"/>
  <c r="EV36" i="60" s="1"/>
  <c r="EV37" i="60" s="1"/>
  <c r="EV38" i="60" s="1"/>
  <c r="EV39" i="60" s="1"/>
  <c r="EV40" i="60" s="1"/>
  <c r="EV41" i="60" s="1"/>
  <c r="EV42" i="60" s="1"/>
  <c r="EV43" i="60" s="1"/>
  <c r="EV44" i="60" s="1"/>
  <c r="EV45" i="60" s="1"/>
  <c r="EV46" i="60" s="1"/>
  <c r="EV47" i="60" s="1"/>
  <c r="EV48" i="60" s="1"/>
  <c r="EV49" i="60" s="1"/>
  <c r="EV50" i="60" s="1"/>
  <c r="EV51" i="60" s="1"/>
  <c r="EV52" i="60" s="1"/>
  <c r="EV53" i="60" s="1"/>
  <c r="EV54" i="60" s="1"/>
  <c r="EV55" i="60" s="1"/>
  <c r="EV56" i="60" s="1"/>
  <c r="EV57" i="60" s="1"/>
  <c r="EV58" i="60" s="1"/>
  <c r="EV59" i="60" s="1"/>
  <c r="EV60" i="60" s="1"/>
  <c r="EV61" i="60" s="1"/>
  <c r="EV62" i="60" s="1"/>
  <c r="EV63" i="60" s="1"/>
  <c r="EV64" i="60" s="1"/>
  <c r="EV65" i="60" s="1"/>
  <c r="EV66" i="60" s="1"/>
  <c r="EV67" i="60" s="1"/>
  <c r="EV68" i="60" s="1"/>
  <c r="EV69" i="60" s="1"/>
  <c r="EV70" i="60" s="1"/>
  <c r="EV71" i="60" s="1"/>
  <c r="EV72" i="60" s="1"/>
  <c r="EV73" i="60" s="1"/>
  <c r="EV74" i="60" s="1"/>
  <c r="EV75" i="60" s="1"/>
  <c r="EV76" i="60" s="1"/>
  <c r="EV77" i="60" s="1"/>
  <c r="EV78" i="60" s="1"/>
  <c r="EV79" i="60" s="1"/>
  <c r="EV80" i="60" s="1"/>
  <c r="EV81" i="60" s="1"/>
  <c r="EV82" i="60" s="1"/>
  <c r="EV83" i="60" s="1"/>
  <c r="EV84" i="60" s="1"/>
  <c r="EV85" i="60" s="1"/>
  <c r="EW13" i="60"/>
  <c r="EW14" i="60"/>
  <c r="EW15" i="60" s="1"/>
  <c r="EW16" i="60" s="1"/>
  <c r="EW17" i="60" s="1"/>
  <c r="EW18" i="60" s="1"/>
  <c r="EW19" i="60" s="1"/>
  <c r="EW20" i="60" s="1"/>
  <c r="EW21" i="60" s="1"/>
  <c r="EW22" i="60" s="1"/>
  <c r="EW23" i="60" s="1"/>
  <c r="EW24" i="60" s="1"/>
  <c r="EW25" i="60" s="1"/>
  <c r="EW26" i="60" s="1"/>
  <c r="EW27" i="60" s="1"/>
  <c r="EW28" i="60" s="1"/>
  <c r="EW29" i="60" s="1"/>
  <c r="EW30" i="60" s="1"/>
  <c r="EW31" i="60" s="1"/>
  <c r="EW32" i="60" s="1"/>
  <c r="EW33" i="60" s="1"/>
  <c r="EW34" i="60" s="1"/>
  <c r="EW35" i="60" s="1"/>
  <c r="EW36" i="60" s="1"/>
  <c r="EW37" i="60" s="1"/>
  <c r="EW38" i="60" s="1"/>
  <c r="EW39" i="60" s="1"/>
  <c r="EW40" i="60" s="1"/>
  <c r="EW41" i="60" s="1"/>
  <c r="EW42" i="60" s="1"/>
  <c r="EW43" i="60" s="1"/>
  <c r="EW44" i="60" s="1"/>
  <c r="EW45" i="60" s="1"/>
  <c r="EW46" i="60" s="1"/>
  <c r="EW47" i="60" s="1"/>
  <c r="EW48" i="60" s="1"/>
  <c r="EW49" i="60" s="1"/>
  <c r="EW50" i="60" s="1"/>
  <c r="EW51" i="60" s="1"/>
  <c r="EW52" i="60" s="1"/>
  <c r="EW53" i="60" s="1"/>
  <c r="EW54" i="60" s="1"/>
  <c r="EW55" i="60" s="1"/>
  <c r="EW56" i="60" s="1"/>
  <c r="EW57" i="60" s="1"/>
  <c r="EW58" i="60" s="1"/>
  <c r="EW59" i="60" s="1"/>
  <c r="EW60" i="60" s="1"/>
  <c r="EW61" i="60" s="1"/>
  <c r="EW62" i="60" s="1"/>
  <c r="EW63" i="60" s="1"/>
  <c r="EW64" i="60" s="1"/>
  <c r="EW65" i="60" s="1"/>
  <c r="EW66" i="60" s="1"/>
  <c r="EW67" i="60" s="1"/>
  <c r="EW68" i="60" s="1"/>
  <c r="EW69" i="60" s="1"/>
  <c r="EW70" i="60" s="1"/>
  <c r="EW71" i="60" s="1"/>
  <c r="EW72" i="60" s="1"/>
  <c r="EW73" i="60" s="1"/>
  <c r="EW74" i="60" s="1"/>
  <c r="EW75" i="60" s="1"/>
  <c r="EW76" i="60" s="1"/>
  <c r="EW77" i="60" s="1"/>
  <c r="EW78" i="60" s="1"/>
  <c r="EW79" i="60" s="1"/>
  <c r="EW80" i="60" s="1"/>
  <c r="EW81" i="60" s="1"/>
  <c r="EW82" i="60" s="1"/>
  <c r="EW83" i="60" s="1"/>
  <c r="EW84" i="60" s="1"/>
  <c r="EW85" i="60" s="1"/>
  <c r="EP13" i="60"/>
  <c r="EP14" i="60" s="1"/>
  <c r="EP15" i="60" s="1"/>
  <c r="EP16" i="60"/>
  <c r="EP17" i="60" s="1"/>
  <c r="EP18" i="60" s="1"/>
  <c r="EP19" i="60" s="1"/>
  <c r="EP20" i="60" s="1"/>
  <c r="EP21" i="60" s="1"/>
  <c r="EP22" i="60" s="1"/>
  <c r="EP23" i="60" s="1"/>
  <c r="EP24" i="60" s="1"/>
  <c r="EP25" i="60" s="1"/>
  <c r="EP26" i="60" s="1"/>
  <c r="EP27" i="60" s="1"/>
  <c r="EP28" i="60" s="1"/>
  <c r="EP29" i="60" s="1"/>
  <c r="EP30" i="60" s="1"/>
  <c r="EP31" i="60" s="1"/>
  <c r="EP32" i="60" s="1"/>
  <c r="EP33" i="60" s="1"/>
  <c r="EP34" i="60" s="1"/>
  <c r="EP35" i="60" s="1"/>
  <c r="EP36" i="60" s="1"/>
  <c r="EP37" i="60" s="1"/>
  <c r="EP38" i="60" s="1"/>
  <c r="EP39" i="60" s="1"/>
  <c r="EP40" i="60" s="1"/>
  <c r="EP41" i="60" s="1"/>
  <c r="EP42" i="60" s="1"/>
  <c r="EP43" i="60" s="1"/>
  <c r="EP44" i="60" s="1"/>
  <c r="EP45" i="60" s="1"/>
  <c r="EP46" i="60" s="1"/>
  <c r="EP47" i="60" s="1"/>
  <c r="EP48" i="60" s="1"/>
  <c r="EP49" i="60" s="1"/>
  <c r="EP50" i="60" s="1"/>
  <c r="EP51" i="60" s="1"/>
  <c r="EP52" i="60" s="1"/>
  <c r="EP53" i="60" s="1"/>
  <c r="EP54" i="60" s="1"/>
  <c r="EP55" i="60" s="1"/>
  <c r="EP56" i="60" s="1"/>
  <c r="EP57" i="60" s="1"/>
  <c r="EP58" i="60" s="1"/>
  <c r="EP59" i="60" s="1"/>
  <c r="EP60" i="60" s="1"/>
  <c r="EP61" i="60" s="1"/>
  <c r="EP62" i="60" s="1"/>
  <c r="EP63" i="60" s="1"/>
  <c r="EP64" i="60" s="1"/>
  <c r="EP65" i="60" s="1"/>
  <c r="EP66" i="60" s="1"/>
  <c r="EP67" i="60" s="1"/>
  <c r="EP68" i="60" s="1"/>
  <c r="EP69" i="60" s="1"/>
  <c r="EP70" i="60" s="1"/>
  <c r="EP71" i="60" s="1"/>
  <c r="EP72" i="60" s="1"/>
  <c r="EP73" i="60" s="1"/>
  <c r="EP74" i="60" s="1"/>
  <c r="EP75" i="60" s="1"/>
  <c r="EP76" i="60" s="1"/>
  <c r="EP77" i="60" s="1"/>
  <c r="EP78" i="60" s="1"/>
  <c r="EP79" i="60" s="1"/>
  <c r="EP80" i="60" s="1"/>
  <c r="EP81" i="60" s="1"/>
  <c r="EP82" i="60" s="1"/>
  <c r="EP83" i="60" s="1"/>
  <c r="EP84" i="60" s="1"/>
  <c r="EP85" i="60" s="1"/>
  <c r="EX13" i="60"/>
  <c r="EX14" i="60" s="1"/>
  <c r="EX15" i="60" s="1"/>
  <c r="EX16" i="60" s="1"/>
  <c r="EX17" i="60" s="1"/>
  <c r="EX18" i="60" s="1"/>
  <c r="EX19" i="60" s="1"/>
  <c r="EX20" i="60" s="1"/>
  <c r="EX21" i="60" s="1"/>
  <c r="EX22" i="60" s="1"/>
  <c r="EX23" i="60" s="1"/>
  <c r="EX24" i="60" s="1"/>
  <c r="EX25" i="60" s="1"/>
  <c r="EX26" i="60" s="1"/>
  <c r="EX27" i="60" s="1"/>
  <c r="EX28" i="60" s="1"/>
  <c r="EX29" i="60" s="1"/>
  <c r="EX30" i="60" s="1"/>
  <c r="EX31" i="60" s="1"/>
  <c r="EX32" i="60" s="1"/>
  <c r="EX33" i="60" s="1"/>
  <c r="EX34" i="60" s="1"/>
  <c r="EX35" i="60" s="1"/>
  <c r="EX36" i="60" s="1"/>
  <c r="EX37" i="60" s="1"/>
  <c r="EX38" i="60" s="1"/>
  <c r="EX39" i="60" s="1"/>
  <c r="EX40" i="60" s="1"/>
  <c r="EX41" i="60" s="1"/>
  <c r="EX42" i="60" s="1"/>
  <c r="EX43" i="60" s="1"/>
  <c r="EX44" i="60" s="1"/>
  <c r="EX45" i="60" s="1"/>
  <c r="EX46" i="60" s="1"/>
  <c r="EX47" i="60" s="1"/>
  <c r="EX48" i="60" s="1"/>
  <c r="EX49" i="60" s="1"/>
  <c r="EX50" i="60" s="1"/>
  <c r="EX51" i="60" s="1"/>
  <c r="EX52" i="60" s="1"/>
  <c r="EX53" i="60" s="1"/>
  <c r="EX54" i="60" s="1"/>
  <c r="EX55" i="60" s="1"/>
  <c r="EX56" i="60" s="1"/>
  <c r="EX57" i="60" s="1"/>
  <c r="EX58" i="60" s="1"/>
  <c r="EX59" i="60" s="1"/>
  <c r="EX60" i="60" s="1"/>
  <c r="EX61" i="60" s="1"/>
  <c r="EX62" i="60" s="1"/>
  <c r="EX63" i="60" s="1"/>
  <c r="EX64" i="60" s="1"/>
  <c r="EX65" i="60" s="1"/>
  <c r="EX66" i="60" s="1"/>
  <c r="EX67" i="60" s="1"/>
  <c r="EX68" i="60" s="1"/>
  <c r="EX69" i="60" s="1"/>
  <c r="EX70" i="60" s="1"/>
  <c r="EX71" i="60" s="1"/>
  <c r="EX72" i="60" s="1"/>
  <c r="EX73" i="60" s="1"/>
  <c r="EX74" i="60" s="1"/>
  <c r="EX75" i="60" s="1"/>
  <c r="EX76" i="60" s="1"/>
  <c r="EX77" i="60" s="1"/>
  <c r="EX78" i="60" s="1"/>
  <c r="EX79" i="60" s="1"/>
  <c r="EX80" i="60" s="1"/>
  <c r="EX81" i="60" s="1"/>
  <c r="EX82" i="60" s="1"/>
  <c r="EX83" i="60" s="1"/>
  <c r="EX84" i="60" s="1"/>
  <c r="EX85" i="60" s="1"/>
  <c r="S371" i="50"/>
  <c r="DP32" i="60"/>
  <c r="DP33" i="60" s="1"/>
  <c r="DP34" i="60" s="1"/>
  <c r="DP35" i="60" s="1"/>
  <c r="DP36" i="60" s="1"/>
  <c r="DP37" i="60" s="1"/>
  <c r="DP38" i="60" s="1"/>
  <c r="DP39" i="60" s="1"/>
  <c r="DP40" i="60" s="1"/>
  <c r="DP41" i="60" s="1"/>
  <c r="DP42" i="60" s="1"/>
  <c r="DP43" i="60" s="1"/>
  <c r="DP44" i="60" s="1"/>
  <c r="DP45" i="60" s="1"/>
  <c r="DP46" i="60" s="1"/>
  <c r="DP47" i="60" s="1"/>
  <c r="DP48" i="60" s="1"/>
  <c r="DP49" i="60" s="1"/>
  <c r="DP50" i="60" s="1"/>
  <c r="DP51" i="60" s="1"/>
  <c r="DP52" i="60" s="1"/>
  <c r="DP53" i="60" s="1"/>
  <c r="DP54" i="60" s="1"/>
  <c r="DP55" i="60" s="1"/>
  <c r="DP56" i="60" s="1"/>
  <c r="DP57" i="60" s="1"/>
  <c r="DP58" i="60" s="1"/>
  <c r="DP59" i="60" s="1"/>
  <c r="DP60" i="60" s="1"/>
  <c r="DP61" i="60" s="1"/>
  <c r="DP62" i="60" s="1"/>
  <c r="DP63" i="60" s="1"/>
  <c r="DP64" i="60" s="1"/>
  <c r="DP65" i="60" s="1"/>
  <c r="DP66" i="60" s="1"/>
  <c r="DP67" i="60" s="1"/>
  <c r="DP68" i="60" s="1"/>
  <c r="DP69" i="60" s="1"/>
  <c r="DP70" i="60" s="1"/>
  <c r="DP71" i="60" s="1"/>
  <c r="DP72" i="60" s="1"/>
  <c r="DP73" i="60" s="1"/>
  <c r="DP74" i="60" s="1"/>
  <c r="DP75" i="60" s="1"/>
  <c r="DP76" i="60" s="1"/>
  <c r="DP77" i="60" s="1"/>
  <c r="DP78" i="60" s="1"/>
  <c r="DP79" i="60" s="1"/>
  <c r="DP80" i="60" s="1"/>
  <c r="DP81" i="60" s="1"/>
  <c r="DP82" i="60" s="1"/>
  <c r="DP83" i="60" s="1"/>
  <c r="DP84" i="60" s="1"/>
  <c r="DP85" i="60" s="1"/>
  <c r="DO14" i="60"/>
  <c r="DO15" i="60" s="1"/>
  <c r="DO16" i="60" s="1"/>
  <c r="DO17" i="60" s="1"/>
  <c r="DO18" i="60" s="1"/>
  <c r="DO19" i="60" s="1"/>
  <c r="DO20" i="60" s="1"/>
  <c r="DO21" i="60" s="1"/>
  <c r="DO22" i="60" s="1"/>
  <c r="DO23" i="60" s="1"/>
  <c r="DO24" i="60" s="1"/>
  <c r="DO25" i="60" s="1"/>
  <c r="DO26" i="60" s="1"/>
  <c r="DO27" i="60" s="1"/>
  <c r="DO28" i="60" s="1"/>
  <c r="DO29" i="60" s="1"/>
  <c r="DO30" i="60" s="1"/>
  <c r="DO31" i="60" s="1"/>
  <c r="DO32" i="60" s="1"/>
  <c r="DO33" i="60" s="1"/>
  <c r="DO34" i="60" s="1"/>
  <c r="DO35" i="60" s="1"/>
  <c r="DO36" i="60" s="1"/>
  <c r="DO37" i="60" s="1"/>
  <c r="DO38" i="60" s="1"/>
  <c r="DO39" i="60" s="1"/>
  <c r="DO40" i="60" s="1"/>
  <c r="DO41" i="60" s="1"/>
  <c r="DO42" i="60" s="1"/>
  <c r="DO43" i="60" s="1"/>
  <c r="DO44" i="60" s="1"/>
  <c r="DO45" i="60" s="1"/>
  <c r="DO46" i="60" s="1"/>
  <c r="DO47" i="60" s="1"/>
  <c r="DO48" i="60" s="1"/>
  <c r="DO49" i="60" s="1"/>
  <c r="DO50" i="60" s="1"/>
  <c r="DO51" i="60" s="1"/>
  <c r="DO52" i="60" s="1"/>
  <c r="DO53" i="60" s="1"/>
  <c r="DO54" i="60" s="1"/>
  <c r="DO55" i="60" s="1"/>
  <c r="DO56" i="60" s="1"/>
  <c r="DO57" i="60" s="1"/>
  <c r="DO58" i="60" s="1"/>
  <c r="DO59" i="60" s="1"/>
  <c r="DO60" i="60" s="1"/>
  <c r="DO61" i="60" s="1"/>
  <c r="DO62" i="60" s="1"/>
  <c r="DO63" i="60" s="1"/>
  <c r="DO64" i="60" s="1"/>
  <c r="DO65" i="60" s="1"/>
  <c r="DO66" i="60" s="1"/>
  <c r="DO67" i="60" s="1"/>
  <c r="DO68" i="60" s="1"/>
  <c r="DO69" i="60" s="1"/>
  <c r="DO70" i="60" s="1"/>
  <c r="DO71" i="60" s="1"/>
  <c r="DO72" i="60" s="1"/>
  <c r="DO73" i="60" s="1"/>
  <c r="DO74" i="60" s="1"/>
  <c r="DO75" i="60" s="1"/>
  <c r="DO76" i="60" s="1"/>
  <c r="DO77" i="60" s="1"/>
  <c r="DO78" i="60" s="1"/>
  <c r="DO79" i="60" s="1"/>
  <c r="DO80" i="60" s="1"/>
  <c r="DO81" i="60" s="1"/>
  <c r="DO82" i="60" s="1"/>
  <c r="DO83" i="60" s="1"/>
  <c r="DO84" i="60" s="1"/>
  <c r="DO85" i="60" s="1"/>
  <c r="Z667" i="52"/>
  <c r="P667" i="52"/>
  <c r="Z489" i="52"/>
  <c r="P489" i="52"/>
  <c r="DO112" i="60"/>
  <c r="DO113" i="60" s="1"/>
  <c r="DO114" i="60" s="1"/>
  <c r="DO115" i="60" s="1"/>
  <c r="DO116" i="60" s="1"/>
  <c r="DO117" i="60" s="1"/>
  <c r="DO118" i="60" s="1"/>
  <c r="DO119" i="60" s="1"/>
  <c r="DO120" i="60" s="1"/>
  <c r="DW111" i="60"/>
  <c r="DW112" i="60"/>
  <c r="DW113" i="60" s="1"/>
  <c r="DW114" i="60"/>
  <c r="DW115" i="60" s="1"/>
  <c r="DW116" i="60" s="1"/>
  <c r="DW117" i="60" s="1"/>
  <c r="DW118" i="60" s="1"/>
  <c r="DW119" i="60" s="1"/>
  <c r="DW120" i="60" s="1"/>
  <c r="Z524" i="52"/>
  <c r="P524" i="52"/>
  <c r="P754" i="52"/>
  <c r="Z754" i="52"/>
  <c r="DJ112" i="60"/>
  <c r="DJ113" i="60" s="1"/>
  <c r="DJ114" i="60" s="1"/>
  <c r="DJ115" i="60" s="1"/>
  <c r="DJ116" i="60" s="1"/>
  <c r="DJ117" i="60" s="1"/>
  <c r="DJ118" i="60" s="1"/>
  <c r="DJ119" i="60" s="1"/>
  <c r="DJ120" i="60" s="1"/>
  <c r="DR111" i="60"/>
  <c r="DR112" i="60" s="1"/>
  <c r="DR113" i="60" s="1"/>
  <c r="DR114" i="60" s="1"/>
  <c r="DR115" i="60" s="1"/>
  <c r="DR116" i="60" s="1"/>
  <c r="DR117" i="60" s="1"/>
  <c r="DR118" i="60" s="1"/>
  <c r="DR119" i="60" s="1"/>
  <c r="DR120" i="60" s="1"/>
  <c r="C387" i="52"/>
  <c r="Z678" i="52"/>
  <c r="P701" i="52"/>
  <c r="Z597" i="52"/>
  <c r="P597" i="52"/>
  <c r="W172" i="50"/>
  <c r="W171" i="50"/>
  <c r="W168" i="50"/>
  <c r="C295" i="52"/>
  <c r="C366" i="52"/>
  <c r="C438" i="52"/>
  <c r="B68" i="60"/>
  <c r="B62" i="60"/>
  <c r="E62" i="60" s="1"/>
  <c r="B39" i="60"/>
  <c r="B17" i="60"/>
  <c r="AD110" i="60"/>
  <c r="AZ110" i="60"/>
  <c r="DL112" i="60"/>
  <c r="DL113" i="60" s="1"/>
  <c r="DL114" i="60" s="1"/>
  <c r="DL115" i="60" s="1"/>
  <c r="DL116" i="60" s="1"/>
  <c r="DL117" i="60"/>
  <c r="DL118" i="60" s="1"/>
  <c r="DL119" i="60" s="1"/>
  <c r="DL120" i="60" s="1"/>
  <c r="DT111" i="60"/>
  <c r="DT112" i="60" s="1"/>
  <c r="DT113" i="60" s="1"/>
  <c r="DT114" i="60" s="1"/>
  <c r="DT115" i="60" s="1"/>
  <c r="DT116" i="60" s="1"/>
  <c r="DT117" i="60" s="1"/>
  <c r="DT118" i="60" s="1"/>
  <c r="DT119" i="60" s="1"/>
  <c r="DT120" i="60" s="1"/>
  <c r="P298" i="52"/>
  <c r="Q394" i="52"/>
  <c r="S394" i="52"/>
  <c r="C466" i="52"/>
  <c r="P269" i="52"/>
  <c r="P295" i="52"/>
  <c r="P780" i="52"/>
  <c r="P291" i="52"/>
  <c r="P286" i="52"/>
  <c r="EJ14" i="60"/>
  <c r="EJ15" i="60" s="1"/>
  <c r="EJ16" i="60" s="1"/>
  <c r="EJ17" i="60" s="1"/>
  <c r="EJ18" i="60" s="1"/>
  <c r="EJ19" i="60" s="1"/>
  <c r="EJ20" i="60" s="1"/>
  <c r="EJ21" i="60" s="1"/>
  <c r="EJ22" i="60" s="1"/>
  <c r="EJ23" i="60" s="1"/>
  <c r="EJ24" i="60" s="1"/>
  <c r="EJ25" i="60" s="1"/>
  <c r="EJ26" i="60" s="1"/>
  <c r="EJ27" i="60" s="1"/>
  <c r="EJ28" i="60" s="1"/>
  <c r="EJ29" i="60" s="1"/>
  <c r="EJ30" i="60" s="1"/>
  <c r="EJ31" i="60" s="1"/>
  <c r="EJ32" i="60" s="1"/>
  <c r="EJ33" i="60" s="1"/>
  <c r="EJ34" i="60" s="1"/>
  <c r="EJ35" i="60" s="1"/>
  <c r="EJ36" i="60" s="1"/>
  <c r="EJ37" i="60" s="1"/>
  <c r="EJ38" i="60" s="1"/>
  <c r="EJ39" i="60" s="1"/>
  <c r="EJ40" i="60" s="1"/>
  <c r="EJ41" i="60" s="1"/>
  <c r="EJ42" i="60" s="1"/>
  <c r="EJ43" i="60" s="1"/>
  <c r="EJ44" i="60" s="1"/>
  <c r="EJ45" i="60" s="1"/>
  <c r="EJ46" i="60" s="1"/>
  <c r="EJ47" i="60" s="1"/>
  <c r="EJ48" i="60" s="1"/>
  <c r="EJ49" i="60" s="1"/>
  <c r="EJ50" i="60" s="1"/>
  <c r="EJ51" i="60" s="1"/>
  <c r="EJ52" i="60" s="1"/>
  <c r="EJ53" i="60" s="1"/>
  <c r="EJ54" i="60" s="1"/>
  <c r="EJ55" i="60" s="1"/>
  <c r="EJ56" i="60" s="1"/>
  <c r="EJ57" i="60" s="1"/>
  <c r="EJ58" i="60" s="1"/>
  <c r="EJ59" i="60" s="1"/>
  <c r="EJ60" i="60" s="1"/>
  <c r="EJ61" i="60" s="1"/>
  <c r="EJ62" i="60" s="1"/>
  <c r="EJ63" i="60" s="1"/>
  <c r="EJ64" i="60" s="1"/>
  <c r="EJ65" i="60" s="1"/>
  <c r="EJ66" i="60" s="1"/>
  <c r="EJ67" i="60" s="1"/>
  <c r="EJ68" i="60" s="1"/>
  <c r="EJ69" i="60" s="1"/>
  <c r="EJ70" i="60" s="1"/>
  <c r="EJ71" i="60" s="1"/>
  <c r="EJ72" i="60" s="1"/>
  <c r="EJ73" i="60" s="1"/>
  <c r="EJ74" i="60" s="1"/>
  <c r="EJ75" i="60" s="1"/>
  <c r="EJ76" i="60" s="1"/>
  <c r="EJ77" i="60" s="1"/>
  <c r="EJ78" i="60" s="1"/>
  <c r="EJ79" i="60" s="1"/>
  <c r="EJ80" i="60" s="1"/>
  <c r="EJ81" i="60" s="1"/>
  <c r="EJ82" i="60" s="1"/>
  <c r="EJ83" i="60" s="1"/>
  <c r="EJ84" i="60" s="1"/>
  <c r="EJ85" i="60" s="1"/>
  <c r="DL14" i="60"/>
  <c r="DL15" i="60" s="1"/>
  <c r="DL16" i="60" s="1"/>
  <c r="DL17" i="60" s="1"/>
  <c r="DL18" i="60" s="1"/>
  <c r="DL19" i="60" s="1"/>
  <c r="DL20" i="60" s="1"/>
  <c r="DL21" i="60" s="1"/>
  <c r="DL22" i="60" s="1"/>
  <c r="DL23" i="60" s="1"/>
  <c r="DL24" i="60" s="1"/>
  <c r="DL25" i="60" s="1"/>
  <c r="DL26" i="60" s="1"/>
  <c r="DL27" i="60" s="1"/>
  <c r="DL28" i="60" s="1"/>
  <c r="DL29" i="60" s="1"/>
  <c r="DL30" i="60" s="1"/>
  <c r="DL31" i="60" s="1"/>
  <c r="DL32" i="60" s="1"/>
  <c r="DL33" i="60" s="1"/>
  <c r="DL34" i="60" s="1"/>
  <c r="DL35" i="60" s="1"/>
  <c r="DL36" i="60" s="1"/>
  <c r="DL37" i="60" s="1"/>
  <c r="DL38" i="60" s="1"/>
  <c r="DL39" i="60" s="1"/>
  <c r="DL40" i="60" s="1"/>
  <c r="DL41" i="60" s="1"/>
  <c r="DL42" i="60" s="1"/>
  <c r="DL43" i="60" s="1"/>
  <c r="DL44" i="60" s="1"/>
  <c r="DL45" i="60" s="1"/>
  <c r="DL46" i="60" s="1"/>
  <c r="DL47" i="60" s="1"/>
  <c r="DL48" i="60" s="1"/>
  <c r="DL49" i="60" s="1"/>
  <c r="DL50" i="60" s="1"/>
  <c r="DL51" i="60" s="1"/>
  <c r="DL52" i="60" s="1"/>
  <c r="DL53" i="60" s="1"/>
  <c r="DL54" i="60" s="1"/>
  <c r="DL55" i="60" s="1"/>
  <c r="DL56" i="60" s="1"/>
  <c r="DL57" i="60" s="1"/>
  <c r="DL58" i="60" s="1"/>
  <c r="DL59" i="60" s="1"/>
  <c r="DL60" i="60" s="1"/>
  <c r="DL61" i="60" s="1"/>
  <c r="DL62" i="60" s="1"/>
  <c r="DL63" i="60" s="1"/>
  <c r="DL64" i="60" s="1"/>
  <c r="DL65" i="60" s="1"/>
  <c r="DL66" i="60" s="1"/>
  <c r="DL67" i="60" s="1"/>
  <c r="DL68" i="60" s="1"/>
  <c r="DL69" i="60" s="1"/>
  <c r="DL70" i="60" s="1"/>
  <c r="DL71" i="60" s="1"/>
  <c r="DL72" i="60" s="1"/>
  <c r="DL73" i="60" s="1"/>
  <c r="DL74" i="60" s="1"/>
  <c r="DL75" i="60" s="1"/>
  <c r="DL76" i="60" s="1"/>
  <c r="DL77" i="60" s="1"/>
  <c r="DL78" i="60" s="1"/>
  <c r="DL79" i="60" s="1"/>
  <c r="DL80" i="60" s="1"/>
  <c r="DL81" i="60" s="1"/>
  <c r="DL82" i="60" s="1"/>
  <c r="DL83" i="60" s="1"/>
  <c r="DL84" i="60" s="1"/>
  <c r="DL85" i="60" s="1"/>
  <c r="C599" i="52"/>
  <c r="C671" i="52" s="1"/>
  <c r="C743" i="52" s="1"/>
  <c r="C774" i="52"/>
  <c r="C775" i="52" s="1"/>
  <c r="P700" i="52"/>
  <c r="P674" i="52"/>
  <c r="P348" i="52"/>
  <c r="Z348" i="52"/>
  <c r="Z685" i="52"/>
  <c r="S638" i="50"/>
  <c r="Z525" i="52"/>
  <c r="P525" i="52"/>
  <c r="C279" i="52"/>
  <c r="Q279" i="52"/>
  <c r="S279" i="52"/>
  <c r="Q278" i="52"/>
  <c r="S278" i="52" s="1"/>
  <c r="C381" i="52"/>
  <c r="Q381" i="52"/>
  <c r="S381" i="52" s="1"/>
  <c r="C310" i="52"/>
  <c r="Z679" i="52"/>
  <c r="Q181" i="35"/>
  <c r="Q182" i="35" s="1"/>
  <c r="Q183" i="35" s="1"/>
  <c r="Q184" i="35" s="1"/>
  <c r="Q185" i="35" s="1"/>
  <c r="Q186" i="35" s="1"/>
  <c r="Q187" i="35" s="1"/>
  <c r="Q188" i="35" s="1"/>
  <c r="Q189" i="35" s="1"/>
  <c r="Q190" i="35" s="1"/>
  <c r="J73" i="38"/>
  <c r="C353" i="52"/>
  <c r="C425" i="52" s="1"/>
  <c r="C497" i="52" s="1"/>
  <c r="P737" i="52"/>
  <c r="P474" i="52"/>
  <c r="W58" i="38"/>
  <c r="K8" i="62"/>
  <c r="C378" i="52"/>
  <c r="C450" i="52" s="1"/>
  <c r="C307" i="52"/>
  <c r="C308" i="52" s="1"/>
  <c r="Q308" i="52" s="1"/>
  <c r="S308" i="52" s="1"/>
  <c r="Q306" i="52"/>
  <c r="S306" i="52"/>
  <c r="K8" i="35"/>
  <c r="P266" i="52"/>
  <c r="P290" i="52"/>
  <c r="K183" i="38"/>
  <c r="Q143" i="35"/>
  <c r="Q144" i="35" s="1"/>
  <c r="Q145" i="35" s="1"/>
  <c r="Q146" i="35" s="1"/>
  <c r="Q147" i="35" s="1"/>
  <c r="Q148" i="35" s="1"/>
  <c r="Q149" i="35" s="1"/>
  <c r="Q150" i="35" s="1"/>
  <c r="Q151" i="35" s="1"/>
  <c r="Q155" i="35"/>
  <c r="Q168" i="35" s="1"/>
  <c r="Q169" i="35" s="1"/>
  <c r="Q170" i="35" s="1"/>
  <c r="Q171" i="35"/>
  <c r="Q172" i="35" s="1"/>
  <c r="Q173" i="35" s="1"/>
  <c r="Q174" i="35" s="1"/>
  <c r="Q175" i="35" s="1"/>
  <c r="Q176" i="35" s="1"/>
  <c r="Q177" i="35" s="1"/>
  <c r="D607" i="52"/>
  <c r="D679" i="52" s="1"/>
  <c r="D751" i="52" s="1"/>
  <c r="P384" i="52"/>
  <c r="H218" i="46"/>
  <c r="Q220" i="46"/>
  <c r="U218" i="46"/>
  <c r="P450" i="52"/>
  <c r="P442" i="52"/>
  <c r="P698" i="52"/>
  <c r="Z698" i="52"/>
  <c r="P354" i="52"/>
  <c r="Z110" i="60"/>
  <c r="AH110" i="60"/>
  <c r="AP110" i="60"/>
  <c r="C395" i="52"/>
  <c r="C467" i="52" s="1"/>
  <c r="Q467" i="52" s="1"/>
  <c r="C324" i="52"/>
  <c r="C396" i="52"/>
  <c r="C468" i="52" s="1"/>
  <c r="Q323" i="52"/>
  <c r="S323" i="52" s="1"/>
  <c r="C391" i="52"/>
  <c r="Q319" i="52"/>
  <c r="S319" i="52"/>
  <c r="P536" i="52"/>
  <c r="Z586" i="52"/>
  <c r="Z417" i="52"/>
  <c r="W107" i="46"/>
  <c r="Q334" i="46"/>
  <c r="C276" i="46"/>
  <c r="D276" i="46"/>
  <c r="AA110" i="60"/>
  <c r="P287" i="52"/>
  <c r="P324" i="52"/>
  <c r="P292" i="52"/>
  <c r="H168" i="46"/>
  <c r="V5" i="60"/>
  <c r="AB73" i="38"/>
  <c r="Z497" i="52"/>
  <c r="P497" i="52"/>
  <c r="Q293" i="52"/>
  <c r="S293" i="52" s="1"/>
  <c r="D542" i="52"/>
  <c r="Q470" i="52"/>
  <c r="S470" i="52"/>
  <c r="P650" i="52"/>
  <c r="Z455" i="52"/>
  <c r="P658" i="52"/>
  <c r="Z658" i="52"/>
  <c r="Z486" i="52"/>
  <c r="P486" i="52"/>
  <c r="C282" i="52"/>
  <c r="Q282" i="52" s="1"/>
  <c r="S282" i="52" s="1"/>
  <c r="Q281" i="52"/>
  <c r="S281" i="52" s="1"/>
  <c r="P705" i="52"/>
  <c r="Z705" i="52"/>
  <c r="Z735" i="52"/>
  <c r="P668" i="52"/>
  <c r="Z668" i="52"/>
  <c r="P646" i="52"/>
  <c r="Z433" i="52"/>
  <c r="P433" i="52"/>
  <c r="P697" i="52"/>
  <c r="Z756" i="52"/>
  <c r="P756" i="52"/>
  <c r="Z649" i="52"/>
  <c r="P649" i="52"/>
  <c r="C458" i="52"/>
  <c r="C530" i="52" s="1"/>
  <c r="C602" i="52" s="1"/>
  <c r="C674" i="52" s="1"/>
  <c r="C746" i="52" s="1"/>
  <c r="Z419" i="52"/>
  <c r="P419" i="52"/>
  <c r="P653" i="52"/>
  <c r="P639" i="52"/>
  <c r="P507" i="52"/>
  <c r="W110" i="60"/>
  <c r="N110" i="60"/>
  <c r="K110" i="60"/>
  <c r="Q110" i="60"/>
  <c r="Q312" i="52"/>
  <c r="S312" i="52" s="1"/>
  <c r="C350" i="52"/>
  <c r="Q350" i="52" s="1"/>
  <c r="S350" i="52" s="1"/>
  <c r="C422" i="52"/>
  <c r="C494" i="52" s="1"/>
  <c r="S231" i="50"/>
  <c r="J231" i="50"/>
  <c r="S143" i="50"/>
  <c r="J143" i="50"/>
  <c r="S92" i="50"/>
  <c r="I92" i="50"/>
  <c r="S142" i="50"/>
  <c r="J142" i="50"/>
  <c r="S138" i="50"/>
  <c r="J138" i="50"/>
  <c r="E68" i="60"/>
  <c r="C231" i="52"/>
  <c r="C442" i="52"/>
  <c r="D375" i="52"/>
  <c r="Q303" i="52"/>
  <c r="S303" i="52" s="1"/>
  <c r="Z605" i="52"/>
  <c r="M4" i="60"/>
  <c r="P477" i="52"/>
  <c r="Z477" i="52"/>
  <c r="Z365" i="52"/>
  <c r="Z725" i="52"/>
  <c r="P725" i="52"/>
  <c r="P665" i="52"/>
  <c r="C376" i="52"/>
  <c r="Q304" i="52"/>
  <c r="S304" i="52" s="1"/>
  <c r="Z580" i="52"/>
  <c r="C519" i="52"/>
  <c r="C591" i="52" s="1"/>
  <c r="C663" i="52" s="1"/>
  <c r="C735" i="52"/>
  <c r="P620" i="52"/>
  <c r="P534" i="52"/>
  <c r="Z534" i="52"/>
  <c r="Z688" i="52"/>
  <c r="P688" i="52"/>
  <c r="Z651" i="52"/>
  <c r="P400" i="52"/>
  <c r="P543" i="52"/>
  <c r="P316" i="52"/>
  <c r="P745" i="52"/>
  <c r="P483" i="52"/>
  <c r="P501" i="52"/>
  <c r="Z553" i="52"/>
  <c r="Z588" i="52"/>
  <c r="Z485" i="52"/>
  <c r="G82" i="43"/>
  <c r="G499" i="52"/>
  <c r="G447" i="52"/>
  <c r="Z447" i="52" s="1"/>
  <c r="P447" i="52"/>
  <c r="Z443" i="52"/>
  <c r="E82" i="43"/>
  <c r="Z424" i="52"/>
  <c r="H351" i="52"/>
  <c r="O779" i="52"/>
  <c r="Z364" i="52"/>
  <c r="Z285" i="52"/>
  <c r="Z390" i="52"/>
  <c r="P289" i="52"/>
  <c r="Q294" i="52"/>
  <c r="S294" i="52"/>
  <c r="P311" i="52"/>
  <c r="P338" i="52"/>
  <c r="P339" i="52"/>
  <c r="P342" i="52"/>
  <c r="P343" i="52"/>
  <c r="P349" i="52"/>
  <c r="P350" i="52"/>
  <c r="P352" i="52"/>
  <c r="P353" i="52"/>
  <c r="P355" i="52"/>
  <c r="P357" i="52"/>
  <c r="P358" i="52"/>
  <c r="P361" i="52"/>
  <c r="P363" i="52"/>
  <c r="P367" i="52"/>
  <c r="P368" i="52"/>
  <c r="P370" i="52"/>
  <c r="P373" i="52"/>
  <c r="P374" i="52"/>
  <c r="P378" i="52"/>
  <c r="P379" i="52"/>
  <c r="P380" i="52"/>
  <c r="P382" i="52"/>
  <c r="P385" i="52"/>
  <c r="P386" i="52"/>
  <c r="P389" i="52"/>
  <c r="P392" i="52"/>
  <c r="P396" i="52"/>
  <c r="P411" i="52"/>
  <c r="P413" i="52"/>
  <c r="P414" i="52"/>
  <c r="P420" i="52"/>
  <c r="P421" i="52"/>
  <c r="P423" i="52"/>
  <c r="P426" i="52"/>
  <c r="P428" i="52"/>
  <c r="P429" i="52"/>
  <c r="P432" i="52"/>
  <c r="P434" i="52"/>
  <c r="P435" i="52"/>
  <c r="P443" i="52"/>
  <c r="P444" i="52"/>
  <c r="P448" i="52"/>
  <c r="P451" i="52"/>
  <c r="P452" i="52"/>
  <c r="P457" i="52"/>
  <c r="P458" i="52"/>
  <c r="P459" i="52"/>
  <c r="P462" i="52"/>
  <c r="P463" i="52"/>
  <c r="P465" i="52"/>
  <c r="P467" i="52"/>
  <c r="P282" i="52"/>
  <c r="P317" i="52"/>
  <c r="P778" i="52"/>
  <c r="P318" i="52"/>
  <c r="Q378" i="52"/>
  <c r="S378" i="52"/>
  <c r="C367" i="52"/>
  <c r="Q367" i="52" s="1"/>
  <c r="O110" i="60"/>
  <c r="U110" i="60"/>
  <c r="R110" i="60"/>
  <c r="X110" i="60"/>
  <c r="Z514" i="52"/>
  <c r="L110" i="60"/>
  <c r="Z670" i="52"/>
  <c r="S637" i="50"/>
  <c r="Z714" i="52"/>
  <c r="P714" i="52"/>
  <c r="S161" i="50"/>
  <c r="Q395" i="52"/>
  <c r="S395" i="52" s="1"/>
  <c r="P682" i="52"/>
  <c r="Z720" i="52"/>
  <c r="P720" i="52"/>
  <c r="F67" i="62"/>
  <c r="F782" i="50"/>
  <c r="F86" i="28"/>
  <c r="F500" i="58"/>
  <c r="F317" i="44"/>
  <c r="F116" i="48"/>
  <c r="F54" i="55"/>
  <c r="F285" i="43"/>
  <c r="F65" i="37"/>
  <c r="D118" i="10"/>
  <c r="D455" i="52"/>
  <c r="Q383" i="52"/>
  <c r="S383" i="52"/>
  <c r="Q318" i="52"/>
  <c r="S318" i="52" s="1"/>
  <c r="D390" i="52"/>
  <c r="D462" i="52"/>
  <c r="C460" i="52"/>
  <c r="W170" i="50"/>
  <c r="W169" i="50"/>
  <c r="D346" i="52"/>
  <c r="D418" i="52" s="1"/>
  <c r="D490" i="52" s="1"/>
  <c r="Q274" i="52"/>
  <c r="S274" i="52" s="1"/>
  <c r="Q283" i="52"/>
  <c r="S283" i="52" s="1"/>
  <c r="C287" i="52"/>
  <c r="C359" i="52" s="1"/>
  <c r="C355" i="52"/>
  <c r="Z643" i="52"/>
  <c r="Z687" i="52"/>
  <c r="P687" i="52"/>
  <c r="P390" i="52"/>
  <c r="Z594" i="52"/>
  <c r="P594" i="52"/>
  <c r="P322" i="52"/>
  <c r="P314" i="52"/>
  <c r="P547" i="52"/>
  <c r="P283" i="52"/>
  <c r="P294" i="52"/>
  <c r="P325" i="52"/>
  <c r="C372" i="52"/>
  <c r="C444" i="52" s="1"/>
  <c r="P304" i="52"/>
  <c r="Q315" i="52"/>
  <c r="S315" i="52" s="1"/>
  <c r="P265" i="52"/>
  <c r="P305" i="52"/>
  <c r="C614" i="52"/>
  <c r="C686" i="52"/>
  <c r="D464" i="52"/>
  <c r="Q392" i="52"/>
  <c r="S392" i="52" s="1"/>
  <c r="C601" i="52"/>
  <c r="C673" i="52" s="1"/>
  <c r="C745" i="52" s="1"/>
  <c r="D610" i="52"/>
  <c r="D682" i="52" s="1"/>
  <c r="D754" i="52" s="1"/>
  <c r="M230" i="38"/>
  <c r="S767" i="50"/>
  <c r="C421" i="52"/>
  <c r="Q349" i="52"/>
  <c r="S349" i="52" s="1"/>
  <c r="C373" i="52"/>
  <c r="C445" i="52" s="1"/>
  <c r="C517" i="52" s="1"/>
  <c r="P621" i="52"/>
  <c r="Z621" i="52"/>
  <c r="DU111" i="60"/>
  <c r="DU112" i="60" s="1"/>
  <c r="DU113" i="60" s="1"/>
  <c r="DU114" i="60" s="1"/>
  <c r="DU115" i="60" s="1"/>
  <c r="DU116" i="60" s="1"/>
  <c r="DU117" i="60" s="1"/>
  <c r="DU118" i="60" s="1"/>
  <c r="DU119" i="60" s="1"/>
  <c r="DU120" i="60" s="1"/>
  <c r="DM112" i="60"/>
  <c r="DM113" i="60"/>
  <c r="DM114" i="60" s="1"/>
  <c r="DM115" i="60" s="1"/>
  <c r="DM116" i="60"/>
  <c r="DM117" i="60" s="1"/>
  <c r="DM118" i="60" s="1"/>
  <c r="DM119" i="60" s="1"/>
  <c r="DM120" i="60" s="1"/>
  <c r="P473" i="52"/>
  <c r="S699" i="50"/>
  <c r="P615" i="52"/>
  <c r="P672" i="52"/>
  <c r="Z672" i="52"/>
  <c r="AX110" i="60"/>
  <c r="AB110" i="60"/>
  <c r="C266" i="52"/>
  <c r="Q265" i="52"/>
  <c r="G280" i="38" s="1"/>
  <c r="I280" i="38" s="1"/>
  <c r="C337" i="52"/>
  <c r="B347" i="52"/>
  <c r="B419" i="52"/>
  <c r="B491" i="52" s="1"/>
  <c r="B563" i="52" s="1"/>
  <c r="B635" i="52"/>
  <c r="B707" i="52" s="1"/>
  <c r="B276" i="52"/>
  <c r="B348" i="52"/>
  <c r="B420" i="52"/>
  <c r="B492" i="52" s="1"/>
  <c r="B564" i="52" s="1"/>
  <c r="B636" i="52" s="1"/>
  <c r="B708" i="52" s="1"/>
  <c r="D457" i="52"/>
  <c r="Q385" i="52"/>
  <c r="S385" i="52" s="1"/>
  <c r="Z763" i="52"/>
  <c r="P763" i="52"/>
  <c r="Z482" i="52"/>
  <c r="P512" i="52"/>
  <c r="F326" i="52"/>
  <c r="F398" i="52"/>
  <c r="F470" i="52"/>
  <c r="F542" i="52" s="1"/>
  <c r="F614" i="52" s="1"/>
  <c r="F686" i="52" s="1"/>
  <c r="F758" i="52" s="1"/>
  <c r="F321" i="52"/>
  <c r="F393" i="52" s="1"/>
  <c r="F465" i="52" s="1"/>
  <c r="F537" i="52" s="1"/>
  <c r="F609" i="52" s="1"/>
  <c r="F681" i="52" s="1"/>
  <c r="F753" i="52" s="1"/>
  <c r="F770" i="52"/>
  <c r="F323" i="52"/>
  <c r="F395" i="52" s="1"/>
  <c r="F467" i="52" s="1"/>
  <c r="F539" i="52" s="1"/>
  <c r="F611" i="52" s="1"/>
  <c r="F683" i="52" s="1"/>
  <c r="F755" i="52" s="1"/>
  <c r="F293" i="52"/>
  <c r="F365" i="52" s="1"/>
  <c r="F437" i="52" s="1"/>
  <c r="F509" i="52" s="1"/>
  <c r="F581" i="52" s="1"/>
  <c r="F653" i="52" s="1"/>
  <c r="F725" i="52" s="1"/>
  <c r="F315" i="52"/>
  <c r="F387" i="52" s="1"/>
  <c r="F459" i="52" s="1"/>
  <c r="F531" i="52" s="1"/>
  <c r="F603" i="52" s="1"/>
  <c r="F675" i="52" s="1"/>
  <c r="F747" i="52" s="1"/>
  <c r="F269" i="52"/>
  <c r="F341" i="52"/>
  <c r="F413" i="52" s="1"/>
  <c r="F485" i="52" s="1"/>
  <c r="F557" i="52" s="1"/>
  <c r="F629" i="52" s="1"/>
  <c r="F701" i="52" s="1"/>
  <c r="D218" i="46"/>
  <c r="D135" i="46"/>
  <c r="DP112" i="60"/>
  <c r="DP113" i="60"/>
  <c r="DP114" i="60" s="1"/>
  <c r="DP115" i="60" s="1"/>
  <c r="DP116" i="60"/>
  <c r="DP117" i="60" s="1"/>
  <c r="DP118" i="60" s="1"/>
  <c r="DP119" i="60" s="1"/>
  <c r="DP120" i="60" s="1"/>
  <c r="DX111" i="60"/>
  <c r="DX112" i="60" s="1"/>
  <c r="DX113" i="60" s="1"/>
  <c r="DX114" i="60"/>
  <c r="DX115" i="60" s="1"/>
  <c r="DX116" i="60" s="1"/>
  <c r="DX117" i="60" s="1"/>
  <c r="DX118" i="60" s="1"/>
  <c r="DX119" i="60" s="1"/>
  <c r="DX120" i="60" s="1"/>
  <c r="C449" i="52"/>
  <c r="AT110" i="60"/>
  <c r="AL110" i="60"/>
  <c r="P313" i="52"/>
  <c r="B52" i="60"/>
  <c r="CJ52" i="60" s="1"/>
  <c r="B42" i="60"/>
  <c r="CL42" i="60" s="1"/>
  <c r="B23" i="60"/>
  <c r="CJ23" i="60" s="1"/>
  <c r="B85" i="60"/>
  <c r="B78" i="60"/>
  <c r="B75" i="60"/>
  <c r="B30" i="60"/>
  <c r="B19" i="60"/>
  <c r="CJ19" i="60" s="1"/>
  <c r="B59" i="60"/>
  <c r="B37" i="60"/>
  <c r="B53" i="60"/>
  <c r="B49" i="60"/>
  <c r="B40" i="60"/>
  <c r="B77" i="60"/>
  <c r="CL77" i="60" s="1"/>
  <c r="B57" i="60"/>
  <c r="E57" i="60" s="1"/>
  <c r="B20" i="60"/>
  <c r="CJ20" i="60" s="1"/>
  <c r="B15" i="60"/>
  <c r="B48" i="60"/>
  <c r="B63" i="60"/>
  <c r="E63" i="60" s="1"/>
  <c r="J63" i="60" s="1"/>
  <c r="B84" i="60"/>
  <c r="CJ84" i="60" s="1"/>
  <c r="B32" i="60"/>
  <c r="CJ32" i="60" s="1"/>
  <c r="B65" i="60"/>
  <c r="B55" i="60"/>
  <c r="B69" i="60"/>
  <c r="B100" i="60"/>
  <c r="CJ100" i="60" s="1"/>
  <c r="B104" i="60"/>
  <c r="CJ104" i="60" s="1"/>
  <c r="B101" i="60"/>
  <c r="CJ101" i="60" s="1"/>
  <c r="B98" i="60"/>
  <c r="CJ98" i="60" s="1"/>
  <c r="B105" i="60"/>
  <c r="B103" i="60"/>
  <c r="B97" i="60"/>
  <c r="CJ97" i="60" s="1"/>
  <c r="B102" i="60"/>
  <c r="CJ102" i="60" s="1"/>
  <c r="Z487" i="52"/>
  <c r="P487" i="52"/>
  <c r="Z728" i="52"/>
  <c r="P728" i="52"/>
  <c r="P293" i="52"/>
  <c r="M231" i="38"/>
  <c r="Z499" i="52"/>
  <c r="P499" i="52"/>
  <c r="Q390" i="52"/>
  <c r="S390" i="52" s="1"/>
  <c r="C532" i="52"/>
  <c r="C604" i="52" s="1"/>
  <c r="S367" i="52"/>
  <c r="C504" i="52"/>
  <c r="CL57" i="60"/>
  <c r="K158" i="38"/>
  <c r="Q422" i="52"/>
  <c r="S422" i="52" s="1"/>
  <c r="CJ62" i="60"/>
  <c r="CL62" i="60"/>
  <c r="C548" i="52"/>
  <c r="C620" i="52"/>
  <c r="Q620" i="52" s="1"/>
  <c r="S620" i="52" s="1"/>
  <c r="Q476" i="52"/>
  <c r="S476" i="52" s="1"/>
  <c r="C382" i="52"/>
  <c r="C454" i="52" s="1"/>
  <c r="Q310" i="52"/>
  <c r="S310" i="52" s="1"/>
  <c r="C280" i="52"/>
  <c r="Q280" i="52" s="1"/>
  <c r="S280" i="52"/>
  <c r="C351" i="52"/>
  <c r="C423" i="52" s="1"/>
  <c r="D772" i="52"/>
  <c r="Q772" i="52" s="1"/>
  <c r="S772" i="52" s="1"/>
  <c r="D773" i="52"/>
  <c r="Q771" i="52"/>
  <c r="S771" i="52" s="1"/>
  <c r="Q443" i="52"/>
  <c r="S443" i="52" s="1"/>
  <c r="D515" i="52"/>
  <c r="D587" i="52" s="1"/>
  <c r="S504" i="50"/>
  <c r="W504" i="50"/>
  <c r="Z590" i="52"/>
  <c r="P590" i="52"/>
  <c r="P445" i="52"/>
  <c r="Z445" i="52"/>
  <c r="BB110" i="60"/>
  <c r="AN110" i="60"/>
  <c r="AV110" i="60"/>
  <c r="AF110" i="60"/>
  <c r="W700" i="50"/>
  <c r="P761" i="52"/>
  <c r="Z761" i="52"/>
  <c r="Z608" i="52"/>
  <c r="P608" i="52"/>
  <c r="AK110" i="60"/>
  <c r="AS110" i="60"/>
  <c r="AC110" i="60"/>
  <c r="W503" i="50"/>
  <c r="C543" i="52"/>
  <c r="C615" i="52" s="1"/>
  <c r="C687" i="52" s="1"/>
  <c r="C759" i="52" s="1"/>
  <c r="P675" i="52"/>
  <c r="Z675" i="52"/>
  <c r="W59" i="38"/>
  <c r="D152" i="58"/>
  <c r="AG109" i="60"/>
  <c r="E126" i="58"/>
  <c r="C346" i="52"/>
  <c r="C275" i="52"/>
  <c r="C276" i="52" s="1"/>
  <c r="P453" i="52"/>
  <c r="Z453" i="52"/>
  <c r="W108" i="46"/>
  <c r="W111" i="46"/>
  <c r="P278" i="52"/>
  <c r="S503" i="50"/>
  <c r="S635" i="50"/>
  <c r="S701" i="50"/>
  <c r="P315" i="52"/>
  <c r="P285" i="52"/>
  <c r="P300" i="52"/>
  <c r="P327" i="52"/>
  <c r="C347" i="52"/>
  <c r="CL49" i="60"/>
  <c r="CJ57" i="60"/>
  <c r="V56" i="50"/>
  <c r="B72" i="60"/>
  <c r="CL15" i="60"/>
  <c r="CL68" i="60"/>
  <c r="CJ68" i="60"/>
  <c r="J277" i="38"/>
  <c r="B18" i="60"/>
  <c r="B70" i="60"/>
  <c r="B74" i="60"/>
  <c r="E74" i="60" s="1"/>
  <c r="B82" i="60"/>
  <c r="B76" i="60"/>
  <c r="E76" i="60" s="1"/>
  <c r="B27" i="60"/>
  <c r="B73" i="60"/>
  <c r="B83" i="60"/>
  <c r="B31" i="60"/>
  <c r="CJ31" i="60" s="1"/>
  <c r="B56" i="60"/>
  <c r="B64" i="60"/>
  <c r="B44" i="60"/>
  <c r="Q296" i="58"/>
  <c r="D296" i="58" s="1"/>
  <c r="D224" i="58"/>
  <c r="Y6" i="46"/>
  <c r="N59" i="38"/>
  <c r="C230" i="52"/>
  <c r="B265" i="52" s="1"/>
  <c r="N57" i="38"/>
  <c r="N56" i="38"/>
  <c r="Z58" i="38"/>
  <c r="N54" i="38"/>
  <c r="Z56" i="38"/>
  <c r="N58" i="38"/>
  <c r="Z529" i="52"/>
  <c r="Q284" i="52"/>
  <c r="S284" i="52" s="1"/>
  <c r="C356" i="52"/>
  <c r="Q356" i="52" s="1"/>
  <c r="S356" i="52" s="1"/>
  <c r="C285" i="52"/>
  <c r="S25" i="50"/>
  <c r="W143" i="44"/>
  <c r="W149" i="44"/>
  <c r="W148" i="44"/>
  <c r="W146" i="44"/>
  <c r="W150" i="44"/>
  <c r="W151" i="44"/>
  <c r="W139" i="44"/>
  <c r="W147" i="44"/>
  <c r="Y4" i="60"/>
  <c r="X4" i="60"/>
  <c r="D471" i="52"/>
  <c r="D543" i="52" s="1"/>
  <c r="Q399" i="52"/>
  <c r="S399" i="52" s="1"/>
  <c r="BQ68" i="60"/>
  <c r="AG68" i="60"/>
  <c r="Q396" i="52"/>
  <c r="S396" i="52" s="1"/>
  <c r="Q468" i="52"/>
  <c r="S468" i="52" s="1"/>
  <c r="Q392" i="46"/>
  <c r="D334" i="46"/>
  <c r="Q475" i="52"/>
  <c r="S475" i="52"/>
  <c r="C547" i="52"/>
  <c r="Z511" i="52"/>
  <c r="Z760" i="52"/>
  <c r="P760" i="52"/>
  <c r="P472" i="52"/>
  <c r="Z472" i="52"/>
  <c r="P645" i="52"/>
  <c r="Z645" i="52"/>
  <c r="P656" i="52"/>
  <c r="Z656" i="52"/>
  <c r="P694" i="52"/>
  <c r="Z694" i="52"/>
  <c r="Z546" i="52"/>
  <c r="P546" i="52"/>
  <c r="Z403" i="52"/>
  <c r="P403" i="52"/>
  <c r="V82" i="44"/>
  <c r="V79" i="44"/>
  <c r="V70" i="44"/>
  <c r="C334" i="46"/>
  <c r="C325" i="52"/>
  <c r="Q324" i="52"/>
  <c r="S324" i="52"/>
  <c r="C405" i="52"/>
  <c r="Q405" i="52" s="1"/>
  <c r="S405" i="52" s="1"/>
  <c r="Q333" i="52"/>
  <c r="S333" i="52" s="1"/>
  <c r="C334" i="52"/>
  <c r="C461" i="52"/>
  <c r="Q461" i="52" s="1"/>
  <c r="S461" i="52" s="1"/>
  <c r="Q389" i="52"/>
  <c r="S389" i="52" s="1"/>
  <c r="Q321" i="52"/>
  <c r="S321" i="52" s="1"/>
  <c r="C393" i="52"/>
  <c r="D582" i="52"/>
  <c r="D654" i="52" s="1"/>
  <c r="D726" i="52" s="1"/>
  <c r="Z654" i="52"/>
  <c r="P654" i="52"/>
  <c r="C361" i="52"/>
  <c r="C380" i="52"/>
  <c r="Q380" i="52" s="1"/>
  <c r="W28" i="44"/>
  <c r="P550" i="52"/>
  <c r="Z550" i="52"/>
  <c r="AQ110" i="60"/>
  <c r="AI110" i="60"/>
  <c r="BA110" i="60"/>
  <c r="AM110" i="60"/>
  <c r="B33" i="60"/>
  <c r="B66" i="60"/>
  <c r="C473" i="52"/>
  <c r="C545" i="52"/>
  <c r="Q545" i="52" s="1"/>
  <c r="S545" i="52" s="1"/>
  <c r="N55" i="38"/>
  <c r="Q353" i="52"/>
  <c r="S353" i="52" s="1"/>
  <c r="Z758" i="52"/>
  <c r="V110" i="60"/>
  <c r="M110" i="60"/>
  <c r="J110" i="60"/>
  <c r="W154" i="44"/>
  <c r="P268" i="52"/>
  <c r="P267" i="52"/>
  <c r="P328" i="52"/>
  <c r="P334" i="52"/>
  <c r="P332" i="52"/>
  <c r="P277" i="52"/>
  <c r="P284" i="52"/>
  <c r="P331" i="52"/>
  <c r="P333" i="52"/>
  <c r="C103" i="60"/>
  <c r="CJ103" i="60"/>
  <c r="CL55" i="60"/>
  <c r="CJ40" i="60"/>
  <c r="CL40" i="60"/>
  <c r="E40" i="60"/>
  <c r="CL59" i="60"/>
  <c r="CJ59" i="60"/>
  <c r="E59" i="60"/>
  <c r="E31" i="60"/>
  <c r="F283" i="38"/>
  <c r="H283" i="38" s="1"/>
  <c r="H282" i="38"/>
  <c r="B11" i="60"/>
  <c r="B46" i="60"/>
  <c r="B36" i="60"/>
  <c r="B14" i="60"/>
  <c r="B50" i="60"/>
  <c r="E50" i="60" s="1"/>
  <c r="W50" i="60" s="1"/>
  <c r="B81" i="60"/>
  <c r="B38" i="60"/>
  <c r="B67" i="60"/>
  <c r="B24" i="60"/>
  <c r="CJ24" i="60" s="1"/>
  <c r="B79" i="60"/>
  <c r="CJ79" i="60" s="1"/>
  <c r="B47" i="60"/>
  <c r="B43" i="60"/>
  <c r="E43" i="60" s="1"/>
  <c r="BO43" i="60" s="1"/>
  <c r="B41" i="60"/>
  <c r="CJ41" i="60"/>
  <c r="B25" i="60"/>
  <c r="B29" i="60"/>
  <c r="CL29" i="60" s="1"/>
  <c r="B35" i="60"/>
  <c r="CL35" i="60"/>
  <c r="B26" i="60"/>
  <c r="CL26" i="60" s="1"/>
  <c r="B34" i="60"/>
  <c r="B21" i="60"/>
  <c r="B45" i="60"/>
  <c r="B22" i="60"/>
  <c r="E22" i="60" s="1"/>
  <c r="B28" i="60"/>
  <c r="B94" i="60"/>
  <c r="CJ94" i="60" s="1"/>
  <c r="B99" i="60"/>
  <c r="CJ99" i="60" s="1"/>
  <c r="B95" i="60"/>
  <c r="R172" i="38"/>
  <c r="S218" i="46"/>
  <c r="B93" i="60"/>
  <c r="CJ93" i="60" s="1"/>
  <c r="S135" i="46"/>
  <c r="B96" i="60"/>
  <c r="CJ96" i="60" s="1"/>
  <c r="Q548" i="52"/>
  <c r="S548" i="52" s="1"/>
  <c r="Q275" i="52"/>
  <c r="S275" i="52" s="1"/>
  <c r="E41" i="60"/>
  <c r="AY41" i="60" s="1"/>
  <c r="CJ92" i="60"/>
  <c r="Q466" i="52"/>
  <c r="S466" i="52"/>
  <c r="C538" i="52"/>
  <c r="Q538" i="52" s="1"/>
  <c r="S538" i="52" s="1"/>
  <c r="CJ76" i="60"/>
  <c r="CL76" i="60"/>
  <c r="Z436" i="52"/>
  <c r="P436" i="52"/>
  <c r="P481" i="52"/>
  <c r="Z481" i="52"/>
  <c r="Q307" i="52"/>
  <c r="S307" i="52" s="1"/>
  <c r="C379" i="52"/>
  <c r="C533" i="52"/>
  <c r="Q533" i="52" s="1"/>
  <c r="S533" i="52" s="1"/>
  <c r="C605" i="52"/>
  <c r="G276" i="38"/>
  <c r="M276" i="38"/>
  <c r="L276" i="38"/>
  <c r="I276" i="38"/>
  <c r="H276" i="38"/>
  <c r="J276" i="38"/>
  <c r="P759" i="52"/>
  <c r="Z759" i="52"/>
  <c r="C472" i="52"/>
  <c r="Q400" i="52"/>
  <c r="S400" i="52"/>
  <c r="Z496" i="52"/>
  <c r="P496" i="52"/>
  <c r="Z589" i="52"/>
  <c r="P589" i="52"/>
  <c r="Z517" i="52"/>
  <c r="P707" i="52"/>
  <c r="Z707" i="52"/>
  <c r="G632" i="52"/>
  <c r="Z294" i="52"/>
  <c r="G540" i="52"/>
  <c r="G655" i="52"/>
  <c r="Z655" i="52" s="1"/>
  <c r="G765" i="52"/>
  <c r="G691" i="52"/>
  <c r="G690" i="52"/>
  <c r="Z299" i="52"/>
  <c r="Z572" i="52"/>
  <c r="G622" i="52"/>
  <c r="G549" i="52"/>
  <c r="G476" i="52"/>
  <c r="P476" i="52" s="1"/>
  <c r="Z400" i="52"/>
  <c r="Z405" i="52"/>
  <c r="A192" i="52"/>
  <c r="H273" i="58"/>
  <c r="S273" i="58" s="1"/>
  <c r="G591" i="52"/>
  <c r="P591" i="52" s="1"/>
  <c r="G533" i="52"/>
  <c r="P533" i="52" s="1"/>
  <c r="G416" i="52"/>
  <c r="Z376" i="52"/>
  <c r="G468" i="52"/>
  <c r="G541" i="52"/>
  <c r="P541" i="52" s="1"/>
  <c r="Z596" i="52"/>
  <c r="Z362" i="52"/>
  <c r="H272" i="58"/>
  <c r="S272" i="58" s="1"/>
  <c r="Z391" i="52"/>
  <c r="H125" i="58"/>
  <c r="S125" i="58"/>
  <c r="J82" i="43"/>
  <c r="Z603" i="52"/>
  <c r="Z343" i="52"/>
  <c r="G663" i="52"/>
  <c r="Z537" i="52"/>
  <c r="Z751" i="52"/>
  <c r="G393" i="52"/>
  <c r="P393" i="52"/>
  <c r="Z361" i="52"/>
  <c r="Z370" i="52"/>
  <c r="G613" i="52"/>
  <c r="Z444" i="52"/>
  <c r="G681" i="52"/>
  <c r="F82" i="43"/>
  <c r="G659" i="52"/>
  <c r="P659" i="52" s="1"/>
  <c r="Z368" i="52"/>
  <c r="Z695" i="52"/>
  <c r="H274" i="58"/>
  <c r="S274" i="58" s="1"/>
  <c r="Z451" i="52"/>
  <c r="G484" i="52"/>
  <c r="Z385" i="52"/>
  <c r="G510" i="52"/>
  <c r="Z367" i="52"/>
  <c r="Z324" i="52"/>
  <c r="G634" i="52"/>
  <c r="Z303" i="52"/>
  <c r="Z557" i="52"/>
  <c r="G441" i="52"/>
  <c r="Z722" i="52"/>
  <c r="G535" i="52"/>
  <c r="H303" i="50"/>
  <c r="S303" i="50" s="1"/>
  <c r="W303" i="50"/>
  <c r="Z301" i="52"/>
  <c r="Z492" i="52"/>
  <c r="G631" i="52"/>
  <c r="Z369" i="52"/>
  <c r="G641" i="52"/>
  <c r="G647" i="52"/>
  <c r="Z647" i="52"/>
  <c r="Z509" i="52"/>
  <c r="Z311" i="52"/>
  <c r="Z322" i="52"/>
  <c r="Z585" i="52"/>
  <c r="G494" i="52"/>
  <c r="G415" i="52"/>
  <c r="Z415" i="52" s="1"/>
  <c r="Z274" i="52"/>
  <c r="Z375" i="52"/>
  <c r="H345" i="58"/>
  <c r="S345" i="58" s="1"/>
  <c r="H307" i="50"/>
  <c r="Z421" i="52"/>
  <c r="P345" i="52"/>
  <c r="P431" i="52"/>
  <c r="P364" i="52"/>
  <c r="G599" i="52"/>
  <c r="P599" i="52" s="1"/>
  <c r="G508" i="52"/>
  <c r="Z349" i="52"/>
  <c r="G673" i="52"/>
  <c r="Z397" i="52"/>
  <c r="Z532" i="52"/>
  <c r="Z490" i="52"/>
  <c r="G359" i="52"/>
  <c r="P359" i="52" s="1"/>
  <c r="Z302" i="52"/>
  <c r="Z626" i="52"/>
  <c r="G569" i="52"/>
  <c r="W146" i="50"/>
  <c r="H238" i="50"/>
  <c r="S238" i="50" s="1"/>
  <c r="Z355" i="52"/>
  <c r="Z321" i="52"/>
  <c r="Z498" i="52"/>
  <c r="Z428" i="52"/>
  <c r="G523" i="52"/>
  <c r="H346" i="58"/>
  <c r="S346" i="58" s="1"/>
  <c r="Z729" i="52"/>
  <c r="Z431" i="52"/>
  <c r="Z407" i="52"/>
  <c r="G746" i="52"/>
  <c r="G657" i="52"/>
  <c r="P657" i="52" s="1"/>
  <c r="G637" i="52"/>
  <c r="Z614" i="52"/>
  <c r="Z543" i="52"/>
  <c r="P437" i="52"/>
  <c r="G774" i="52"/>
  <c r="P774" i="52"/>
  <c r="Z466" i="52"/>
  <c r="P360" i="52"/>
  <c r="P410" i="52"/>
  <c r="P340" i="52"/>
  <c r="A170" i="52"/>
  <c r="G583" i="52"/>
  <c r="Z583" i="52" s="1"/>
  <c r="Z609" i="52"/>
  <c r="G518" i="52"/>
  <c r="G440" i="52"/>
  <c r="Z440" i="52"/>
  <c r="Z426" i="52"/>
  <c r="Z339" i="52"/>
  <c r="Z380" i="52"/>
  <c r="Z350" i="52"/>
  <c r="G559" i="52"/>
  <c r="Z366" i="52"/>
  <c r="Z334" i="52"/>
  <c r="G470" i="52"/>
  <c r="Z470" i="52" s="1"/>
  <c r="G619" i="52"/>
  <c r="G693" i="52"/>
  <c r="G521" i="52"/>
  <c r="G584" i="52"/>
  <c r="Z584" i="52" s="1"/>
  <c r="G635" i="52"/>
  <c r="Z573" i="52"/>
  <c r="Z727" i="52"/>
  <c r="Z309" i="52"/>
  <c r="Z465" i="52"/>
  <c r="G488" i="52"/>
  <c r="Z488" i="52" s="1"/>
  <c r="G704" i="52"/>
  <c r="Z704" i="52" s="1"/>
  <c r="G427" i="52"/>
  <c r="Z333" i="52"/>
  <c r="Z564" i="52"/>
  <c r="Z281" i="52"/>
  <c r="Z412" i="52"/>
  <c r="G766" i="52"/>
  <c r="P766" i="52" s="1"/>
  <c r="G527" i="52"/>
  <c r="Z527" i="52" s="1"/>
  <c r="G719" i="52"/>
  <c r="Z448" i="52"/>
  <c r="G618" i="52"/>
  <c r="Z618" i="52" s="1"/>
  <c r="G478" i="52"/>
  <c r="P478" i="52" s="1"/>
  <c r="G471" i="52"/>
  <c r="G399" i="52"/>
  <c r="P399" i="52"/>
  <c r="Z401" i="52"/>
  <c r="Z329" i="52"/>
  <c r="G388" i="52"/>
  <c r="Z539" i="52"/>
  <c r="Z323" i="52"/>
  <c r="H371" i="52"/>
  <c r="G662" i="52"/>
  <c r="G582" i="52"/>
  <c r="Z582" i="52" s="1"/>
  <c r="G566" i="52"/>
  <c r="P566" i="52" s="1"/>
  <c r="Z319" i="52"/>
  <c r="Z337" i="52"/>
  <c r="G743" i="52"/>
  <c r="P743" i="52" s="1"/>
  <c r="G683" i="52"/>
  <c r="Z432" i="52"/>
  <c r="Z627" i="52"/>
  <c r="G520" i="52"/>
  <c r="G341" i="52"/>
  <c r="Z341" i="52" s="1"/>
  <c r="G633" i="52"/>
  <c r="P633" i="52" s="1"/>
  <c r="G504" i="52"/>
  <c r="Z504" i="52" s="1"/>
  <c r="G422" i="52"/>
  <c r="P422" i="52" s="1"/>
  <c r="Z410" i="52"/>
  <c r="Z310" i="52"/>
  <c r="G702" i="52"/>
  <c r="G469" i="52"/>
  <c r="Z286" i="52"/>
  <c r="Z270" i="52"/>
  <c r="Z292" i="52"/>
  <c r="G644" i="52"/>
  <c r="Z318" i="52"/>
  <c r="Z734" i="52"/>
  <c r="G574" i="52"/>
  <c r="P574" i="52" s="1"/>
  <c r="Z459" i="52"/>
  <c r="Z418" i="52"/>
  <c r="P344" i="52"/>
  <c r="G640" i="52"/>
  <c r="Z640" i="52" s="1"/>
  <c r="G612" i="52"/>
  <c r="G699" i="52"/>
  <c r="G425" i="52"/>
  <c r="H164" i="50"/>
  <c r="Z271" i="52"/>
  <c r="I362" i="52"/>
  <c r="P362" i="52"/>
  <c r="Z340" i="52"/>
  <c r="Z587" i="52"/>
  <c r="G661" i="52"/>
  <c r="Z733" i="52"/>
  <c r="G438" i="52"/>
  <c r="P438" i="52" s="1"/>
  <c r="Z576" i="52"/>
  <c r="Z353" i="52"/>
  <c r="Z452" i="52"/>
  <c r="Z562" i="52"/>
  <c r="G500" i="52"/>
  <c r="H162" i="50"/>
  <c r="V77" i="46"/>
  <c r="G126" i="60"/>
  <c r="E126" i="60"/>
  <c r="C126" i="60"/>
  <c r="Z57" i="38"/>
  <c r="Z59" i="38"/>
  <c r="L82" i="43"/>
  <c r="Z304" i="52"/>
  <c r="H165" i="50"/>
  <c r="S165" i="50" s="1"/>
  <c r="G669" i="52"/>
  <c r="Z669" i="52" s="1"/>
  <c r="G642" i="52"/>
  <c r="P642" i="52" s="1"/>
  <c r="I356" i="52"/>
  <c r="P356" i="52" s="1"/>
  <c r="G430" i="52"/>
  <c r="Z430" i="52" s="1"/>
  <c r="G684" i="52"/>
  <c r="Z684" i="52" s="1"/>
  <c r="G395" i="52"/>
  <c r="Z623" i="52"/>
  <c r="Z266" i="52"/>
  <c r="G560" i="52"/>
  <c r="Z560" i="52" s="1"/>
  <c r="Z413" i="52"/>
  <c r="Z731" i="52"/>
  <c r="H306" i="50"/>
  <c r="G347" i="52"/>
  <c r="P347" i="52" s="1"/>
  <c r="H242" i="50"/>
  <c r="G515" i="52"/>
  <c r="W148" i="50"/>
  <c r="H417" i="58"/>
  <c r="S417" i="58" s="1"/>
  <c r="H82" i="43"/>
  <c r="H416" i="58"/>
  <c r="S416" i="58" s="1"/>
  <c r="Z305" i="52"/>
  <c r="H418" i="58"/>
  <c r="S418" i="58"/>
  <c r="Z602" i="52"/>
  <c r="A184" i="52"/>
  <c r="G522" i="52"/>
  <c r="G495" i="52"/>
  <c r="Z456" i="52"/>
  <c r="G709" i="52"/>
  <c r="Z579" i="52"/>
  <c r="Z328" i="52"/>
  <c r="G544" i="52"/>
  <c r="Z544" i="52" s="1"/>
  <c r="G506" i="52"/>
  <c r="P506" i="52" s="1"/>
  <c r="Z357" i="52"/>
  <c r="G692" i="52"/>
  <c r="Z628" i="52"/>
  <c r="H237" i="50"/>
  <c r="S237" i="50" s="1"/>
  <c r="Z749" i="52"/>
  <c r="G706" i="52"/>
  <c r="P706" i="52" s="1"/>
  <c r="L6" i="58"/>
  <c r="L6" i="28"/>
  <c r="K8" i="28"/>
  <c r="B13" i="60"/>
  <c r="CL13" i="60" s="1"/>
  <c r="K277" i="38"/>
  <c r="I277" i="38"/>
  <c r="G277" i="38"/>
  <c r="H277" i="38"/>
  <c r="L277" i="38"/>
  <c r="Z554" i="52"/>
  <c r="Z277" i="52"/>
  <c r="H126" i="58"/>
  <c r="S126" i="58" s="1"/>
  <c r="Z396" i="52"/>
  <c r="G736" i="52"/>
  <c r="G571" i="52"/>
  <c r="H376" i="52"/>
  <c r="P376" i="52" s="1"/>
  <c r="Z287" i="52"/>
  <c r="Z595" i="52"/>
  <c r="W147" i="50"/>
  <c r="G516" i="52"/>
  <c r="Z314" i="52"/>
  <c r="Z378" i="52"/>
  <c r="G677" i="52"/>
  <c r="Z677" i="52" s="1"/>
  <c r="Z289" i="52"/>
  <c r="Z503" i="52"/>
  <c r="G464" i="52"/>
  <c r="G676" i="52"/>
  <c r="Q322" i="52"/>
  <c r="S322" i="52" s="1"/>
  <c r="P372" i="52"/>
  <c r="Z411" i="52"/>
  <c r="G708" i="52"/>
  <c r="P708" i="52" s="1"/>
  <c r="Z276" i="52"/>
  <c r="G753" i="52"/>
  <c r="G519" i="52"/>
  <c r="P519" i="52" s="1"/>
  <c r="G439" i="52"/>
  <c r="Z439" i="52"/>
  <c r="Z280" i="52"/>
  <c r="H344" i="58"/>
  <c r="S344" i="58" s="1"/>
  <c r="Z409" i="52"/>
  <c r="Z730" i="52"/>
  <c r="P454" i="52"/>
  <c r="Z592" i="52"/>
  <c r="W151" i="50"/>
  <c r="G577" i="52"/>
  <c r="P577" i="52" s="1"/>
  <c r="H163" i="50"/>
  <c r="G598" i="52"/>
  <c r="P598" i="52" s="1"/>
  <c r="G387" i="52"/>
  <c r="Z387" i="52" s="1"/>
  <c r="G505" i="52"/>
  <c r="Z283" i="52"/>
  <c r="G652" i="52"/>
  <c r="P652" i="52" s="1"/>
  <c r="I371" i="52"/>
  <c r="Z295" i="52"/>
  <c r="Z600" i="52"/>
  <c r="G491" i="52"/>
  <c r="K82" i="43"/>
  <c r="G703" i="52"/>
  <c r="P703" i="52" s="1"/>
  <c r="Z703" i="52"/>
  <c r="G502" i="52"/>
  <c r="Z458" i="52"/>
  <c r="G394" i="52"/>
  <c r="Z394" i="52" s="1"/>
  <c r="H241" i="50"/>
  <c r="G461" i="52"/>
  <c r="Z330" i="52"/>
  <c r="G475" i="52"/>
  <c r="G617" i="52"/>
  <c r="Z630" i="52"/>
  <c r="G689" i="52"/>
  <c r="P689" i="52" s="1"/>
  <c r="G762" i="52"/>
  <c r="Z762" i="52"/>
  <c r="G636" i="52"/>
  <c r="P636" i="52"/>
  <c r="Z713" i="52"/>
  <c r="P321" i="52"/>
  <c r="P323" i="52"/>
  <c r="P280" i="52"/>
  <c r="F130" i="60"/>
  <c r="B131" i="60"/>
  <c r="B71" i="60"/>
  <c r="CL71" i="60" s="1"/>
  <c r="E71" i="60"/>
  <c r="B60" i="60"/>
  <c r="CJ60" i="60" s="1"/>
  <c r="B58" i="60"/>
  <c r="E58" i="60" s="1"/>
  <c r="W150" i="50"/>
  <c r="P329" i="52"/>
  <c r="CJ74" i="60"/>
  <c r="CL74" i="60"/>
  <c r="CL56" i="60"/>
  <c r="E72" i="60"/>
  <c r="BS72" i="60" s="1"/>
  <c r="CL72" i="60"/>
  <c r="CJ72" i="60"/>
  <c r="O59" i="60"/>
  <c r="CL44" i="60"/>
  <c r="CJ44" i="60"/>
  <c r="E44" i="60"/>
  <c r="CL83" i="60"/>
  <c r="CJ83" i="60"/>
  <c r="E83" i="60"/>
  <c r="CL82" i="60"/>
  <c r="E82" i="60"/>
  <c r="K82" i="60" s="1"/>
  <c r="CJ82" i="60"/>
  <c r="S380" i="52"/>
  <c r="C452" i="52"/>
  <c r="C524" i="52" s="1"/>
  <c r="Q393" i="52"/>
  <c r="S393" i="52" s="1"/>
  <c r="C465" i="52"/>
  <c r="E33" i="60"/>
  <c r="C540" i="52"/>
  <c r="Q540" i="52" s="1"/>
  <c r="S540" i="52" s="1"/>
  <c r="CL22" i="60"/>
  <c r="BC59" i="60"/>
  <c r="AZ59" i="60"/>
  <c r="U59" i="60"/>
  <c r="CJ50" i="60"/>
  <c r="E11" i="60"/>
  <c r="E21" i="60"/>
  <c r="CJ21" i="60"/>
  <c r="CL21" i="60"/>
  <c r="E29" i="60"/>
  <c r="I29" i="60" s="1"/>
  <c r="CJ29" i="60"/>
  <c r="CL67" i="60"/>
  <c r="E67" i="60"/>
  <c r="CJ67" i="60"/>
  <c r="CL14" i="60"/>
  <c r="E35" i="60"/>
  <c r="P35" i="60" s="1"/>
  <c r="CJ35" i="60"/>
  <c r="CJ43" i="60"/>
  <c r="CJ28" i="60"/>
  <c r="CL28" i="60"/>
  <c r="E28" i="60"/>
  <c r="AH28" i="60" s="1"/>
  <c r="CL34" i="60"/>
  <c r="E34" i="60"/>
  <c r="CJ34" i="60"/>
  <c r="E25" i="60"/>
  <c r="E38" i="60"/>
  <c r="BI40" i="60"/>
  <c r="U40" i="60"/>
  <c r="AS40" i="60"/>
  <c r="I40" i="60"/>
  <c r="AG40" i="60"/>
  <c r="J40" i="60"/>
  <c r="T40" i="60"/>
  <c r="BA40" i="60"/>
  <c r="AH40" i="60"/>
  <c r="BM40" i="60"/>
  <c r="AV40" i="60"/>
  <c r="BP40" i="60"/>
  <c r="AF40" i="60"/>
  <c r="S40" i="60"/>
  <c r="Z636" i="52"/>
  <c r="P439" i="52"/>
  <c r="P677" i="52"/>
  <c r="Z506" i="52"/>
  <c r="Z612" i="52"/>
  <c r="P612" i="52"/>
  <c r="Z422" i="52"/>
  <c r="Z520" i="52"/>
  <c r="P520" i="52"/>
  <c r="Z399" i="52"/>
  <c r="Z427" i="52"/>
  <c r="P427" i="52"/>
  <c r="P440" i="52"/>
  <c r="P523" i="52"/>
  <c r="Z523" i="52"/>
  <c r="P647" i="52"/>
  <c r="P663" i="52"/>
  <c r="Z663" i="52"/>
  <c r="Z549" i="52"/>
  <c r="P549" i="52"/>
  <c r="Z540" i="52"/>
  <c r="P540" i="52"/>
  <c r="P461" i="52"/>
  <c r="Z461" i="52"/>
  <c r="CJ71" i="60"/>
  <c r="P762" i="52"/>
  <c r="Z519" i="52"/>
  <c r="K8" i="58"/>
  <c r="P544" i="52"/>
  <c r="S242" i="50"/>
  <c r="Z642" i="52"/>
  <c r="Z574" i="52"/>
  <c r="Z388" i="52"/>
  <c r="P388" i="52"/>
  <c r="Z521" i="52"/>
  <c r="P521" i="52"/>
  <c r="P637" i="52"/>
  <c r="Z637" i="52"/>
  <c r="Z441" i="52"/>
  <c r="P441" i="52"/>
  <c r="Z393" i="52"/>
  <c r="Z622" i="52"/>
  <c r="P622" i="52"/>
  <c r="P387" i="52"/>
  <c r="B132" i="60"/>
  <c r="Z598" i="52"/>
  <c r="Z706" i="52"/>
  <c r="P560" i="52"/>
  <c r="P669" i="52"/>
  <c r="Z425" i="52"/>
  <c r="P425" i="52"/>
  <c r="Z633" i="52"/>
  <c r="Z478" i="52"/>
  <c r="P527" i="52"/>
  <c r="P488" i="52"/>
  <c r="Z693" i="52"/>
  <c r="P693" i="52"/>
  <c r="P673" i="52"/>
  <c r="Z673" i="52"/>
  <c r="S307" i="50"/>
  <c r="W307" i="50"/>
  <c r="Z613" i="52"/>
  <c r="P613" i="52"/>
  <c r="Z468" i="52"/>
  <c r="P468" i="52"/>
  <c r="Z591" i="52"/>
  <c r="P522" i="52"/>
  <c r="Z522" i="52"/>
  <c r="P699" i="52"/>
  <c r="Z699" i="52"/>
  <c r="P341" i="52"/>
  <c r="Z566" i="52"/>
  <c r="Z766" i="52"/>
  <c r="P635" i="52"/>
  <c r="Z635" i="52"/>
  <c r="Z619" i="52"/>
  <c r="P619" i="52"/>
  <c r="Z559" i="52"/>
  <c r="P559" i="52"/>
  <c r="P569" i="52"/>
  <c r="Z569" i="52"/>
  <c r="Z631" i="52"/>
  <c r="P631" i="52"/>
  <c r="P535" i="52"/>
  <c r="Z535" i="52"/>
  <c r="P510" i="52"/>
  <c r="Z510" i="52"/>
  <c r="P655" i="52"/>
  <c r="C544" i="52"/>
  <c r="Q472" i="52"/>
  <c r="S472" i="52" s="1"/>
  <c r="BK76" i="60"/>
  <c r="S76" i="60"/>
  <c r="BC76" i="60"/>
  <c r="Y76" i="60"/>
  <c r="AN76" i="60"/>
  <c r="BF76" i="60"/>
  <c r="AG76" i="60"/>
  <c r="AS76" i="60"/>
  <c r="AZ76" i="60"/>
  <c r="AC76" i="60"/>
  <c r="AL76" i="60"/>
  <c r="K76" i="60"/>
  <c r="BB76" i="60"/>
  <c r="X76" i="60"/>
  <c r="AM76" i="60"/>
  <c r="BH76" i="60"/>
  <c r="AE76" i="60"/>
  <c r="BP76" i="60"/>
  <c r="AB76" i="60"/>
  <c r="AO76" i="60"/>
  <c r="AQ76" i="60"/>
  <c r="BQ76" i="60"/>
  <c r="AP76" i="60"/>
  <c r="F76" i="60"/>
  <c r="AU76" i="60"/>
  <c r="BL76" i="60"/>
  <c r="M76" i="60"/>
  <c r="I76" i="60"/>
  <c r="AK76" i="60"/>
  <c r="BE11" i="60"/>
  <c r="C82" i="60"/>
  <c r="U82" i="60"/>
  <c r="BS82" i="60"/>
  <c r="AD82" i="60"/>
  <c r="D82" i="60"/>
  <c r="AZ82" i="60"/>
  <c r="AR82" i="60"/>
  <c r="Y82" i="60"/>
  <c r="BT82" i="60"/>
  <c r="P82" i="60"/>
  <c r="BH82" i="60"/>
  <c r="BN82" i="60"/>
  <c r="AC82" i="60"/>
  <c r="BL82" i="60"/>
  <c r="BM82" i="60"/>
  <c r="R82" i="60"/>
  <c r="H82" i="60"/>
  <c r="M82" i="60"/>
  <c r="AW44" i="60"/>
  <c r="BP72" i="60"/>
  <c r="AJ72" i="60"/>
  <c r="BN72" i="60"/>
  <c r="AD72" i="60"/>
  <c r="I72" i="60"/>
  <c r="AX72" i="60"/>
  <c r="N72" i="60"/>
  <c r="P72" i="60"/>
  <c r="BL72" i="60"/>
  <c r="AU72" i="60"/>
  <c r="AA72" i="60"/>
  <c r="BE72" i="60"/>
  <c r="AZ72" i="60"/>
  <c r="BM72" i="60"/>
  <c r="F72" i="60"/>
  <c r="AV72" i="60"/>
  <c r="AC33" i="60"/>
  <c r="BK33" i="60"/>
  <c r="BG33" i="60"/>
  <c r="AD33" i="60"/>
  <c r="AU33" i="60"/>
  <c r="V33" i="60"/>
  <c r="L33" i="60"/>
  <c r="BS33" i="60"/>
  <c r="M33" i="60"/>
  <c r="BM33" i="60"/>
  <c r="AI33" i="60"/>
  <c r="AA33" i="60"/>
  <c r="AW33" i="60"/>
  <c r="Y33" i="60"/>
  <c r="AZ33" i="60"/>
  <c r="BB33" i="60"/>
  <c r="AT33" i="60"/>
  <c r="AP33" i="60"/>
  <c r="T33" i="60"/>
  <c r="N33" i="60"/>
  <c r="S33" i="60"/>
  <c r="U33" i="60"/>
  <c r="BJ33" i="60"/>
  <c r="AQ33" i="60"/>
  <c r="AN33" i="60"/>
  <c r="G33" i="60"/>
  <c r="Z33" i="60"/>
  <c r="W33" i="60"/>
  <c r="O33" i="60"/>
  <c r="J33" i="60"/>
  <c r="C33" i="60"/>
  <c r="D33" i="60"/>
  <c r="BN33" i="60"/>
  <c r="AH33" i="60"/>
  <c r="AL33" i="60"/>
  <c r="AD25" i="60"/>
  <c r="AP28" i="60"/>
  <c r="AG28" i="60"/>
  <c r="BM43" i="60"/>
  <c r="X43" i="60"/>
  <c r="J43" i="60"/>
  <c r="BC43" i="60"/>
  <c r="O43" i="60"/>
  <c r="Q43" i="60"/>
  <c r="I43" i="60"/>
  <c r="BN43" i="60"/>
  <c r="BG29" i="60"/>
  <c r="BP29" i="60"/>
  <c r="AU29" i="60"/>
  <c r="BF29" i="60"/>
  <c r="L29" i="60"/>
  <c r="AN29" i="60"/>
  <c r="AM29" i="60"/>
  <c r="BL29" i="60"/>
  <c r="U29" i="60"/>
  <c r="R29" i="60"/>
  <c r="AE29" i="60"/>
  <c r="AY29" i="60"/>
  <c r="AA21" i="60"/>
  <c r="BS38" i="60"/>
  <c r="AT38" i="60"/>
  <c r="BP38" i="60"/>
  <c r="AW38" i="60"/>
  <c r="BT38" i="60"/>
  <c r="AP38" i="60"/>
  <c r="Y38" i="60"/>
  <c r="BF38" i="60"/>
  <c r="AI38" i="60"/>
  <c r="AD38" i="60"/>
  <c r="BE38" i="60"/>
  <c r="S38" i="60"/>
  <c r="R38" i="60"/>
  <c r="Z38" i="60"/>
  <c r="AX34" i="60"/>
  <c r="AS34" i="60"/>
  <c r="AK34" i="60"/>
  <c r="BB34" i="60"/>
  <c r="H34" i="60"/>
  <c r="BD34" i="60"/>
  <c r="AA34" i="60"/>
  <c r="K34" i="60"/>
  <c r="U34" i="60"/>
  <c r="BS34" i="60"/>
  <c r="AH34" i="60"/>
  <c r="BF34" i="60"/>
  <c r="O34" i="60"/>
  <c r="L34" i="60"/>
  <c r="BA34" i="60"/>
  <c r="BC34" i="60"/>
  <c r="AE34" i="60"/>
  <c r="Z34" i="60"/>
  <c r="AT34" i="60"/>
  <c r="AM34" i="60"/>
  <c r="BQ34" i="60"/>
  <c r="X34" i="60"/>
  <c r="Q34" i="60"/>
  <c r="AC34" i="60"/>
  <c r="BO34" i="60"/>
  <c r="R34" i="60"/>
  <c r="AG34" i="60"/>
  <c r="AI34" i="60"/>
  <c r="F34" i="60"/>
  <c r="S34" i="60"/>
  <c r="AZ34" i="60"/>
  <c r="AD34" i="60"/>
  <c r="N34" i="60"/>
  <c r="V34" i="60"/>
  <c r="BL34" i="60"/>
  <c r="G34" i="60"/>
  <c r="AV34" i="60"/>
  <c r="BN34" i="60"/>
  <c r="BE34" i="60"/>
  <c r="BR34" i="60"/>
  <c r="AF34" i="60"/>
  <c r="AO34" i="60"/>
  <c r="AY34" i="60"/>
  <c r="AQ34" i="60"/>
  <c r="BJ34" i="60"/>
  <c r="C34" i="60"/>
  <c r="BI34" i="60"/>
  <c r="BK34" i="60"/>
  <c r="AJ34" i="60"/>
  <c r="M34" i="60"/>
  <c r="AN34" i="60"/>
  <c r="J34" i="60"/>
  <c r="AL34" i="60"/>
  <c r="BG34" i="60"/>
  <c r="W34" i="60"/>
  <c r="P34" i="60"/>
  <c r="AB34" i="60"/>
  <c r="T34" i="60"/>
  <c r="BP34" i="60"/>
  <c r="AR34" i="60"/>
  <c r="BT34" i="60"/>
  <c r="I34" i="60"/>
  <c r="BH34" i="60"/>
  <c r="AP34" i="60"/>
  <c r="D34" i="60"/>
  <c r="AW34" i="60"/>
  <c r="Y34" i="60"/>
  <c r="BM34" i="60"/>
  <c r="AU34" i="60"/>
  <c r="BO35" i="60"/>
  <c r="BF67" i="60"/>
  <c r="BB67" i="60"/>
  <c r="AX67" i="60"/>
  <c r="J67" i="60"/>
  <c r="AR67" i="60"/>
  <c r="BS67" i="60"/>
  <c r="BR67" i="60"/>
  <c r="I67" i="60"/>
  <c r="F67" i="60"/>
  <c r="AJ67" i="60"/>
  <c r="BJ67" i="60"/>
  <c r="AA67" i="60"/>
  <c r="BM67" i="60"/>
  <c r="BH67" i="60"/>
  <c r="G67" i="60"/>
  <c r="AW67" i="60"/>
  <c r="C67" i="60"/>
  <c r="AY67" i="60"/>
  <c r="AS67" i="60"/>
  <c r="K67" i="60"/>
  <c r="AZ67" i="60"/>
  <c r="BI67" i="60"/>
  <c r="AN67" i="60"/>
  <c r="AF67" i="60"/>
  <c r="W67" i="60"/>
  <c r="AB67" i="60"/>
  <c r="P67" i="60"/>
  <c r="BL67" i="60"/>
  <c r="AV67" i="60"/>
  <c r="H67" i="60"/>
  <c r="L67" i="60"/>
  <c r="BD67" i="60"/>
  <c r="Z67" i="60"/>
  <c r="V67" i="60"/>
  <c r="AC67" i="60"/>
  <c r="M67" i="60"/>
  <c r="BN67" i="60"/>
  <c r="O67" i="60"/>
  <c r="BC67" i="60"/>
  <c r="BP67" i="60"/>
  <c r="BE67" i="60"/>
  <c r="U67" i="60"/>
  <c r="BT67" i="60"/>
  <c r="BA67" i="60"/>
  <c r="Q67" i="60"/>
  <c r="AL67" i="60"/>
  <c r="AI67" i="60"/>
  <c r="BQ67" i="60"/>
  <c r="AG67" i="60"/>
  <c r="Y67" i="60"/>
  <c r="T67" i="60"/>
  <c r="BK67" i="60"/>
  <c r="AD67" i="60"/>
  <c r="AU67" i="60"/>
  <c r="AM67" i="60"/>
  <c r="AH67" i="60"/>
  <c r="S67" i="60"/>
  <c r="X67" i="60"/>
  <c r="BG67" i="60"/>
  <c r="N67" i="60"/>
  <c r="AT67" i="60"/>
  <c r="AO67" i="60"/>
  <c r="R67" i="60"/>
  <c r="BO67" i="60"/>
  <c r="D67" i="60"/>
  <c r="AP67" i="60"/>
  <c r="AQ67" i="60"/>
  <c r="AE67" i="60"/>
  <c r="AK67" i="60"/>
  <c r="BD11" i="60"/>
  <c r="BB11" i="60"/>
  <c r="AP11" i="60"/>
  <c r="AC11" i="60"/>
  <c r="J11" i="60"/>
  <c r="D11" i="60"/>
  <c r="BJ11" i="60"/>
  <c r="AF50" i="60"/>
  <c r="BJ50" i="60"/>
  <c r="AY50" i="60"/>
  <c r="AK71" i="60"/>
  <c r="BB71" i="60"/>
  <c r="AQ71" i="60"/>
  <c r="BS71" i="60"/>
  <c r="BA58" i="60"/>
  <c r="Z195" i="38"/>
  <c r="Q219" i="50"/>
  <c r="Q232" i="50"/>
  <c r="Q230" i="50"/>
  <c r="Q227" i="50"/>
  <c r="Q228" i="50"/>
  <c r="Q229" i="50"/>
  <c r="Q319" i="50"/>
  <c r="Q385" i="50" s="1"/>
  <c r="C253" i="50"/>
  <c r="H253" i="50" s="1"/>
  <c r="E259" i="50" s="1"/>
  <c r="D253" i="50"/>
  <c r="D187" i="50"/>
  <c r="W372" i="50"/>
  <c r="W160" i="50"/>
  <c r="W502" i="50"/>
  <c r="H187" i="50"/>
  <c r="V209" i="50" s="1"/>
  <c r="Q189" i="50"/>
  <c r="S568" i="50"/>
  <c r="W767" i="50"/>
  <c r="W701" i="50"/>
  <c r="W572" i="50"/>
  <c r="W308" i="50"/>
  <c r="V66" i="50"/>
  <c r="S439" i="50"/>
  <c r="H21" i="50"/>
  <c r="Q142" i="50" s="1"/>
  <c r="W304" i="50"/>
  <c r="W765" i="50"/>
  <c r="V71" i="50"/>
  <c r="Q21" i="50"/>
  <c r="W766" i="50"/>
  <c r="W438" i="50"/>
  <c r="W703" i="50"/>
  <c r="W173" i="50"/>
  <c r="W369" i="50"/>
  <c r="S567" i="50"/>
  <c r="W636" i="50"/>
  <c r="W633" i="50"/>
  <c r="W768" i="50"/>
  <c r="Q515" i="52"/>
  <c r="S515" i="52" s="1"/>
  <c r="BR68" i="60"/>
  <c r="AU68" i="60"/>
  <c r="Q366" i="52"/>
  <c r="S366" i="52" s="1"/>
  <c r="Q156" i="35"/>
  <c r="Q157" i="35" s="1"/>
  <c r="Q158" i="35" s="1"/>
  <c r="Q159" i="35" s="1"/>
  <c r="Q160" i="35" s="1"/>
  <c r="Q161" i="35" s="1"/>
  <c r="Q162" i="35" s="1"/>
  <c r="Q163" i="35" s="1"/>
  <c r="Q164" i="35" s="1"/>
  <c r="C459" i="52"/>
  <c r="Q459" i="52" s="1"/>
  <c r="S459" i="52" s="1"/>
  <c r="Q387" i="52"/>
  <c r="S387" i="52" s="1"/>
  <c r="P548" i="52"/>
  <c r="Z548" i="52"/>
  <c r="CL69" i="60"/>
  <c r="BH68" i="60"/>
  <c r="BI68" i="60"/>
  <c r="E42" i="60"/>
  <c r="CJ42" i="60"/>
  <c r="Q287" i="52"/>
  <c r="S287" i="52" s="1"/>
  <c r="P764" i="52"/>
  <c r="Z764" i="52"/>
  <c r="AY68" i="60"/>
  <c r="AP68" i="60"/>
  <c r="S467" i="52"/>
  <c r="C539" i="52"/>
  <c r="Q539" i="52" s="1"/>
  <c r="S539" i="52" s="1"/>
  <c r="C510" i="52"/>
  <c r="Q438" i="52"/>
  <c r="S438" i="52" s="1"/>
  <c r="Z493" i="52"/>
  <c r="P493" i="52"/>
  <c r="D534" i="52"/>
  <c r="C453" i="52"/>
  <c r="Q218" i="50"/>
  <c r="Q231" i="50"/>
  <c r="W699" i="50"/>
  <c r="W437" i="50"/>
  <c r="S437" i="50"/>
  <c r="P530" i="52"/>
  <c r="P671" i="52"/>
  <c r="Z664" i="52"/>
  <c r="P526" i="52"/>
  <c r="Z648" i="52"/>
  <c r="U135" i="46"/>
  <c r="C437" i="52"/>
  <c r="C509" i="52" s="1"/>
  <c r="C581" i="52" s="1"/>
  <c r="P755" i="52"/>
  <c r="Z446" i="52"/>
  <c r="S770" i="50"/>
  <c r="S369" i="50"/>
  <c r="W571" i="50"/>
  <c r="P301" i="52"/>
  <c r="P279" i="52"/>
  <c r="P276" i="52"/>
  <c r="K8" i="43"/>
  <c r="P288" i="52"/>
  <c r="B54" i="60"/>
  <c r="CJ54" i="60" s="1"/>
  <c r="W149" i="50"/>
  <c r="P303" i="52"/>
  <c r="P307" i="52"/>
  <c r="E60" i="60"/>
  <c r="CL60" i="60"/>
  <c r="P640" i="52"/>
  <c r="P702" i="52"/>
  <c r="Z702" i="52"/>
  <c r="Z662" i="52"/>
  <c r="P662" i="52"/>
  <c r="Z518" i="52"/>
  <c r="P518" i="52"/>
  <c r="C99" i="60"/>
  <c r="Q276" i="52"/>
  <c r="S276" i="52"/>
  <c r="C348" i="52"/>
  <c r="C420" i="52" s="1"/>
  <c r="P395" i="52"/>
  <c r="Z395" i="52"/>
  <c r="C610" i="52"/>
  <c r="I103" i="60"/>
  <c r="CJ64" i="60"/>
  <c r="CL64" i="60"/>
  <c r="E64" i="60"/>
  <c r="S64" i="60" s="1"/>
  <c r="E65" i="60"/>
  <c r="AW65" i="60" s="1"/>
  <c r="CL65" i="60"/>
  <c r="CJ65" i="60"/>
  <c r="CL23" i="60"/>
  <c r="E23" i="60"/>
  <c r="AI23" i="60" s="1"/>
  <c r="Q457" i="52"/>
  <c r="S457" i="52" s="1"/>
  <c r="D529" i="52"/>
  <c r="R40" i="60"/>
  <c r="M40" i="60"/>
  <c r="AR40" i="60"/>
  <c r="BO40" i="60"/>
  <c r="BR40" i="60"/>
  <c r="BK40" i="60"/>
  <c r="AY40" i="60"/>
  <c r="AL40" i="60"/>
  <c r="AT40" i="60"/>
  <c r="BE40" i="60"/>
  <c r="BC40" i="60"/>
  <c r="AN40" i="60"/>
  <c r="AQ40" i="60"/>
  <c r="BG40" i="60"/>
  <c r="BB40" i="60"/>
  <c r="X40" i="60"/>
  <c r="AM40" i="60"/>
  <c r="BH40" i="60"/>
  <c r="W40" i="60"/>
  <c r="AK40" i="60"/>
  <c r="N40" i="60"/>
  <c r="AU40" i="60"/>
  <c r="AI40" i="60"/>
  <c r="Q40" i="60"/>
  <c r="P40" i="60"/>
  <c r="AJ40" i="60"/>
  <c r="V40" i="60"/>
  <c r="BF40" i="60"/>
  <c r="AZ40" i="60"/>
  <c r="AO40" i="60"/>
  <c r="AW40" i="60"/>
  <c r="AD40" i="60"/>
  <c r="H40" i="60"/>
  <c r="BQ40" i="60"/>
  <c r="AX40" i="60"/>
  <c r="CJ56" i="60"/>
  <c r="E56" i="60"/>
  <c r="BG56" i="60" s="1"/>
  <c r="C418" i="52"/>
  <c r="Q346" i="52"/>
  <c r="S346" i="52" s="1"/>
  <c r="D614" i="52"/>
  <c r="Q542" i="52"/>
  <c r="S542" i="52" s="1"/>
  <c r="CJ26" i="60"/>
  <c r="E26" i="60"/>
  <c r="CL41" i="60"/>
  <c r="CL79" i="60"/>
  <c r="E79" i="60"/>
  <c r="AQ79" i="60" s="1"/>
  <c r="CJ38" i="60"/>
  <c r="CL38" i="60"/>
  <c r="CJ33" i="60"/>
  <c r="CL33" i="60"/>
  <c r="C419" i="52"/>
  <c r="Q773" i="52"/>
  <c r="S773" i="52" s="1"/>
  <c r="D774" i="52"/>
  <c r="Q774" i="52" s="1"/>
  <c r="S774" i="52" s="1"/>
  <c r="S265" i="52"/>
  <c r="C611" i="52"/>
  <c r="C569" i="52"/>
  <c r="Q569" i="52" s="1"/>
  <c r="S569" i="52" s="1"/>
  <c r="Q497" i="52"/>
  <c r="S497" i="52" s="1"/>
  <c r="Q375" i="52"/>
  <c r="S375" i="52" s="1"/>
  <c r="D447" i="52"/>
  <c r="Q447" i="52" s="1"/>
  <c r="S447" i="52" s="1"/>
  <c r="AE57" i="60"/>
  <c r="BJ57" i="60"/>
  <c r="AP57" i="60"/>
  <c r="AB57" i="60"/>
  <c r="BH57" i="60"/>
  <c r="E75" i="60"/>
  <c r="BC75" i="60" s="1"/>
  <c r="AC42" i="60"/>
  <c r="Q266" i="52"/>
  <c r="S266" i="52" s="1"/>
  <c r="Q372" i="52"/>
  <c r="S372" i="52"/>
  <c r="Q464" i="52"/>
  <c r="S464" i="52" s="1"/>
  <c r="D536" i="52"/>
  <c r="AU57" i="60"/>
  <c r="AZ57" i="60"/>
  <c r="H57" i="60"/>
  <c r="AH42" i="60"/>
  <c r="C758" i="52"/>
  <c r="Z513" i="52"/>
  <c r="P513" i="52"/>
  <c r="C232" i="52"/>
  <c r="B274" i="52" s="1"/>
  <c r="B346" i="52" s="1"/>
  <c r="A233" i="52"/>
  <c r="Z561" i="52"/>
  <c r="P561" i="52"/>
  <c r="AO110" i="60"/>
  <c r="AG110" i="60"/>
  <c r="Y110" i="60"/>
  <c r="E125" i="58"/>
  <c r="Y109" i="60"/>
  <c r="D460" i="52"/>
  <c r="Q388" i="52"/>
  <c r="S388" i="52"/>
  <c r="P274" i="52"/>
  <c r="D386" i="52"/>
  <c r="Q314" i="52"/>
  <c r="S314" i="52" s="1"/>
  <c r="V68" i="46"/>
  <c r="V70" i="46"/>
  <c r="D130" i="60"/>
  <c r="C130" i="60"/>
  <c r="Q371" i="52"/>
  <c r="S371" i="52" s="1"/>
  <c r="F329" i="52"/>
  <c r="F401" i="52" s="1"/>
  <c r="F473" i="52" s="1"/>
  <c r="F545" i="52" s="1"/>
  <c r="F617" i="52" s="1"/>
  <c r="F689" i="52" s="1"/>
  <c r="F761" i="52" s="1"/>
  <c r="F271" i="52"/>
  <c r="F334" i="52"/>
  <c r="F406" i="52" s="1"/>
  <c r="F478" i="52" s="1"/>
  <c r="F550" i="52" s="1"/>
  <c r="F622" i="52" s="1"/>
  <c r="F694" i="52" s="1"/>
  <c r="F766" i="52" s="1"/>
  <c r="D360" i="52"/>
  <c r="Q360" i="52"/>
  <c r="S360" i="52" s="1"/>
  <c r="Q288" i="52"/>
  <c r="S288" i="52" s="1"/>
  <c r="P309" i="52"/>
  <c r="V201" i="50"/>
  <c r="D319" i="50"/>
  <c r="C319" i="50"/>
  <c r="Q321" i="50" s="1"/>
  <c r="Q437" i="52"/>
  <c r="S437" i="52" s="1"/>
  <c r="BS42" i="60"/>
  <c r="C641" i="52"/>
  <c r="D432" i="52"/>
  <c r="Q432" i="52" s="1"/>
  <c r="S432" i="52" s="1"/>
  <c r="AN22" i="60"/>
  <c r="AB22" i="60"/>
  <c r="N22" i="60"/>
  <c r="AQ22" i="60"/>
  <c r="BS22" i="60"/>
  <c r="AU22" i="60"/>
  <c r="V22" i="60"/>
  <c r="X22" i="60"/>
  <c r="Q22" i="60"/>
  <c r="AT22" i="60"/>
  <c r="BC22" i="60"/>
  <c r="C22" i="60"/>
  <c r="BB22" i="60"/>
  <c r="Y22" i="60"/>
  <c r="BQ22" i="60"/>
  <c r="BF22" i="60"/>
  <c r="AR22" i="60"/>
  <c r="O22" i="60"/>
  <c r="AK22" i="60"/>
  <c r="BN22" i="60"/>
  <c r="AG65" i="60"/>
  <c r="AR64" i="60"/>
  <c r="V64" i="60"/>
  <c r="AP75" i="60"/>
  <c r="Q348" i="52"/>
  <c r="S348" i="52" s="1"/>
  <c r="H22" i="50"/>
  <c r="D532" i="52"/>
  <c r="Q532" i="52"/>
  <c r="S532" i="52" s="1"/>
  <c r="Q460" i="52"/>
  <c r="S460" i="52" s="1"/>
  <c r="F343" i="52"/>
  <c r="F415" i="52" s="1"/>
  <c r="F487" i="52" s="1"/>
  <c r="F559" i="52" s="1"/>
  <c r="F631" i="52" s="1"/>
  <c r="F703" i="52" s="1"/>
  <c r="F318" i="52"/>
  <c r="F390" i="52" s="1"/>
  <c r="F462" i="52" s="1"/>
  <c r="F534" i="52" s="1"/>
  <c r="F606" i="52" s="1"/>
  <c r="F678" i="52" s="1"/>
  <c r="F750" i="52" s="1"/>
  <c r="Q386" i="52"/>
  <c r="S386" i="52" s="1"/>
  <c r="D458" i="52"/>
  <c r="C233" i="52"/>
  <c r="B277" i="52" s="1"/>
  <c r="B349" i="52" s="1"/>
  <c r="A234" i="52"/>
  <c r="A235" i="52" s="1"/>
  <c r="V226" i="38"/>
  <c r="AO79" i="60"/>
  <c r="BI79" i="60"/>
  <c r="D686" i="52"/>
  <c r="D758" i="52" s="1"/>
  <c r="Q758" i="52" s="1"/>
  <c r="S758" i="52" s="1"/>
  <c r="Q614" i="52"/>
  <c r="S614" i="52" s="1"/>
  <c r="AK56" i="60"/>
  <c r="AS56" i="60"/>
  <c r="BF56" i="60"/>
  <c r="BH56" i="60"/>
  <c r="J56" i="60"/>
  <c r="S56" i="60"/>
  <c r="I56" i="60"/>
  <c r="BI56" i="60"/>
  <c r="AE56" i="60"/>
  <c r="AH56" i="60"/>
  <c r="BL56" i="60"/>
  <c r="M56" i="60"/>
  <c r="G56" i="60"/>
  <c r="F56" i="60"/>
  <c r="BN56" i="60"/>
  <c r="W56" i="60"/>
  <c r="BP56" i="60"/>
  <c r="U56" i="60"/>
  <c r="K56" i="60"/>
  <c r="AT56" i="60"/>
  <c r="BM56" i="60"/>
  <c r="AD56" i="60"/>
  <c r="AO56" i="60"/>
  <c r="D56" i="60"/>
  <c r="AQ56" i="60"/>
  <c r="BD56" i="60"/>
  <c r="BS56" i="60"/>
  <c r="AY56" i="60"/>
  <c r="H56" i="60"/>
  <c r="AN56" i="60"/>
  <c r="V56" i="60"/>
  <c r="BA56" i="60"/>
  <c r="Z56" i="60"/>
  <c r="AC56" i="60"/>
  <c r="BB56" i="60"/>
  <c r="AF56" i="60"/>
  <c r="Y56" i="60"/>
  <c r="AJ56" i="60"/>
  <c r="AX56" i="60"/>
  <c r="AA56" i="60"/>
  <c r="AW56" i="60"/>
  <c r="N56" i="60"/>
  <c r="X56" i="60"/>
  <c r="BC56" i="60"/>
  <c r="C682" i="52"/>
  <c r="Y60" i="60"/>
  <c r="AI60" i="60"/>
  <c r="BD60" i="60"/>
  <c r="BO60" i="60"/>
  <c r="BJ60" i="60"/>
  <c r="AQ60" i="60"/>
  <c r="AX60" i="60"/>
  <c r="L60" i="60"/>
  <c r="K60" i="60"/>
  <c r="BM60" i="60"/>
  <c r="W60" i="60"/>
  <c r="C60" i="60"/>
  <c r="AR60" i="60"/>
  <c r="AV60" i="60"/>
  <c r="AS60" i="60"/>
  <c r="AY60" i="60"/>
  <c r="AL60" i="60"/>
  <c r="Q451" i="50"/>
  <c r="D604" i="52"/>
  <c r="D676" i="52" s="1"/>
  <c r="D748" i="52" s="1"/>
  <c r="B418" i="52"/>
  <c r="B490" i="52" s="1"/>
  <c r="B562" i="52" s="1"/>
  <c r="B634" i="52" s="1"/>
  <c r="B706" i="52" s="1"/>
  <c r="T99" i="60"/>
  <c r="S168" i="46"/>
  <c r="I168" i="46"/>
  <c r="D60" i="60"/>
  <c r="BB60" i="60"/>
  <c r="N60" i="60"/>
  <c r="BH60" i="60"/>
  <c r="R60" i="60"/>
  <c r="BI60" i="60"/>
  <c r="BE60" i="60"/>
  <c r="P60" i="60"/>
  <c r="Q65" i="60"/>
  <c r="F65" i="60"/>
  <c r="BG65" i="60"/>
  <c r="AP22" i="60"/>
  <c r="AD22" i="60"/>
  <c r="S22" i="60"/>
  <c r="L22" i="60"/>
  <c r="T22" i="60"/>
  <c r="BT22" i="60"/>
  <c r="AE22" i="60"/>
  <c r="M22" i="60"/>
  <c r="AH22" i="60"/>
  <c r="AM22" i="60"/>
  <c r="BJ22" i="60"/>
  <c r="BG22" i="60"/>
  <c r="BO22" i="60"/>
  <c r="AG22" i="60"/>
  <c r="BI22" i="60"/>
  <c r="BM22" i="60"/>
  <c r="D22" i="60"/>
  <c r="X59" i="38"/>
  <c r="Y59" i="38"/>
  <c r="X58" i="38"/>
  <c r="Y58" i="38"/>
  <c r="X60" i="38"/>
  <c r="Y60" i="38"/>
  <c r="X62" i="38"/>
  <c r="AF65" i="60"/>
  <c r="AP65" i="60"/>
  <c r="AQ65" i="60"/>
  <c r="M135" i="46"/>
  <c r="V135" i="46"/>
  <c r="R83" i="60"/>
  <c r="AN83" i="60"/>
  <c r="AR83" i="60"/>
  <c r="AD83" i="60"/>
  <c r="BI83" i="60"/>
  <c r="AP83" i="60"/>
  <c r="BN83" i="60"/>
  <c r="AQ83" i="60"/>
  <c r="BE83" i="60"/>
  <c r="W83" i="60"/>
  <c r="AU83" i="60"/>
  <c r="AH83" i="60"/>
  <c r="BM83" i="60"/>
  <c r="BH83" i="60"/>
  <c r="BL83" i="60"/>
  <c r="N83" i="60"/>
  <c r="BJ83" i="60"/>
  <c r="AK83" i="60"/>
  <c r="J83" i="60"/>
  <c r="AB83" i="60"/>
  <c r="O83" i="60"/>
  <c r="Z83" i="60"/>
  <c r="BC83" i="60"/>
  <c r="F83" i="60"/>
  <c r="AJ83" i="60"/>
  <c r="BQ83" i="60"/>
  <c r="BA83" i="60"/>
  <c r="AI83" i="60"/>
  <c r="AC83" i="60"/>
  <c r="BG83" i="60"/>
  <c r="T83" i="60"/>
  <c r="AO83" i="60"/>
  <c r="Y83" i="60"/>
  <c r="X57" i="38"/>
  <c r="BT75" i="60"/>
  <c r="Z75" i="60"/>
  <c r="AT75" i="60"/>
  <c r="AR75" i="60"/>
  <c r="R23" i="60"/>
  <c r="O23" i="60"/>
  <c r="X23" i="60"/>
  <c r="BP23" i="60"/>
  <c r="G60" i="60"/>
  <c r="AM60" i="60"/>
  <c r="BR60" i="60"/>
  <c r="AA60" i="60"/>
  <c r="BK60" i="60"/>
  <c r="AO60" i="60"/>
  <c r="X60" i="60"/>
  <c r="BN60" i="60"/>
  <c r="BK75" i="60"/>
  <c r="AY75" i="60"/>
  <c r="S75" i="60"/>
  <c r="AU65" i="60"/>
  <c r="AA65" i="60"/>
  <c r="BA65" i="60"/>
  <c r="V65" i="60"/>
  <c r="AW23" i="60"/>
  <c r="AA23" i="60"/>
  <c r="AG23" i="60"/>
  <c r="Z22" i="60"/>
  <c r="AC22" i="60"/>
  <c r="BR22" i="60"/>
  <c r="H22" i="60"/>
  <c r="AY22" i="60"/>
  <c r="AZ22" i="60"/>
  <c r="AV22" i="60"/>
  <c r="BE22" i="60"/>
  <c r="AJ22" i="60"/>
  <c r="BD22" i="60"/>
  <c r="W22" i="60"/>
  <c r="AX22" i="60"/>
  <c r="AL22" i="60"/>
  <c r="G83" i="60"/>
  <c r="AS31" i="60"/>
  <c r="P31" i="60"/>
  <c r="AQ31" i="60"/>
  <c r="H31" i="60"/>
  <c r="AR31" i="60"/>
  <c r="BR31" i="60"/>
  <c r="BE31" i="60"/>
  <c r="G31" i="60"/>
  <c r="AJ31" i="60"/>
  <c r="BF31" i="60"/>
  <c r="BK31" i="60"/>
  <c r="AH31" i="60"/>
  <c r="U31" i="60"/>
  <c r="O31" i="60"/>
  <c r="AT31" i="60"/>
  <c r="BH31" i="60"/>
  <c r="BI31" i="60"/>
  <c r="AO31" i="60"/>
  <c r="BT31" i="60"/>
  <c r="AC31" i="60"/>
  <c r="AF31" i="60"/>
  <c r="T31" i="60"/>
  <c r="I31" i="60"/>
  <c r="AQ57" i="60"/>
  <c r="O57" i="60"/>
  <c r="AK57" i="60"/>
  <c r="G57" i="60"/>
  <c r="D57" i="60"/>
  <c r="BN57" i="60"/>
  <c r="BC57" i="60"/>
  <c r="BI57" i="60"/>
  <c r="AL57" i="60"/>
  <c r="AR57" i="60"/>
  <c r="BS57" i="60"/>
  <c r="BT57" i="60"/>
  <c r="BL57" i="60"/>
  <c r="BD29" i="60"/>
  <c r="BR29" i="60"/>
  <c r="AR29" i="60"/>
  <c r="BQ29" i="60"/>
  <c r="AG29" i="60"/>
  <c r="C29" i="60"/>
  <c r="BO29" i="60"/>
  <c r="W29" i="60"/>
  <c r="M29" i="60"/>
  <c r="X29" i="60"/>
  <c r="K29" i="60"/>
  <c r="BO63" i="60"/>
  <c r="V63" i="60"/>
  <c r="AX63" i="60"/>
  <c r="U103" i="60"/>
  <c r="Y61" i="38"/>
  <c r="BL68" i="60"/>
  <c r="AX75" i="60"/>
  <c r="BL75" i="60"/>
  <c r="BP75" i="60"/>
  <c r="N75" i="60"/>
  <c r="AJ75" i="60"/>
  <c r="AV75" i="60"/>
  <c r="AW75" i="60"/>
  <c r="AI75" i="60"/>
  <c r="BJ75" i="60"/>
  <c r="O75" i="60"/>
  <c r="K75" i="60"/>
  <c r="AZ75" i="60"/>
  <c r="AL75" i="60"/>
  <c r="L75" i="60"/>
  <c r="BG75" i="60"/>
  <c r="I75" i="60"/>
  <c r="BM75" i="60"/>
  <c r="V75" i="60"/>
  <c r="AH75" i="60"/>
  <c r="BB75" i="60"/>
  <c r="U75" i="60"/>
  <c r="BS75" i="60"/>
  <c r="AN75" i="60"/>
  <c r="W75" i="60"/>
  <c r="P75" i="60"/>
  <c r="AF75" i="60"/>
  <c r="BA75" i="60"/>
  <c r="AS75" i="60"/>
  <c r="AQ75" i="60"/>
  <c r="AA75" i="60"/>
  <c r="AM75" i="60"/>
  <c r="F75" i="60"/>
  <c r="AB75" i="60"/>
  <c r="AU75" i="60"/>
  <c r="BH75" i="60"/>
  <c r="AD75" i="60"/>
  <c r="M75" i="60"/>
  <c r="G75" i="60"/>
  <c r="T75" i="60"/>
  <c r="BN75" i="60"/>
  <c r="M63" i="60"/>
  <c r="BE63" i="60"/>
  <c r="AI63" i="60"/>
  <c r="AT63" i="60"/>
  <c r="BT63" i="60"/>
  <c r="BF63" i="60"/>
  <c r="AM63" i="60"/>
  <c r="BQ63" i="60"/>
  <c r="Y63" i="60"/>
  <c r="U63" i="60"/>
  <c r="X63" i="60"/>
  <c r="H63" i="60"/>
  <c r="AL63" i="60"/>
  <c r="AQ63" i="60"/>
  <c r="AN63" i="60"/>
  <c r="BN63" i="60"/>
  <c r="T103" i="60"/>
  <c r="AB234" i="38"/>
  <c r="AB230" i="38"/>
  <c r="AB229" i="38"/>
  <c r="AB228" i="38"/>
  <c r="AB232" i="38"/>
  <c r="AB233" i="38"/>
  <c r="AB226" i="38"/>
  <c r="AB235" i="38"/>
  <c r="AB227" i="38"/>
  <c r="AB231" i="38"/>
  <c r="M103" i="60"/>
  <c r="BS63" i="60"/>
  <c r="AG63" i="60"/>
  <c r="N63" i="60"/>
  <c r="AY63" i="60"/>
  <c r="G63" i="60"/>
  <c r="CL19" i="60"/>
  <c r="E19" i="60"/>
  <c r="E85" i="60"/>
  <c r="CJ85" i="60"/>
  <c r="CL85" i="60"/>
  <c r="BG42" i="60"/>
  <c r="BQ42" i="60"/>
  <c r="H42" i="60"/>
  <c r="G41" i="60"/>
  <c r="V41" i="60"/>
  <c r="J103" i="60"/>
  <c r="AK63" i="60"/>
  <c r="BR63" i="60"/>
  <c r="F63" i="60"/>
  <c r="AE63" i="60"/>
  <c r="AV63" i="60"/>
  <c r="AX42" i="60"/>
  <c r="BL42" i="60"/>
  <c r="BT42" i="60"/>
  <c r="AR42" i="60"/>
  <c r="AZ42" i="60"/>
  <c r="K41" i="60"/>
  <c r="AX41" i="60"/>
  <c r="S103" i="60"/>
  <c r="C63" i="60"/>
  <c r="Z63" i="60"/>
  <c r="K63" i="60"/>
  <c r="BB63" i="60"/>
  <c r="BP63" i="60"/>
  <c r="AB236" i="38"/>
  <c r="CL18" i="60"/>
  <c r="E18" i="60"/>
  <c r="CJ53" i="60"/>
  <c r="CL53" i="60"/>
  <c r="E53" i="60"/>
  <c r="E17" i="60"/>
  <c r="CL17" i="60"/>
  <c r="CJ17" i="60"/>
  <c r="CJ69" i="60"/>
  <c r="E69" i="60"/>
  <c r="E48" i="60"/>
  <c r="CJ48" i="60"/>
  <c r="CL48" i="60"/>
  <c r="CJ75" i="60"/>
  <c r="CL75" i="60"/>
  <c r="CJ18" i="60"/>
  <c r="E77" i="60"/>
  <c r="BL77" i="60" s="1"/>
  <c r="W506" i="50"/>
  <c r="BM11" i="60"/>
  <c r="W567" i="50"/>
  <c r="W568" i="50"/>
  <c r="H321" i="50"/>
  <c r="H323" i="50" s="1"/>
  <c r="V205" i="50"/>
  <c r="W239" i="50"/>
  <c r="S305" i="50"/>
  <c r="W634" i="50"/>
  <c r="W240" i="50"/>
  <c r="S440" i="50"/>
  <c r="W638" i="50"/>
  <c r="H319" i="50"/>
  <c r="V339" i="50" s="1"/>
  <c r="V337" i="50"/>
  <c r="Q255" i="50"/>
  <c r="S253" i="50" s="1"/>
  <c r="U253" i="50" s="1"/>
  <c r="V207" i="50"/>
  <c r="W704" i="50"/>
  <c r="S702" i="50"/>
  <c r="W439" i="50"/>
  <c r="H255" i="50"/>
  <c r="Q295" i="50" s="1"/>
  <c r="W570" i="50"/>
  <c r="W238" i="50"/>
  <c r="W242" i="50"/>
  <c r="S436" i="50"/>
  <c r="D562" i="52"/>
  <c r="V228" i="38"/>
  <c r="V341" i="50"/>
  <c r="V333" i="50"/>
  <c r="V227" i="38"/>
  <c r="V229" i="38"/>
  <c r="C582" i="52"/>
  <c r="Q510" i="52"/>
  <c r="S510" i="52" s="1"/>
  <c r="D606" i="52"/>
  <c r="D678" i="52" s="1"/>
  <c r="D750" i="52"/>
  <c r="M226" i="38"/>
  <c r="G11" i="60"/>
  <c r="M229" i="38"/>
  <c r="S319" i="50" s="1"/>
  <c r="M227" i="38"/>
  <c r="M228" i="38"/>
  <c r="F319" i="52"/>
  <c r="F391" i="52" s="1"/>
  <c r="F463" i="52" s="1"/>
  <c r="F535" i="52" s="1"/>
  <c r="F607" i="52" s="1"/>
  <c r="F679" i="52" s="1"/>
  <c r="F751" i="52" s="1"/>
  <c r="F311" i="52"/>
  <c r="F383" i="52" s="1"/>
  <c r="F455" i="52" s="1"/>
  <c r="F527" i="52" s="1"/>
  <c r="F599" i="52" s="1"/>
  <c r="F671" i="52" s="1"/>
  <c r="F743" i="52" s="1"/>
  <c r="F305" i="52"/>
  <c r="F377" i="52"/>
  <c r="F449" i="52" s="1"/>
  <c r="F521" i="52" s="1"/>
  <c r="F593" i="52" s="1"/>
  <c r="F665" i="52" s="1"/>
  <c r="F737" i="52" s="1"/>
  <c r="F272" i="52"/>
  <c r="F344" i="52" s="1"/>
  <c r="F416" i="52" s="1"/>
  <c r="F488" i="52" s="1"/>
  <c r="F560" i="52" s="1"/>
  <c r="F632" i="52" s="1"/>
  <c r="F704" i="52" s="1"/>
  <c r="F294" i="52"/>
  <c r="F366" i="52" s="1"/>
  <c r="F438" i="52" s="1"/>
  <c r="F510" i="52" s="1"/>
  <c r="F582" i="52" s="1"/>
  <c r="F654" i="52" s="1"/>
  <c r="F726" i="52" s="1"/>
  <c r="F296" i="52"/>
  <c r="F368" i="52" s="1"/>
  <c r="F440" i="52" s="1"/>
  <c r="F512" i="52" s="1"/>
  <c r="F584" i="52"/>
  <c r="F656" i="52" s="1"/>
  <c r="F728" i="52" s="1"/>
  <c r="Z197" i="38"/>
  <c r="Z194" i="38"/>
  <c r="Z196" i="38"/>
  <c r="C677" i="52"/>
  <c r="Q605" i="52"/>
  <c r="S605" i="52" s="1"/>
  <c r="C526" i="52"/>
  <c r="Q454" i="52"/>
  <c r="S454" i="52" s="1"/>
  <c r="Q444" i="52"/>
  <c r="S444" i="52"/>
  <c r="C516" i="52"/>
  <c r="C588" i="52" s="1"/>
  <c r="C660" i="52" s="1"/>
  <c r="C732" i="52" s="1"/>
  <c r="Q732" i="52" s="1"/>
  <c r="S732" i="52" s="1"/>
  <c r="BS11" i="60"/>
  <c r="AK59" i="60"/>
  <c r="BJ59" i="60"/>
  <c r="C692" i="52"/>
  <c r="I79" i="60"/>
  <c r="AN79" i="60"/>
  <c r="AW79" i="60"/>
  <c r="AP79" i="60"/>
  <c r="BH79" i="60"/>
  <c r="M79" i="60"/>
  <c r="AM79" i="60"/>
  <c r="BA79" i="60"/>
  <c r="AB26" i="60"/>
  <c r="R75" i="60"/>
  <c r="BD75" i="60"/>
  <c r="AG75" i="60"/>
  <c r="D75" i="60"/>
  <c r="J75" i="60"/>
  <c r="BI75" i="60"/>
  <c r="BE75" i="60"/>
  <c r="AE75" i="60"/>
  <c r="Y75" i="60"/>
  <c r="BF75" i="60"/>
  <c r="H75" i="60"/>
  <c r="BO75" i="60"/>
  <c r="AK75" i="60"/>
  <c r="BR75" i="60"/>
  <c r="AC75" i="60"/>
  <c r="X75" i="60"/>
  <c r="R65" i="60"/>
  <c r="BC65" i="60"/>
  <c r="S65" i="60"/>
  <c r="AJ65" i="60"/>
  <c r="BT65" i="60"/>
  <c r="J65" i="60"/>
  <c r="I65" i="60"/>
  <c r="D65" i="60"/>
  <c r="AH23" i="60"/>
  <c r="BB23" i="60"/>
  <c r="AM23" i="60"/>
  <c r="AU23" i="60"/>
  <c r="BN23" i="60"/>
  <c r="V23" i="60"/>
  <c r="AQ42" i="60"/>
  <c r="BJ42" i="60"/>
  <c r="N42" i="60"/>
  <c r="X42" i="60"/>
  <c r="BE42" i="60"/>
  <c r="K42" i="60"/>
  <c r="AE42" i="60"/>
  <c r="AI42" i="60"/>
  <c r="P42" i="60"/>
  <c r="BH42" i="60"/>
  <c r="AD42" i="60"/>
  <c r="BA42" i="60"/>
  <c r="Z708" i="52"/>
  <c r="AM59" i="60"/>
  <c r="AW31" i="60"/>
  <c r="BS31" i="60"/>
  <c r="BQ31" i="60"/>
  <c r="BR59" i="60"/>
  <c r="K59" i="60"/>
  <c r="N59" i="60"/>
  <c r="CL31" i="60"/>
  <c r="T48" i="60"/>
  <c r="BR48" i="60"/>
  <c r="C48" i="60"/>
  <c r="AK48" i="60"/>
  <c r="X61" i="38"/>
  <c r="Y57" i="38"/>
  <c r="Y62" i="38"/>
  <c r="BR77" i="60"/>
  <c r="AW77" i="60"/>
  <c r="BB77" i="60"/>
  <c r="F77" i="60"/>
  <c r="BP59" i="60"/>
  <c r="BS59" i="60"/>
  <c r="BC31" i="60"/>
  <c r="AN31" i="60"/>
  <c r="BM59" i="60"/>
  <c r="L59" i="60"/>
  <c r="Q368" i="58"/>
  <c r="D368" i="58" s="1"/>
  <c r="AC48" i="60"/>
  <c r="AN48" i="60"/>
  <c r="Y56" i="38"/>
  <c r="X56" i="38"/>
  <c r="AD77" i="60"/>
  <c r="AP77" i="60"/>
  <c r="Q425" i="52"/>
  <c r="S425" i="52" s="1"/>
  <c r="S373" i="50"/>
  <c r="AB17" i="60"/>
  <c r="AR17" i="60"/>
  <c r="Z17" i="60"/>
  <c r="AP17" i="60"/>
  <c r="BM17" i="60"/>
  <c r="AZ17" i="60"/>
  <c r="BO17" i="60"/>
  <c r="BO18" i="60"/>
  <c r="AU18" i="60"/>
  <c r="P18" i="60"/>
  <c r="J18" i="60"/>
  <c r="Z85" i="60"/>
  <c r="K85" i="60"/>
  <c r="BP85" i="60"/>
  <c r="V85" i="60"/>
  <c r="J85" i="60"/>
  <c r="BC85" i="60"/>
  <c r="BM85" i="60"/>
  <c r="AA85" i="60"/>
  <c r="BE85" i="60"/>
  <c r="BL85" i="60"/>
  <c r="BB85" i="60"/>
  <c r="U85" i="60"/>
  <c r="L85" i="60"/>
  <c r="AG85" i="60"/>
  <c r="H85" i="60"/>
  <c r="AC85" i="60"/>
  <c r="AF85" i="60"/>
  <c r="D85" i="60"/>
  <c r="AK85" i="60"/>
  <c r="AE85" i="60"/>
  <c r="AH85" i="60"/>
  <c r="X85" i="60"/>
  <c r="M85" i="60"/>
  <c r="AP85" i="60"/>
  <c r="AY85" i="60"/>
  <c r="C85" i="60"/>
  <c r="AD85" i="60"/>
  <c r="AL85" i="60"/>
  <c r="AZ85" i="60"/>
  <c r="W85" i="60"/>
  <c r="AA53" i="60"/>
  <c r="BA53" i="60"/>
  <c r="AS53" i="60"/>
  <c r="AH53" i="60"/>
  <c r="BH53" i="60"/>
  <c r="BI53" i="60"/>
  <c r="V53" i="60"/>
  <c r="AB53" i="60"/>
  <c r="K53" i="60"/>
  <c r="BP53" i="60"/>
  <c r="G53" i="60"/>
  <c r="AM53" i="60"/>
  <c r="AJ53" i="60"/>
  <c r="O53" i="60"/>
  <c r="BD53" i="60"/>
  <c r="AE53" i="60"/>
  <c r="AG53" i="60"/>
  <c r="AC53" i="60"/>
  <c r="AW53" i="60"/>
  <c r="BO53" i="60"/>
  <c r="AU53" i="60"/>
  <c r="BE53" i="60"/>
  <c r="BJ53" i="60"/>
  <c r="BK53" i="60"/>
  <c r="AL53" i="60"/>
  <c r="P53" i="60"/>
  <c r="W53" i="60"/>
  <c r="AK53" i="60"/>
  <c r="BS53" i="60"/>
  <c r="D53" i="60"/>
  <c r="I53" i="60"/>
  <c r="AT53" i="60"/>
  <c r="BR53" i="60"/>
  <c r="AN53" i="60"/>
  <c r="BO19" i="60"/>
  <c r="AM19" i="60"/>
  <c r="BT19" i="60"/>
  <c r="V19" i="60"/>
  <c r="BA19" i="60"/>
  <c r="S19" i="60"/>
  <c r="AJ19" i="60"/>
  <c r="AT19" i="60"/>
  <c r="J19" i="60"/>
  <c r="BD19" i="60"/>
  <c r="I19" i="60"/>
  <c r="D19" i="60"/>
  <c r="AN19" i="60"/>
  <c r="BR19" i="60"/>
  <c r="BQ19" i="60"/>
  <c r="BB19" i="60"/>
  <c r="BH19" i="60"/>
  <c r="BG19" i="60"/>
  <c r="AI19" i="60"/>
  <c r="C19" i="60"/>
  <c r="BE19" i="60"/>
  <c r="AC19" i="60"/>
  <c r="BK19" i="60"/>
  <c r="W19" i="60"/>
  <c r="AO19" i="60"/>
  <c r="AX19" i="60"/>
  <c r="AS19" i="60"/>
  <c r="AV19" i="60"/>
  <c r="N19" i="60"/>
  <c r="AL19" i="60"/>
  <c r="AF19" i="60"/>
  <c r="BF19" i="60"/>
  <c r="R19" i="60"/>
  <c r="AW19" i="60"/>
  <c r="AY19" i="60"/>
  <c r="I77" i="60"/>
  <c r="AF77" i="60"/>
  <c r="D77" i="60"/>
  <c r="BE77" i="60"/>
  <c r="BF77" i="60"/>
  <c r="AK77" i="60"/>
  <c r="S77" i="60"/>
  <c r="K77" i="60"/>
  <c r="BH77" i="60"/>
  <c r="AC77" i="60"/>
  <c r="G77" i="60"/>
  <c r="AT77" i="60"/>
  <c r="AH77" i="60"/>
  <c r="BD77" i="60"/>
  <c r="AI48" i="60"/>
  <c r="AM48" i="60"/>
  <c r="AH48" i="60"/>
  <c r="AE48" i="60"/>
  <c r="BA48" i="60"/>
  <c r="N48" i="60"/>
  <c r="M48" i="60"/>
  <c r="AQ48" i="60"/>
  <c r="BH48" i="60"/>
  <c r="AT48" i="60"/>
  <c r="L48" i="60"/>
  <c r="AJ48" i="60"/>
  <c r="BK48" i="60"/>
  <c r="AO48" i="60"/>
  <c r="R48" i="60"/>
  <c r="BN48" i="60"/>
  <c r="AU48" i="60"/>
  <c r="AB48" i="60"/>
  <c r="H48" i="60"/>
  <c r="BM48" i="60"/>
  <c r="AW48" i="60"/>
  <c r="BF48" i="60"/>
  <c r="AA48" i="60"/>
  <c r="P48" i="60"/>
  <c r="BT48" i="60"/>
  <c r="Z48" i="60"/>
  <c r="BI48" i="60"/>
  <c r="AF48" i="60"/>
  <c r="X48" i="60"/>
  <c r="O48" i="60"/>
  <c r="AS48" i="60"/>
  <c r="AY48" i="60"/>
  <c r="BE48" i="60"/>
  <c r="BJ48" i="60"/>
  <c r="BB48" i="60"/>
  <c r="AD48" i="60"/>
  <c r="BD48" i="60"/>
  <c r="S48" i="60"/>
  <c r="D48" i="60"/>
  <c r="AX48" i="60"/>
  <c r="BQ48" i="60"/>
  <c r="BG48" i="60"/>
  <c r="F48" i="60"/>
  <c r="K69" i="60"/>
  <c r="O69" i="60"/>
  <c r="BG69" i="60"/>
  <c r="AN69" i="60"/>
  <c r="L69" i="60"/>
  <c r="AR69" i="60"/>
  <c r="AU69" i="60"/>
  <c r="BF69" i="60"/>
  <c r="BR69" i="60"/>
  <c r="Q293" i="50"/>
  <c r="Q294" i="50"/>
  <c r="Q362" i="50"/>
  <c r="Q677" i="52"/>
  <c r="S677" i="52" s="1"/>
  <c r="C749" i="52"/>
  <c r="Q749" i="52" s="1"/>
  <c r="S749" i="52" s="1"/>
  <c r="H139" i="50"/>
  <c r="W139" i="50" s="1"/>
  <c r="H138" i="50"/>
  <c r="W138" i="50" s="1"/>
  <c r="H359" i="50"/>
  <c r="W359" i="50" s="1"/>
  <c r="D51" i="58"/>
  <c r="E51" i="58" s="1"/>
  <c r="H152" i="58" s="1"/>
  <c r="E160" i="58" s="1"/>
  <c r="S19" i="50"/>
  <c r="T19" i="50" s="1"/>
  <c r="D634" i="52"/>
  <c r="D706" i="52" s="1"/>
  <c r="K242" i="38"/>
  <c r="J242" i="38"/>
  <c r="C598" i="52"/>
  <c r="Q598" i="52" s="1"/>
  <c r="S598" i="52" s="1"/>
  <c r="Q526" i="52"/>
  <c r="S526" i="52"/>
  <c r="Q582" i="52"/>
  <c r="S582" i="52"/>
  <c r="C654" i="52"/>
  <c r="Q654" i="52"/>
  <c r="S654" i="52" s="1"/>
  <c r="C726" i="52"/>
  <c r="Q726" i="52" s="1"/>
  <c r="S726" i="52" s="1"/>
  <c r="Q588" i="52"/>
  <c r="S588" i="52" s="1"/>
  <c r="M275" i="38"/>
  <c r="H275" i="38"/>
  <c r="I275" i="38"/>
  <c r="J275" i="38"/>
  <c r="G275" i="38"/>
  <c r="K275" i="38"/>
  <c r="L275" i="38"/>
  <c r="X11" i="60"/>
  <c r="H142" i="50"/>
  <c r="W142" i="50" s="1"/>
  <c r="E43" i="50"/>
  <c r="E325" i="50"/>
  <c r="E193" i="50"/>
  <c r="H257" i="50"/>
  <c r="H361" i="50"/>
  <c r="W361" i="50" s="1"/>
  <c r="H296" i="50"/>
  <c r="W296" i="50" s="1"/>
  <c r="H364" i="50"/>
  <c r="W364" i="50" s="1"/>
  <c r="H141" i="50"/>
  <c r="W141" i="50" s="1"/>
  <c r="H231" i="50"/>
  <c r="H143" i="50"/>
  <c r="W143" i="50"/>
  <c r="H140" i="50"/>
  <c r="W140" i="50" s="1"/>
  <c r="H284" i="50"/>
  <c r="S284" i="50"/>
  <c r="H294" i="50"/>
  <c r="W294" i="50" s="1"/>
  <c r="H229" i="50"/>
  <c r="W229" i="50" s="1"/>
  <c r="W231" i="50"/>
  <c r="H232" i="50"/>
  <c r="W232" i="50" s="1"/>
  <c r="H228" i="50"/>
  <c r="H190" i="50"/>
  <c r="H191" i="50"/>
  <c r="I284" i="50"/>
  <c r="H218" i="50"/>
  <c r="S218" i="50" s="1"/>
  <c r="H230" i="50"/>
  <c r="W230" i="50" s="1"/>
  <c r="H227" i="50"/>
  <c r="W227" i="50"/>
  <c r="W228" i="50"/>
  <c r="G272" i="38"/>
  <c r="G273" i="38"/>
  <c r="K273" i="38"/>
  <c r="H272" i="38"/>
  <c r="L272" i="38"/>
  <c r="I272" i="38"/>
  <c r="M272" i="38"/>
  <c r="H273" i="38"/>
  <c r="L273" i="38"/>
  <c r="M273" i="38"/>
  <c r="J272" i="38"/>
  <c r="I273" i="38"/>
  <c r="K272" i="38"/>
  <c r="J273" i="38"/>
  <c r="J274" i="38"/>
  <c r="K274" i="38"/>
  <c r="L274" i="38"/>
  <c r="H274" i="38"/>
  <c r="I274" i="38"/>
  <c r="M274" i="38"/>
  <c r="G274" i="38"/>
  <c r="H350" i="38"/>
  <c r="AI64" i="60"/>
  <c r="T64" i="60"/>
  <c r="G64" i="60"/>
  <c r="AH64" i="60"/>
  <c r="AK64" i="60"/>
  <c r="D64" i="60"/>
  <c r="BJ64" i="60"/>
  <c r="AU64" i="60"/>
  <c r="P64" i="60"/>
  <c r="AQ64" i="60"/>
  <c r="Y64" i="60"/>
  <c r="BP64" i="60"/>
  <c r="BS64" i="60"/>
  <c r="M64" i="60"/>
  <c r="H64" i="60"/>
  <c r="BE64" i="60"/>
  <c r="AV64" i="60"/>
  <c r="BH64" i="60"/>
  <c r="AE64" i="60"/>
  <c r="BI64" i="60"/>
  <c r="W64" i="60"/>
  <c r="AJ64" i="60"/>
  <c r="K64" i="60"/>
  <c r="AP64" i="60"/>
  <c r="AC64" i="60"/>
  <c r="BM64" i="60"/>
  <c r="BQ64" i="60"/>
  <c r="Z64" i="60"/>
  <c r="AZ64" i="60"/>
  <c r="AD64" i="60"/>
  <c r="BG64" i="60"/>
  <c r="AB64" i="60"/>
  <c r="AG64" i="60"/>
  <c r="AF64" i="60"/>
  <c r="AL64" i="60"/>
  <c r="O64" i="60"/>
  <c r="BR64" i="60"/>
  <c r="BC64" i="60"/>
  <c r="U64" i="60"/>
  <c r="N64" i="60"/>
  <c r="BO64" i="60"/>
  <c r="L64" i="60"/>
  <c r="F64" i="60"/>
  <c r="BT64" i="60"/>
  <c r="AO64" i="60"/>
  <c r="AW64" i="60"/>
  <c r="BF64" i="60"/>
  <c r="BK64" i="60"/>
  <c r="AX64" i="60"/>
  <c r="I64" i="60"/>
  <c r="J64" i="60"/>
  <c r="B133" i="60"/>
  <c r="E132" i="60"/>
  <c r="G132" i="60"/>
  <c r="F132" i="60"/>
  <c r="D50" i="58"/>
  <c r="C71" i="58" s="1"/>
  <c r="Q73" i="58" s="1"/>
  <c r="S71" i="58" s="1"/>
  <c r="Q296" i="50"/>
  <c r="Q297" i="50"/>
  <c r="Q298" i="50"/>
  <c r="H293" i="50"/>
  <c r="W293" i="50" s="1"/>
  <c r="H297" i="50"/>
  <c r="W297" i="50"/>
  <c r="H295" i="50"/>
  <c r="W295" i="50" s="1"/>
  <c r="H256" i="50"/>
  <c r="Q284" i="50"/>
  <c r="Q285" i="50"/>
  <c r="H298" i="50"/>
  <c r="W298" i="50" s="1"/>
  <c r="AT64" i="60"/>
  <c r="AA64" i="60"/>
  <c r="AS64" i="60"/>
  <c r="BL64" i="60"/>
  <c r="P50" i="60"/>
  <c r="J50" i="60"/>
  <c r="BS50" i="60"/>
  <c r="CL66" i="60"/>
  <c r="E66" i="60"/>
  <c r="CJ66" i="60"/>
  <c r="Q516" i="52"/>
  <c r="S516" i="52"/>
  <c r="B278" i="52"/>
  <c r="B281" i="52" s="1"/>
  <c r="B421" i="52"/>
  <c r="B493" i="52" s="1"/>
  <c r="B565" i="52" s="1"/>
  <c r="B637" i="52" s="1"/>
  <c r="B709" i="52" s="1"/>
  <c r="BD64" i="60"/>
  <c r="BB64" i="60"/>
  <c r="BA64" i="60"/>
  <c r="C64" i="60"/>
  <c r="V275" i="50"/>
  <c r="V273" i="50"/>
  <c r="D132" i="60"/>
  <c r="AO50" i="60"/>
  <c r="Z50" i="60"/>
  <c r="BB50" i="60"/>
  <c r="V50" i="60"/>
  <c r="AP50" i="60"/>
  <c r="AN50" i="60"/>
  <c r="N50" i="60"/>
  <c r="Y50" i="60"/>
  <c r="K50" i="60"/>
  <c r="BG50" i="60"/>
  <c r="D50" i="60"/>
  <c r="H50" i="60"/>
  <c r="BO50" i="60"/>
  <c r="AV50" i="60"/>
  <c r="AR50" i="60"/>
  <c r="BT50" i="60"/>
  <c r="BM50" i="60"/>
  <c r="AA50" i="60"/>
  <c r="BQ50" i="60"/>
  <c r="BC50" i="60"/>
  <c r="AI50" i="60"/>
  <c r="AG50" i="60"/>
  <c r="AZ50" i="60"/>
  <c r="AQ50" i="60"/>
  <c r="AW50" i="60"/>
  <c r="BP50" i="60"/>
  <c r="BE50" i="60"/>
  <c r="BI50" i="60"/>
  <c r="AK50" i="60"/>
  <c r="BD50" i="60"/>
  <c r="X50" i="60"/>
  <c r="BL50" i="60"/>
  <c r="BF50" i="60"/>
  <c r="BK50" i="60"/>
  <c r="AH50" i="60"/>
  <c r="C50" i="60"/>
  <c r="R50" i="60"/>
  <c r="U50" i="60"/>
  <c r="AX50" i="60"/>
  <c r="F50" i="60"/>
  <c r="AS50" i="60"/>
  <c r="Q50" i="60"/>
  <c r="AJ50" i="60"/>
  <c r="AB50" i="60"/>
  <c r="BR50" i="60"/>
  <c r="AE50" i="60"/>
  <c r="M50" i="60"/>
  <c r="BH50" i="60"/>
  <c r="O50" i="60"/>
  <c r="AT50" i="60"/>
  <c r="AC50" i="60"/>
  <c r="AM50" i="60"/>
  <c r="Q71" i="60"/>
  <c r="H71" i="60"/>
  <c r="AR71" i="60"/>
  <c r="AT71" i="60"/>
  <c r="BT71" i="60"/>
  <c r="C71" i="60"/>
  <c r="G71" i="60"/>
  <c r="AU71" i="60"/>
  <c r="AN71" i="60"/>
  <c r="BE71" i="60"/>
  <c r="Y71" i="60"/>
  <c r="AE71" i="60"/>
  <c r="BH71" i="60"/>
  <c r="X71" i="60"/>
  <c r="BD71" i="60"/>
  <c r="BR71" i="60"/>
  <c r="AS71" i="60"/>
  <c r="I71" i="60"/>
  <c r="O71" i="60"/>
  <c r="AX71" i="60"/>
  <c r="AB71" i="60"/>
  <c r="L71" i="60"/>
  <c r="D71" i="60"/>
  <c r="P71" i="60"/>
  <c r="BJ71" i="60"/>
  <c r="AI71" i="60"/>
  <c r="Z505" i="52"/>
  <c r="P505" i="52"/>
  <c r="P709" i="52"/>
  <c r="Z709" i="52"/>
  <c r="P584" i="52"/>
  <c r="P470" i="52"/>
  <c r="P583" i="52"/>
  <c r="Z657" i="52"/>
  <c r="Z691" i="52"/>
  <c r="P691" i="52"/>
  <c r="I218" i="50"/>
  <c r="AL69" i="60"/>
  <c r="M69" i="60"/>
  <c r="BP69" i="60"/>
  <c r="BS69" i="60"/>
  <c r="Y69" i="60"/>
  <c r="N69" i="60"/>
  <c r="AV69" i="60"/>
  <c r="AG69" i="60"/>
  <c r="AQ69" i="60"/>
  <c r="AH69" i="60"/>
  <c r="AC69" i="60"/>
  <c r="AY69" i="60"/>
  <c r="AJ69" i="60"/>
  <c r="AZ69" i="60"/>
  <c r="V69" i="60"/>
  <c r="BT69" i="60"/>
  <c r="AD69" i="60"/>
  <c r="BE69" i="60"/>
  <c r="W69" i="60"/>
  <c r="X69" i="60"/>
  <c r="BL69" i="60"/>
  <c r="H69" i="60"/>
  <c r="AP69" i="60"/>
  <c r="D69" i="60"/>
  <c r="Q458" i="52"/>
  <c r="S458" i="52" s="1"/>
  <c r="D530" i="52"/>
  <c r="AM64" i="60"/>
  <c r="BN64" i="60"/>
  <c r="R64" i="60"/>
  <c r="Q64" i="60"/>
  <c r="AN64" i="60"/>
  <c r="C531" i="52"/>
  <c r="C603" i="52" s="1"/>
  <c r="Q420" i="52"/>
  <c r="S420" i="52"/>
  <c r="C492" i="52"/>
  <c r="C132" i="60"/>
  <c r="AA25" i="60"/>
  <c r="G25" i="60"/>
  <c r="AN25" i="60"/>
  <c r="BO25" i="60"/>
  <c r="AQ25" i="60"/>
  <c r="N25" i="60"/>
  <c r="O25" i="60"/>
  <c r="AU25" i="60"/>
  <c r="J25" i="60"/>
  <c r="AV25" i="60"/>
  <c r="AM25" i="60"/>
  <c r="V25" i="60"/>
  <c r="BN25" i="60"/>
  <c r="Y25" i="60"/>
  <c r="AO25" i="60"/>
  <c r="Z25" i="60"/>
  <c r="BH25" i="60"/>
  <c r="R25" i="60"/>
  <c r="BC25" i="60"/>
  <c r="AX25" i="60"/>
  <c r="AF25" i="60"/>
  <c r="L25" i="60"/>
  <c r="T25" i="60"/>
  <c r="AJ25" i="60"/>
  <c r="AT25" i="60"/>
  <c r="AC25" i="60"/>
  <c r="AS25" i="60"/>
  <c r="S25" i="60"/>
  <c r="Q25" i="60"/>
  <c r="AB25" i="60"/>
  <c r="AY25" i="60"/>
  <c r="BL25" i="60"/>
  <c r="AI25" i="60"/>
  <c r="BS25" i="60"/>
  <c r="AL25" i="60"/>
  <c r="BT25" i="60"/>
  <c r="BQ25" i="60"/>
  <c r="AE25" i="60"/>
  <c r="BF25" i="60"/>
  <c r="BB25" i="60"/>
  <c r="K25" i="60"/>
  <c r="BJ25" i="60"/>
  <c r="M25" i="60"/>
  <c r="BK25" i="60"/>
  <c r="BD25" i="60"/>
  <c r="BE25" i="60"/>
  <c r="X25" i="60"/>
  <c r="D25" i="60"/>
  <c r="H25" i="60"/>
  <c r="AW25" i="60"/>
  <c r="U25" i="60"/>
  <c r="AK25" i="60"/>
  <c r="BP25" i="60"/>
  <c r="BI25" i="60"/>
  <c r="BM25" i="60"/>
  <c r="AR25" i="60"/>
  <c r="F25" i="60"/>
  <c r="AG25" i="60"/>
  <c r="AZ25" i="60"/>
  <c r="BG25" i="60"/>
  <c r="V28" i="60"/>
  <c r="AT28" i="60"/>
  <c r="AS28" i="60"/>
  <c r="AI28" i="60"/>
  <c r="F28" i="60"/>
  <c r="BB28" i="60"/>
  <c r="N28" i="60"/>
  <c r="R28" i="60"/>
  <c r="BA28" i="60"/>
  <c r="BO28" i="60"/>
  <c r="W28" i="60"/>
  <c r="M28" i="60"/>
  <c r="BJ28" i="60"/>
  <c r="Z28" i="60"/>
  <c r="AN28" i="60"/>
  <c r="BF28" i="60"/>
  <c r="T28" i="60"/>
  <c r="AA28" i="60"/>
  <c r="AL28" i="60"/>
  <c r="Y28" i="60"/>
  <c r="X28" i="60"/>
  <c r="U28" i="60"/>
  <c r="H28" i="60"/>
  <c r="BM28" i="60"/>
  <c r="AB28" i="60"/>
  <c r="Q28" i="60"/>
  <c r="O28" i="60"/>
  <c r="P28" i="60"/>
  <c r="BC28" i="60"/>
  <c r="AM28" i="60"/>
  <c r="G28" i="60"/>
  <c r="L28" i="60"/>
  <c r="K28" i="60"/>
  <c r="D28" i="60"/>
  <c r="AK28" i="60"/>
  <c r="BN28" i="60"/>
  <c r="AV28" i="60"/>
  <c r="AO28" i="60"/>
  <c r="AF28" i="60"/>
  <c r="BG28" i="60"/>
  <c r="BR28" i="60"/>
  <c r="AX28" i="60"/>
  <c r="BP28" i="60"/>
  <c r="AR28" i="60"/>
  <c r="BL28" i="60"/>
  <c r="BS28" i="60"/>
  <c r="AY28" i="60"/>
  <c r="AC28" i="60"/>
  <c r="BD28" i="60"/>
  <c r="AW28" i="60"/>
  <c r="C28" i="60"/>
  <c r="I28" i="60"/>
  <c r="AD28" i="60"/>
  <c r="BH28" i="60"/>
  <c r="S28" i="60"/>
  <c r="BQ28" i="60"/>
  <c r="AJ28" i="60"/>
  <c r="AQ28" i="60"/>
  <c r="AE28" i="60"/>
  <c r="BI28" i="60"/>
  <c r="BT28" i="60"/>
  <c r="C131" i="60"/>
  <c r="D131" i="60"/>
  <c r="F131" i="60"/>
  <c r="G131" i="60"/>
  <c r="E131" i="60"/>
  <c r="S241" i="50"/>
  <c r="W241" i="50"/>
  <c r="Z502" i="52"/>
  <c r="P502" i="52"/>
  <c r="Z491" i="52"/>
  <c r="P491" i="52"/>
  <c r="P471" i="52"/>
  <c r="Z471" i="52"/>
  <c r="Z719" i="52"/>
  <c r="P719" i="52"/>
  <c r="O41" i="60"/>
  <c r="BQ41" i="60"/>
  <c r="C41" i="60"/>
  <c r="AL41" i="60"/>
  <c r="AR41" i="60"/>
  <c r="BA41" i="60"/>
  <c r="AE41" i="60"/>
  <c r="AJ41" i="60"/>
  <c r="Y41" i="60"/>
  <c r="AT41" i="60"/>
  <c r="AW41" i="60"/>
  <c r="BP41" i="60"/>
  <c r="I41" i="60"/>
  <c r="BO41" i="60"/>
  <c r="BG41" i="60"/>
  <c r="T41" i="60"/>
  <c r="P41" i="60"/>
  <c r="AP41" i="60"/>
  <c r="AV41" i="60"/>
  <c r="AZ41" i="60"/>
  <c r="S41" i="60"/>
  <c r="AG41" i="60"/>
  <c r="AA41" i="60"/>
  <c r="AN41" i="60"/>
  <c r="BT41" i="60"/>
  <c r="BE41" i="60"/>
  <c r="U41" i="60"/>
  <c r="BL41" i="60"/>
  <c r="Q41" i="60"/>
  <c r="H41" i="60"/>
  <c r="AU41" i="60"/>
  <c r="N41" i="60"/>
  <c r="W41" i="60"/>
  <c r="Z41" i="60"/>
  <c r="X41" i="60"/>
  <c r="D41" i="60"/>
  <c r="F41" i="60"/>
  <c r="BS41" i="60"/>
  <c r="BR41" i="60"/>
  <c r="J41" i="60"/>
  <c r="BJ41" i="60"/>
  <c r="BN41" i="60"/>
  <c r="AQ41" i="60"/>
  <c r="AO41" i="60"/>
  <c r="AK41" i="60"/>
  <c r="M41" i="60"/>
  <c r="AF41" i="60"/>
  <c r="AB41" i="60"/>
  <c r="C495" i="52"/>
  <c r="C567" i="52" s="1"/>
  <c r="Q423" i="52"/>
  <c r="S423" i="52" s="1"/>
  <c r="C576" i="52"/>
  <c r="CJ105" i="60"/>
  <c r="C105" i="60"/>
  <c r="BK41" i="60"/>
  <c r="BH41" i="60"/>
  <c r="AI41" i="60"/>
  <c r="R41" i="60"/>
  <c r="BS85" i="60"/>
  <c r="BI85" i="60"/>
  <c r="AI85" i="60"/>
  <c r="BQ85" i="60"/>
  <c r="G85" i="60"/>
  <c r="T85" i="60"/>
  <c r="AM85" i="60"/>
  <c r="S85" i="60"/>
  <c r="I85" i="60"/>
  <c r="Q85" i="60"/>
  <c r="P85" i="60"/>
  <c r="AU85" i="60"/>
  <c r="BJ85" i="60"/>
  <c r="BH85" i="60"/>
  <c r="R85" i="60"/>
  <c r="Y85" i="60"/>
  <c r="BG85" i="60"/>
  <c r="AQ85" i="60"/>
  <c r="F85" i="60"/>
  <c r="BA85" i="60"/>
  <c r="AT85" i="60"/>
  <c r="AW85" i="60"/>
  <c r="BT85" i="60"/>
  <c r="AR85" i="60"/>
  <c r="BO85" i="60"/>
  <c r="BD85" i="60"/>
  <c r="N85" i="60"/>
  <c r="BK85" i="60"/>
  <c r="O85" i="60"/>
  <c r="BN85" i="60"/>
  <c r="AN85" i="60"/>
  <c r="AX85" i="60"/>
  <c r="AV85" i="60"/>
  <c r="AJ85" i="60"/>
  <c r="AB85" i="60"/>
  <c r="C490" i="52"/>
  <c r="Q418" i="52"/>
  <c r="S418" i="52" s="1"/>
  <c r="BE23" i="60"/>
  <c r="AE23" i="60"/>
  <c r="AK23" i="60"/>
  <c r="AV23" i="60"/>
  <c r="AZ23" i="60"/>
  <c r="AY23" i="60"/>
  <c r="Q23" i="60"/>
  <c r="W23" i="60"/>
  <c r="AP23" i="60"/>
  <c r="BM23" i="60"/>
  <c r="AC23" i="60"/>
  <c r="BS23" i="60"/>
  <c r="C23" i="60"/>
  <c r="AO23" i="60"/>
  <c r="AQ23" i="60"/>
  <c r="BT23" i="60"/>
  <c r="BH23" i="60"/>
  <c r="AT23" i="60"/>
  <c r="Y23" i="60"/>
  <c r="F23" i="60"/>
  <c r="T23" i="60"/>
  <c r="BC23" i="60"/>
  <c r="J23" i="60"/>
  <c r="BL23" i="60"/>
  <c r="AD23" i="60"/>
  <c r="AN23" i="60"/>
  <c r="AS23" i="60"/>
  <c r="BF23" i="60"/>
  <c r="Z23" i="60"/>
  <c r="M23" i="60"/>
  <c r="G23" i="60"/>
  <c r="BD23" i="60"/>
  <c r="AF23" i="60"/>
  <c r="AE12" i="60"/>
  <c r="AW60" i="60"/>
  <c r="T60" i="60"/>
  <c r="J60" i="60"/>
  <c r="H60" i="60"/>
  <c r="AD60" i="60"/>
  <c r="BT60" i="60"/>
  <c r="AJ60" i="60"/>
  <c r="AZ60" i="60"/>
  <c r="AU60" i="60"/>
  <c r="AP60" i="60"/>
  <c r="AG60" i="60"/>
  <c r="AH60" i="60"/>
  <c r="AN60" i="60"/>
  <c r="AT60" i="60"/>
  <c r="AE60" i="60"/>
  <c r="AC60" i="60"/>
  <c r="AF60" i="60"/>
  <c r="O60" i="60"/>
  <c r="AK60" i="60"/>
  <c r="U60" i="60"/>
  <c r="Z60" i="60"/>
  <c r="Q60" i="60"/>
  <c r="BQ60" i="60"/>
  <c r="BC60" i="60"/>
  <c r="BG60" i="60"/>
  <c r="BS60" i="60"/>
  <c r="M60" i="60"/>
  <c r="BL60" i="60"/>
  <c r="BP60" i="60"/>
  <c r="I60" i="60"/>
  <c r="S60" i="60"/>
  <c r="V60" i="60"/>
  <c r="AB60" i="60"/>
  <c r="BA60" i="60"/>
  <c r="BF60" i="60"/>
  <c r="F60" i="60"/>
  <c r="AC41" i="60"/>
  <c r="CJ45" i="60"/>
  <c r="E45" i="60"/>
  <c r="CL45" i="60"/>
  <c r="E70" i="60"/>
  <c r="CL70" i="60"/>
  <c r="H276" i="46"/>
  <c r="E283" i="46" s="1"/>
  <c r="Q278" i="46"/>
  <c r="Q391" i="52"/>
  <c r="S391" i="52" s="1"/>
  <c r="C463" i="52"/>
  <c r="AI17" i="60"/>
  <c r="BI17" i="60"/>
  <c r="I17" i="60"/>
  <c r="AO17" i="60"/>
  <c r="S17" i="60"/>
  <c r="O17" i="60"/>
  <c r="F17" i="60"/>
  <c r="N17" i="60"/>
  <c r="BA17" i="60"/>
  <c r="G17" i="60"/>
  <c r="BC17" i="60"/>
  <c r="AM17" i="60"/>
  <c r="Q17" i="60"/>
  <c r="BK17" i="60"/>
  <c r="AN17" i="60"/>
  <c r="AC17" i="60"/>
  <c r="AK17" i="60"/>
  <c r="BJ17" i="60"/>
  <c r="C17" i="60"/>
  <c r="AD17" i="60"/>
  <c r="AV17" i="60"/>
  <c r="T17" i="60"/>
  <c r="BR17" i="60"/>
  <c r="BH17" i="60"/>
  <c r="BL17" i="60"/>
  <c r="BF17" i="60"/>
  <c r="V17" i="60"/>
  <c r="BN17" i="60"/>
  <c r="AQ17" i="60"/>
  <c r="R17" i="60"/>
  <c r="L17" i="60"/>
  <c r="BT17" i="60"/>
  <c r="BP17" i="60"/>
  <c r="BE17" i="60"/>
  <c r="W18" i="60"/>
  <c r="AD18" i="60"/>
  <c r="AY18" i="60"/>
  <c r="BH18" i="60"/>
  <c r="T18" i="60"/>
  <c r="AJ18" i="60"/>
  <c r="AH18" i="60"/>
  <c r="BT18" i="60"/>
  <c r="BQ18" i="60"/>
  <c r="K18" i="60"/>
  <c r="AP18" i="60"/>
  <c r="AL18" i="60"/>
  <c r="S18" i="60"/>
  <c r="AG18" i="60"/>
  <c r="AW18" i="60"/>
  <c r="BP18" i="60"/>
  <c r="BM18" i="60"/>
  <c r="AZ18" i="60"/>
  <c r="BD18" i="60"/>
  <c r="C18" i="60"/>
  <c r="AM18" i="60"/>
  <c r="R18" i="60"/>
  <c r="BJ18" i="60"/>
  <c r="AO18" i="60"/>
  <c r="AB18" i="60"/>
  <c r="AV18" i="60"/>
  <c r="I18" i="60"/>
  <c r="BN18" i="60"/>
  <c r="BF18" i="60"/>
  <c r="BL18" i="60"/>
  <c r="BC18" i="60"/>
  <c r="AI18" i="60"/>
  <c r="D18" i="60"/>
  <c r="L18" i="60"/>
  <c r="O18" i="60"/>
  <c r="BC41" i="60"/>
  <c r="BF41" i="60"/>
  <c r="AS41" i="60"/>
  <c r="AM41" i="60"/>
  <c r="BM41" i="60"/>
  <c r="C617" i="52"/>
  <c r="Q617" i="52" s="1"/>
  <c r="S617" i="52" s="1"/>
  <c r="Q473" i="52"/>
  <c r="S473" i="52"/>
  <c r="Q351" i="52"/>
  <c r="S351" i="52" s="1"/>
  <c r="Q139" i="50"/>
  <c r="Q140" i="50"/>
  <c r="H23" i="50"/>
  <c r="Q138" i="50"/>
  <c r="Q143" i="50"/>
  <c r="L41" i="60"/>
  <c r="T218" i="46"/>
  <c r="M220" i="46"/>
  <c r="Q225" i="46"/>
  <c r="E36" i="60"/>
  <c r="BO36" i="60" s="1"/>
  <c r="CL36" i="60"/>
  <c r="CJ36" i="60"/>
  <c r="CJ70" i="60"/>
  <c r="Q325" i="52"/>
  <c r="S325" i="52"/>
  <c r="C397" i="52"/>
  <c r="Q547" i="52"/>
  <c r="S547" i="52" s="1"/>
  <c r="C619" i="52"/>
  <c r="Q619" i="52" s="1"/>
  <c r="S619" i="52" s="1"/>
  <c r="C392" i="46"/>
  <c r="D392" i="46"/>
  <c r="B337" i="52"/>
  <c r="B409" i="52"/>
  <c r="B481" i="52" s="1"/>
  <c r="B553" i="52" s="1"/>
  <c r="B625" i="52" s="1"/>
  <c r="B697" i="52" s="1"/>
  <c r="B266" i="52"/>
  <c r="P79" i="60"/>
  <c r="O79" i="60"/>
  <c r="S79" i="60"/>
  <c r="Z79" i="60"/>
  <c r="AD79" i="60"/>
  <c r="X79" i="60"/>
  <c r="N79" i="60"/>
  <c r="G79" i="60"/>
  <c r="AZ79" i="60"/>
  <c r="V79" i="60"/>
  <c r="BE79" i="60"/>
  <c r="BR79" i="60"/>
  <c r="BG79" i="60"/>
  <c r="D519" i="52"/>
  <c r="D591" i="52" s="1"/>
  <c r="AO75" i="60"/>
  <c r="D775" i="52"/>
  <c r="Q775" i="52" s="1"/>
  <c r="S775" i="52"/>
  <c r="AO38" i="60"/>
  <c r="BQ38" i="60"/>
  <c r="AX38" i="60"/>
  <c r="BR38" i="60"/>
  <c r="U38" i="60"/>
  <c r="BB38" i="60"/>
  <c r="K38" i="60"/>
  <c r="AL38" i="60"/>
  <c r="X38" i="60"/>
  <c r="T38" i="60"/>
  <c r="W38" i="60"/>
  <c r="AJ38" i="60"/>
  <c r="AZ38" i="60"/>
  <c r="L38" i="60"/>
  <c r="AR38" i="60"/>
  <c r="O38" i="60"/>
  <c r="N38" i="60"/>
  <c r="J38" i="60"/>
  <c r="BK38" i="60"/>
  <c r="BH38" i="60"/>
  <c r="BN38" i="60"/>
  <c r="AS38" i="60"/>
  <c r="D38" i="60"/>
  <c r="AG38" i="60"/>
  <c r="BA38" i="60"/>
  <c r="BL38" i="60"/>
  <c r="M38" i="60"/>
  <c r="BO38" i="60"/>
  <c r="P38" i="60"/>
  <c r="AQ38" i="60"/>
  <c r="Q38" i="60"/>
  <c r="R43" i="60"/>
  <c r="BL43" i="60"/>
  <c r="AY43" i="60"/>
  <c r="BJ43" i="60"/>
  <c r="N43" i="60"/>
  <c r="T43" i="60"/>
  <c r="V43" i="60"/>
  <c r="AG43" i="60"/>
  <c r="AT43" i="60"/>
  <c r="AK43" i="60"/>
  <c r="C43" i="60"/>
  <c r="H43" i="60"/>
  <c r="AD43" i="60"/>
  <c r="L43" i="60"/>
  <c r="Y43" i="60"/>
  <c r="AA43" i="60"/>
  <c r="AB43" i="60"/>
  <c r="AH43" i="60"/>
  <c r="AN43" i="60"/>
  <c r="D43" i="60"/>
  <c r="AI43" i="60"/>
  <c r="AP43" i="60"/>
  <c r="K43" i="60"/>
  <c r="BG43" i="60"/>
  <c r="AU43" i="60"/>
  <c r="AV43" i="60"/>
  <c r="P43" i="60"/>
  <c r="AR43" i="60"/>
  <c r="AX43" i="60"/>
  <c r="F43" i="60"/>
  <c r="BE43" i="60"/>
  <c r="W43" i="60"/>
  <c r="AM43" i="60"/>
  <c r="AE43" i="60"/>
  <c r="CL58" i="60"/>
  <c r="CJ58" i="60"/>
  <c r="P475" i="52"/>
  <c r="Z475" i="52"/>
  <c r="Z736" i="52"/>
  <c r="P736" i="52"/>
  <c r="P515" i="52"/>
  <c r="Z515" i="52"/>
  <c r="Z644" i="52"/>
  <c r="P644" i="52"/>
  <c r="P683" i="52"/>
  <c r="Z683" i="52"/>
  <c r="CL81" i="60"/>
  <c r="CJ81" i="60"/>
  <c r="E81" i="60"/>
  <c r="C406" i="52"/>
  <c r="Q334" i="52"/>
  <c r="S334" i="52" s="1"/>
  <c r="S163" i="50"/>
  <c r="S164" i="50"/>
  <c r="W164" i="50"/>
  <c r="P494" i="52"/>
  <c r="Z494" i="52"/>
  <c r="Q379" i="52"/>
  <c r="S379" i="52" s="1"/>
  <c r="C451" i="52"/>
  <c r="CJ25" i="60"/>
  <c r="CL25" i="60"/>
  <c r="E47" i="60"/>
  <c r="BK47" i="60" s="1"/>
  <c r="CJ47" i="60"/>
  <c r="CL47" i="60"/>
  <c r="P63" i="60"/>
  <c r="L63" i="60"/>
  <c r="E55" i="60"/>
  <c r="CJ55" i="60"/>
  <c r="CJ78" i="60"/>
  <c r="E78" i="60"/>
  <c r="M78" i="60" s="1"/>
  <c r="CL78" i="60"/>
  <c r="CL52" i="60"/>
  <c r="E52" i="60"/>
  <c r="C427" i="52"/>
  <c r="C499" i="52" s="1"/>
  <c r="Q355" i="52"/>
  <c r="S355" i="52" s="1"/>
  <c r="Q295" i="52"/>
  <c r="S295" i="52" s="1"/>
  <c r="C296" i="52"/>
  <c r="C297" i="52" s="1"/>
  <c r="Q297" i="52" s="1"/>
  <c r="S297" i="52" s="1"/>
  <c r="D527" i="52"/>
  <c r="Q527" i="52" s="1"/>
  <c r="S527" i="52" s="1"/>
  <c r="Q455" i="52"/>
  <c r="S455" i="52" s="1"/>
  <c r="E84" i="60"/>
  <c r="I84" i="60" s="1"/>
  <c r="C338" i="52"/>
  <c r="C267" i="52"/>
  <c r="C270" i="52" s="1"/>
  <c r="C493" i="52"/>
  <c r="C565" i="52" s="1"/>
  <c r="Q565" i="52" s="1"/>
  <c r="S565" i="52" s="1"/>
  <c r="Q421" i="52"/>
  <c r="S421" i="52" s="1"/>
  <c r="C354" i="52"/>
  <c r="Y242" i="38"/>
  <c r="Z226" i="38" s="1"/>
  <c r="S78" i="60"/>
  <c r="AG78" i="60"/>
  <c r="BT78" i="60"/>
  <c r="AZ78" i="60"/>
  <c r="F78" i="60"/>
  <c r="AL78" i="60"/>
  <c r="AR78" i="60"/>
  <c r="AV78" i="60"/>
  <c r="BR78" i="60"/>
  <c r="BJ78" i="60"/>
  <c r="AN78" i="60"/>
  <c r="AQ78" i="60"/>
  <c r="BA78" i="60"/>
  <c r="BD78" i="60"/>
  <c r="AW78" i="60"/>
  <c r="G78" i="60"/>
  <c r="AO78" i="60"/>
  <c r="BO78" i="60"/>
  <c r="BH78" i="60"/>
  <c r="BC78" i="60"/>
  <c r="BE78" i="60"/>
  <c r="BL78" i="60"/>
  <c r="BS78" i="60"/>
  <c r="W78" i="60"/>
  <c r="AH78" i="60"/>
  <c r="AC78" i="60"/>
  <c r="Z78" i="60"/>
  <c r="BK78" i="60"/>
  <c r="BG78" i="60"/>
  <c r="AT78" i="60"/>
  <c r="I78" i="60"/>
  <c r="BM78" i="60"/>
  <c r="Y78" i="60"/>
  <c r="BI78" i="60"/>
  <c r="K78" i="60"/>
  <c r="AM78" i="60"/>
  <c r="BB78" i="60"/>
  <c r="BD36" i="60"/>
  <c r="Q36" i="60"/>
  <c r="BB36" i="60"/>
  <c r="BS36" i="60"/>
  <c r="BJ36" i="60"/>
  <c r="AZ36" i="60"/>
  <c r="Y36" i="60"/>
  <c r="I36" i="60"/>
  <c r="S36" i="60"/>
  <c r="AV36" i="60"/>
  <c r="D36" i="60"/>
  <c r="BM36" i="60"/>
  <c r="AN36" i="60"/>
  <c r="BH36" i="60"/>
  <c r="AC36" i="60"/>
  <c r="BR36" i="60"/>
  <c r="X70" i="60"/>
  <c r="AS70" i="60"/>
  <c r="L70" i="60"/>
  <c r="AV70" i="60"/>
  <c r="AD70" i="60"/>
  <c r="AO70" i="60"/>
  <c r="BM70" i="60"/>
  <c r="AX70" i="60"/>
  <c r="G70" i="60"/>
  <c r="P70" i="60"/>
  <c r="BD70" i="60"/>
  <c r="C70" i="60"/>
  <c r="C469" i="52"/>
  <c r="Q397" i="52"/>
  <c r="S397" i="52" s="1"/>
  <c r="Q531" i="52"/>
  <c r="S531" i="52" s="1"/>
  <c r="BL66" i="60"/>
  <c r="D66" i="60"/>
  <c r="BF66" i="60"/>
  <c r="Z66" i="60"/>
  <c r="M66" i="60"/>
  <c r="H66" i="60"/>
  <c r="L66" i="60"/>
  <c r="AM66" i="60"/>
  <c r="V66" i="60"/>
  <c r="AG66" i="60"/>
  <c r="AS66" i="60"/>
  <c r="C66" i="60"/>
  <c r="AT66" i="60"/>
  <c r="BH66" i="60"/>
  <c r="T66" i="60"/>
  <c r="AP66" i="60"/>
  <c r="S66" i="60"/>
  <c r="U66" i="60"/>
  <c r="AW66" i="60"/>
  <c r="BC66" i="60"/>
  <c r="AX66" i="60"/>
  <c r="BG66" i="60"/>
  <c r="BA66" i="60"/>
  <c r="F66" i="60"/>
  <c r="AU66" i="60"/>
  <c r="AJ66" i="60"/>
  <c r="AV66" i="60"/>
  <c r="N66" i="60"/>
  <c r="BD66" i="60"/>
  <c r="BO66" i="60"/>
  <c r="AD66" i="60"/>
  <c r="I66" i="60"/>
  <c r="BM66" i="60"/>
  <c r="AY66" i="60"/>
  <c r="AB66" i="60"/>
  <c r="P66" i="60"/>
  <c r="AK66" i="60"/>
  <c r="BE66" i="60"/>
  <c r="AQ66" i="60"/>
  <c r="J66" i="60"/>
  <c r="AC66" i="60"/>
  <c r="BJ66" i="60"/>
  <c r="BT66" i="60"/>
  <c r="X66" i="60"/>
  <c r="AH66" i="60"/>
  <c r="AN66" i="60"/>
  <c r="AE66" i="60"/>
  <c r="G66" i="60"/>
  <c r="AA66" i="60"/>
  <c r="Y66" i="60"/>
  <c r="K66" i="60"/>
  <c r="AI66" i="60"/>
  <c r="BI66" i="60"/>
  <c r="BN66" i="60"/>
  <c r="AR66" i="60"/>
  <c r="R66" i="60"/>
  <c r="W66" i="60"/>
  <c r="Q66" i="60"/>
  <c r="BR66" i="60"/>
  <c r="AF66" i="60"/>
  <c r="BP66" i="60"/>
  <c r="BS66" i="60"/>
  <c r="BK66" i="60"/>
  <c r="BQ66" i="60"/>
  <c r="O66" i="60"/>
  <c r="AL66" i="60"/>
  <c r="AZ66" i="60"/>
  <c r="BB66" i="60"/>
  <c r="AO66" i="60"/>
  <c r="B111" i="60"/>
  <c r="E111" i="60" s="1"/>
  <c r="AC111" i="60" s="1"/>
  <c r="Q451" i="52"/>
  <c r="S451" i="52" s="1"/>
  <c r="C523" i="52"/>
  <c r="Q519" i="52"/>
  <c r="S519" i="52" s="1"/>
  <c r="Q492" i="52"/>
  <c r="S492" i="52"/>
  <c r="C564" i="52"/>
  <c r="B350" i="52"/>
  <c r="B422" i="52" s="1"/>
  <c r="B494" i="52"/>
  <c r="B566" i="52" s="1"/>
  <c r="B638" i="52" s="1"/>
  <c r="B710" i="52" s="1"/>
  <c r="B279" i="52"/>
  <c r="BE52" i="60"/>
  <c r="BI52" i="60"/>
  <c r="L52" i="60"/>
  <c r="R52" i="60"/>
  <c r="BH52" i="60"/>
  <c r="AY52" i="60"/>
  <c r="M52" i="60"/>
  <c r="P52" i="60"/>
  <c r="AG52" i="60"/>
  <c r="AE52" i="60"/>
  <c r="AM52" i="60"/>
  <c r="AF52" i="60"/>
  <c r="C52" i="60"/>
  <c r="BL52" i="60"/>
  <c r="J52" i="60"/>
  <c r="AK52" i="60"/>
  <c r="BG52" i="60"/>
  <c r="AP52" i="60"/>
  <c r="AU52" i="60"/>
  <c r="AV52" i="60"/>
  <c r="Z52" i="60"/>
  <c r="AD52" i="60"/>
  <c r="AQ52" i="60"/>
  <c r="BF52" i="60"/>
  <c r="BK52" i="60"/>
  <c r="BB52" i="60"/>
  <c r="Q52" i="60"/>
  <c r="H52" i="60"/>
  <c r="Y52" i="60"/>
  <c r="AB52" i="60"/>
  <c r="AO52" i="60"/>
  <c r="V52" i="60"/>
  <c r="N52" i="60"/>
  <c r="AZ52" i="60"/>
  <c r="S52" i="60"/>
  <c r="AX84" i="60"/>
  <c r="G84" i="60"/>
  <c r="BK84" i="60"/>
  <c r="AU84" i="60"/>
  <c r="BE84" i="60"/>
  <c r="BD84" i="60"/>
  <c r="BM84" i="60"/>
  <c r="H392" i="46"/>
  <c r="Q394" i="46"/>
  <c r="U392" i="46" s="1"/>
  <c r="V392" i="46" s="1"/>
  <c r="C689" i="52"/>
  <c r="N45" i="60"/>
  <c r="AG45" i="60"/>
  <c r="AL45" i="60"/>
  <c r="BG45" i="60"/>
  <c r="AO45" i="60"/>
  <c r="BS45" i="60"/>
  <c r="J45" i="60"/>
  <c r="AN45" i="60"/>
  <c r="BJ45" i="60"/>
  <c r="AM45" i="60"/>
  <c r="T45" i="60"/>
  <c r="I45" i="60"/>
  <c r="BT45" i="60"/>
  <c r="M45" i="60"/>
  <c r="AD45" i="60"/>
  <c r="BD45" i="60"/>
  <c r="F45" i="60"/>
  <c r="AB45" i="60"/>
  <c r="Q374" i="52"/>
  <c r="S374" i="52" s="1"/>
  <c r="C648" i="52"/>
  <c r="Y226" i="38"/>
  <c r="Y171" i="38"/>
  <c r="M170" i="38" s="1"/>
  <c r="Q427" i="52"/>
  <c r="S427" i="52" s="1"/>
  <c r="AD81" i="60"/>
  <c r="AI81" i="60"/>
  <c r="AF81" i="60"/>
  <c r="I81" i="60"/>
  <c r="H295" i="46"/>
  <c r="C133" i="60"/>
  <c r="F133" i="60"/>
  <c r="G133" i="60"/>
  <c r="Q338" i="52"/>
  <c r="S338" i="52" s="1"/>
  <c r="C410" i="52"/>
  <c r="AF47" i="60"/>
  <c r="AS47" i="60"/>
  <c r="BF47" i="60"/>
  <c r="AD47" i="60"/>
  <c r="AP47" i="60"/>
  <c r="J47" i="60"/>
  <c r="C47" i="60"/>
  <c r="O47" i="60"/>
  <c r="X47" i="60"/>
  <c r="BO47" i="60"/>
  <c r="AE47" i="60"/>
  <c r="AT47" i="60"/>
  <c r="AU47" i="60"/>
  <c r="S47" i="60"/>
  <c r="AB47" i="60"/>
  <c r="R47" i="60"/>
  <c r="T47" i="60"/>
  <c r="AC47" i="60"/>
  <c r="AL47" i="60"/>
  <c r="AW47" i="60"/>
  <c r="AI47" i="60"/>
  <c r="P47" i="60"/>
  <c r="BP47" i="60"/>
  <c r="AN47" i="60"/>
  <c r="U47" i="60"/>
  <c r="BI47" i="60"/>
  <c r="BS47" i="60"/>
  <c r="AO47" i="60"/>
  <c r="F47" i="60"/>
  <c r="AY47" i="60"/>
  <c r="BR47" i="60"/>
  <c r="BD47" i="60"/>
  <c r="AV47" i="60"/>
  <c r="BG47" i="60"/>
  <c r="AQ47" i="60"/>
  <c r="BT47" i="60"/>
  <c r="K47" i="60"/>
  <c r="M47" i="60"/>
  <c r="Z47" i="60"/>
  <c r="V47" i="60"/>
  <c r="G47" i="60"/>
  <c r="BC47" i="60"/>
  <c r="BA47" i="60"/>
  <c r="H47" i="60"/>
  <c r="BB47" i="60"/>
  <c r="N47" i="60"/>
  <c r="BM47" i="60"/>
  <c r="Q47" i="60"/>
  <c r="BH47" i="60"/>
  <c r="AG47" i="60"/>
  <c r="BJ47" i="60"/>
  <c r="BL47" i="60"/>
  <c r="Q493" i="52"/>
  <c r="S493" i="52" s="1"/>
  <c r="M55" i="60"/>
  <c r="K55" i="60"/>
  <c r="AL55" i="60"/>
  <c r="AM55" i="60"/>
  <c r="AG55" i="60"/>
  <c r="AE55" i="60"/>
  <c r="G55" i="60"/>
  <c r="L55" i="60"/>
  <c r="BJ55" i="60"/>
  <c r="AD55" i="60"/>
  <c r="J55" i="60"/>
  <c r="AX55" i="60"/>
  <c r="AR55" i="60"/>
  <c r="S55" i="60"/>
  <c r="AI55" i="60"/>
  <c r="C55" i="60"/>
  <c r="AP55" i="60"/>
  <c r="N55" i="60"/>
  <c r="BM55" i="60"/>
  <c r="Y55" i="60"/>
  <c r="BH55" i="60"/>
  <c r="AW55" i="60"/>
  <c r="C478" i="52"/>
  <c r="Q406" i="52"/>
  <c r="S406" i="52" s="1"/>
  <c r="B267" i="52"/>
  <c r="B338" i="52"/>
  <c r="B410" i="52" s="1"/>
  <c r="B482" i="52" s="1"/>
  <c r="B554" i="52" s="1"/>
  <c r="B626" i="52" s="1"/>
  <c r="B698" i="52" s="1"/>
  <c r="S276" i="46"/>
  <c r="U276" i="46"/>
  <c r="V276" i="46" s="1"/>
  <c r="C562" i="52"/>
  <c r="C634" i="52" s="1"/>
  <c r="Q490" i="52"/>
  <c r="S490" i="52" s="1"/>
  <c r="D105" i="60"/>
  <c r="M105" i="60"/>
  <c r="V105" i="60"/>
  <c r="J105" i="60"/>
  <c r="I105" i="60"/>
  <c r="Q105" i="60"/>
  <c r="U105" i="60"/>
  <c r="R105" i="60"/>
  <c r="N105" i="60"/>
  <c r="O105" i="60"/>
  <c r="K105" i="60"/>
  <c r="T105" i="60"/>
  <c r="S105" i="60"/>
  <c r="X105" i="60"/>
  <c r="D602" i="52"/>
  <c r="Q530" i="52"/>
  <c r="S530" i="52" s="1"/>
  <c r="Q602" i="52"/>
  <c r="S602" i="52" s="1"/>
  <c r="D674" i="52"/>
  <c r="S392" i="46"/>
  <c r="T392" i="46" s="1"/>
  <c r="C369" i="52"/>
  <c r="C441" i="52" s="1"/>
  <c r="C636" i="52"/>
  <c r="Q636" i="52" s="1"/>
  <c r="S636" i="52" s="1"/>
  <c r="Q564" i="52"/>
  <c r="S564" i="52" s="1"/>
  <c r="C541" i="52"/>
  <c r="Q469" i="52"/>
  <c r="S469" i="52" s="1"/>
  <c r="Q478" i="52"/>
  <c r="S478" i="52" s="1"/>
  <c r="C550" i="52"/>
  <c r="C622" i="52" s="1"/>
  <c r="E399" i="46"/>
  <c r="H411" i="46"/>
  <c r="S411" i="46" s="1"/>
  <c r="B353" i="52"/>
  <c r="B425" i="52" s="1"/>
  <c r="B497" i="52" s="1"/>
  <c r="B569" i="52" s="1"/>
  <c r="B641" i="52" s="1"/>
  <c r="B713" i="52" s="1"/>
  <c r="B282" i="52"/>
  <c r="B354" i="52" s="1"/>
  <c r="B426" i="52" s="1"/>
  <c r="B498" i="52" s="1"/>
  <c r="B570" i="52" s="1"/>
  <c r="B642" i="52" s="1"/>
  <c r="B714" i="52" s="1"/>
  <c r="Q591" i="52"/>
  <c r="S591" i="52"/>
  <c r="D663" i="52"/>
  <c r="C571" i="52"/>
  <c r="Q571" i="52" s="1"/>
  <c r="S571" i="52" s="1"/>
  <c r="Q499" i="52"/>
  <c r="S499" i="52" s="1"/>
  <c r="C720" i="52"/>
  <c r="B280" i="52"/>
  <c r="B352" i="52" s="1"/>
  <c r="B424" i="52" s="1"/>
  <c r="B496" i="52" s="1"/>
  <c r="B568" i="52" s="1"/>
  <c r="B640" i="52" s="1"/>
  <c r="B712" i="52" s="1"/>
  <c r="B351" i="52"/>
  <c r="B423" i="52"/>
  <c r="B495" i="52" s="1"/>
  <c r="B567" i="52" s="1"/>
  <c r="B639" i="52" s="1"/>
  <c r="B711" i="52" s="1"/>
  <c r="Q523" i="52"/>
  <c r="S523" i="52"/>
  <c r="C595" i="52"/>
  <c r="C667" i="52" s="1"/>
  <c r="C675" i="52"/>
  <c r="Q603" i="52"/>
  <c r="S603" i="52" s="1"/>
  <c r="M276" i="46"/>
  <c r="B339" i="52"/>
  <c r="B411" i="52" s="1"/>
  <c r="B483" i="52" s="1"/>
  <c r="B555" i="52" s="1"/>
  <c r="B627" i="52" s="1"/>
  <c r="B699" i="52" s="1"/>
  <c r="B270" i="52"/>
  <c r="B271" i="52" s="1"/>
  <c r="B269" i="52"/>
  <c r="B341" i="52"/>
  <c r="B413" i="52" s="1"/>
  <c r="B485" i="52" s="1"/>
  <c r="B557" i="52" s="1"/>
  <c r="B629" i="52" s="1"/>
  <c r="B701" i="52" s="1"/>
  <c r="B268" i="52"/>
  <c r="C637" i="52"/>
  <c r="C482" i="52"/>
  <c r="Q482" i="52" s="1"/>
  <c r="S482" i="52" s="1"/>
  <c r="Q410" i="52"/>
  <c r="S410" i="52"/>
  <c r="S295" i="46"/>
  <c r="I295" i="46"/>
  <c r="C518" i="52"/>
  <c r="C590" i="52" s="1"/>
  <c r="Q689" i="52"/>
  <c r="S689" i="52"/>
  <c r="C761" i="52"/>
  <c r="Q761" i="52"/>
  <c r="S761" i="52" s="1"/>
  <c r="Q637" i="52"/>
  <c r="S637" i="52" s="1"/>
  <c r="C709" i="52"/>
  <c r="Q709" i="52" s="1"/>
  <c r="S709" i="52" s="1"/>
  <c r="D735" i="52"/>
  <c r="Q735" i="52" s="1"/>
  <c r="S735" i="52" s="1"/>
  <c r="Q663" i="52"/>
  <c r="S663" i="52"/>
  <c r="Q369" i="52"/>
  <c r="S369" i="52" s="1"/>
  <c r="Q595" i="52"/>
  <c r="S595" i="52" s="1"/>
  <c r="Q674" i="52"/>
  <c r="S674" i="52" s="1"/>
  <c r="D746" i="52"/>
  <c r="Q746" i="52" s="1"/>
  <c r="S746" i="52" s="1"/>
  <c r="C747" i="52"/>
  <c r="Q747" i="52" s="1"/>
  <c r="S747" i="52" s="1"/>
  <c r="Q675" i="52"/>
  <c r="S675" i="52" s="1"/>
  <c r="I411" i="46"/>
  <c r="C613" i="52"/>
  <c r="C685" i="52" s="1"/>
  <c r="Q541" i="52"/>
  <c r="S541" i="52"/>
  <c r="M394" i="46"/>
  <c r="Q399" i="46" s="1"/>
  <c r="AR111" i="60"/>
  <c r="H111" i="60"/>
  <c r="J111" i="60"/>
  <c r="BD111" i="60"/>
  <c r="F111" i="60"/>
  <c r="O111" i="60"/>
  <c r="AN111" i="60"/>
  <c r="Y111" i="60"/>
  <c r="AF111" i="60"/>
  <c r="Q550" i="52"/>
  <c r="S550" i="52" s="1"/>
  <c r="M392" i="46"/>
  <c r="B272" i="52"/>
  <c r="B273" i="52" s="1"/>
  <c r="B343" i="52"/>
  <c r="B415" i="52" s="1"/>
  <c r="B487" i="52" s="1"/>
  <c r="B559" i="52" s="1"/>
  <c r="B631" i="52" s="1"/>
  <c r="B703" i="52" s="1"/>
  <c r="B345" i="52"/>
  <c r="B417" i="52" s="1"/>
  <c r="B489" i="52" s="1"/>
  <c r="B561" i="52" s="1"/>
  <c r="B633" i="52" s="1"/>
  <c r="B705" i="52" s="1"/>
  <c r="C639" i="52" l="1"/>
  <c r="Q567" i="52"/>
  <c r="S567" i="52" s="1"/>
  <c r="Q685" i="52"/>
  <c r="S685" i="52" s="1"/>
  <c r="C757" i="52"/>
  <c r="Q757" i="52" s="1"/>
  <c r="S757" i="52" s="1"/>
  <c r="C513" i="52"/>
  <c r="Q441" i="52"/>
  <c r="S441" i="52" s="1"/>
  <c r="B340" i="52"/>
  <c r="B412" i="52" s="1"/>
  <c r="B484" i="52" s="1"/>
  <c r="B556" i="52" s="1"/>
  <c r="B628" i="52" s="1"/>
  <c r="B700" i="52" s="1"/>
  <c r="O232" i="52"/>
  <c r="C739" i="52"/>
  <c r="Q739" i="52" s="1"/>
  <c r="S739" i="52" s="1"/>
  <c r="Q667" i="52"/>
  <c r="S667" i="52" s="1"/>
  <c r="Q590" i="52"/>
  <c r="S590" i="52" s="1"/>
  <c r="C662" i="52"/>
  <c r="C694" i="52"/>
  <c r="Q622" i="52"/>
  <c r="S622" i="52" s="1"/>
  <c r="Q270" i="52"/>
  <c r="S270" i="52" s="1"/>
  <c r="C342" i="52"/>
  <c r="C271" i="52"/>
  <c r="O233" i="52"/>
  <c r="B344" i="52"/>
  <c r="B416" i="52" s="1"/>
  <c r="B488" i="52" s="1"/>
  <c r="B560" i="52" s="1"/>
  <c r="B632" i="52" s="1"/>
  <c r="B704" i="52" s="1"/>
  <c r="N111" i="60"/>
  <c r="T276" i="46"/>
  <c r="M278" i="46"/>
  <c r="Q283" i="46" s="1"/>
  <c r="O81" i="60"/>
  <c r="AH81" i="60"/>
  <c r="G111" i="60"/>
  <c r="C534" i="52"/>
  <c r="Q462" i="52"/>
  <c r="S462" i="52" s="1"/>
  <c r="BN12" i="60"/>
  <c r="BJ12" i="60"/>
  <c r="AY12" i="60"/>
  <c r="L12" i="60"/>
  <c r="AQ12" i="60"/>
  <c r="AP12" i="60"/>
  <c r="AL12" i="60"/>
  <c r="AM12" i="60"/>
  <c r="V12" i="60"/>
  <c r="BP12" i="60"/>
  <c r="AG12" i="60"/>
  <c r="AX12" i="60"/>
  <c r="AT12" i="60"/>
  <c r="BB12" i="60"/>
  <c r="C12" i="60"/>
  <c r="AV12" i="60"/>
  <c r="AB12" i="60"/>
  <c r="AZ12" i="60"/>
  <c r="Z12" i="60"/>
  <c r="G12" i="60"/>
  <c r="AI12" i="60"/>
  <c r="BK12" i="60"/>
  <c r="AK12" i="60"/>
  <c r="CJ111" i="60"/>
  <c r="BN36" i="60"/>
  <c r="AQ36" i="60"/>
  <c r="BC36" i="60"/>
  <c r="T36" i="60"/>
  <c r="C36" i="60"/>
  <c r="AU36" i="60"/>
  <c r="BK55" i="60"/>
  <c r="BG55" i="60"/>
  <c r="BR55" i="60"/>
  <c r="BQ55" i="60"/>
  <c r="BP55" i="60"/>
  <c r="BC55" i="60"/>
  <c r="F55" i="60"/>
  <c r="BN55" i="60"/>
  <c r="BL55" i="60"/>
  <c r="F70" i="60"/>
  <c r="BE70" i="60"/>
  <c r="O70" i="60"/>
  <c r="AB70" i="60"/>
  <c r="AH70" i="60"/>
  <c r="J70" i="60"/>
  <c r="AL70" i="60"/>
  <c r="AP70" i="60"/>
  <c r="AE70" i="60"/>
  <c r="BH70" i="60"/>
  <c r="AT70" i="60"/>
  <c r="AN70" i="60"/>
  <c r="C491" i="52"/>
  <c r="Q419" i="52"/>
  <c r="S419" i="52" s="1"/>
  <c r="BR26" i="60"/>
  <c r="U26" i="60"/>
  <c r="AH26" i="60"/>
  <c r="AI26" i="60"/>
  <c r="AV26" i="60"/>
  <c r="AP26" i="60"/>
  <c r="H26" i="60"/>
  <c r="BS26" i="60"/>
  <c r="AE26" i="60"/>
  <c r="AF26" i="60"/>
  <c r="Y26" i="60"/>
  <c r="N26" i="60"/>
  <c r="Z26" i="60"/>
  <c r="C26" i="60"/>
  <c r="BK26" i="60"/>
  <c r="AQ26" i="60"/>
  <c r="AS26" i="60"/>
  <c r="AA26" i="60"/>
  <c r="AV111" i="60"/>
  <c r="AZ111" i="60"/>
  <c r="P111" i="60"/>
  <c r="C708" i="52"/>
  <c r="Q708" i="52" s="1"/>
  <c r="S708" i="52" s="1"/>
  <c r="AU111" i="60"/>
  <c r="AJ111" i="60"/>
  <c r="AM111" i="60"/>
  <c r="I111" i="60"/>
  <c r="C691" i="52"/>
  <c r="X36" i="60"/>
  <c r="L36" i="60"/>
  <c r="Y12" i="60"/>
  <c r="AA12" i="60"/>
  <c r="Q641" i="52"/>
  <c r="S641" i="52" s="1"/>
  <c r="C713" i="52"/>
  <c r="Q713" i="52" s="1"/>
  <c r="S713" i="52" s="1"/>
  <c r="Q536" i="52"/>
  <c r="S536" i="52" s="1"/>
  <c r="D608" i="52"/>
  <c r="P508" i="52"/>
  <c r="Z508" i="52"/>
  <c r="B112" i="60"/>
  <c r="W112" i="44"/>
  <c r="W116" i="44"/>
  <c r="W124" i="44"/>
  <c r="W115" i="44"/>
  <c r="W123" i="44"/>
  <c r="W111" i="44"/>
  <c r="W121" i="44"/>
  <c r="W117" i="44"/>
  <c r="W122" i="44"/>
  <c r="W113" i="44"/>
  <c r="D111" i="60"/>
  <c r="X111" i="60"/>
  <c r="AP111" i="60"/>
  <c r="AK81" i="60"/>
  <c r="AW36" i="60"/>
  <c r="AY36" i="60"/>
  <c r="AF36" i="60"/>
  <c r="AI36" i="60"/>
  <c r="Q613" i="52"/>
  <c r="S613" i="52" s="1"/>
  <c r="S111" i="60"/>
  <c r="AH111" i="60"/>
  <c r="AY111" i="60"/>
  <c r="V111" i="60"/>
  <c r="C643" i="52"/>
  <c r="C111" i="60"/>
  <c r="BT55" i="60"/>
  <c r="BB55" i="60"/>
  <c r="AO55" i="60"/>
  <c r="AJ81" i="60"/>
  <c r="C269" i="52"/>
  <c r="Q495" i="52"/>
  <c r="S495" i="52" s="1"/>
  <c r="C368" i="52"/>
  <c r="K70" i="60"/>
  <c r="AJ70" i="60"/>
  <c r="AG36" i="60"/>
  <c r="AP36" i="60"/>
  <c r="AH36" i="60"/>
  <c r="BK36" i="60"/>
  <c r="AC12" i="60"/>
  <c r="Q302" i="52"/>
  <c r="S302" i="52" s="1"/>
  <c r="Z692" i="52"/>
  <c r="P692" i="52"/>
  <c r="Z495" i="52"/>
  <c r="P495" i="52"/>
  <c r="AW111" i="60"/>
  <c r="AL111" i="60"/>
  <c r="U111" i="60"/>
  <c r="CL16" i="60"/>
  <c r="CJ16" i="60"/>
  <c r="AG111" i="60"/>
  <c r="AT111" i="60"/>
  <c r="O36" i="60"/>
  <c r="AA36" i="60"/>
  <c r="AD36" i="60"/>
  <c r="BA36" i="60"/>
  <c r="BI36" i="60"/>
  <c r="P36" i="60"/>
  <c r="AT36" i="60"/>
  <c r="AX36" i="60"/>
  <c r="BL36" i="60"/>
  <c r="AL36" i="60"/>
  <c r="BG36" i="60"/>
  <c r="BT36" i="60"/>
  <c r="H36" i="60"/>
  <c r="J36" i="60"/>
  <c r="AO36" i="60"/>
  <c r="F36" i="60"/>
  <c r="AM36" i="60"/>
  <c r="AK36" i="60"/>
  <c r="AR36" i="60"/>
  <c r="W36" i="60"/>
  <c r="G36" i="60"/>
  <c r="U36" i="60"/>
  <c r="AB36" i="60"/>
  <c r="BP36" i="60"/>
  <c r="M36" i="60"/>
  <c r="K36" i="60"/>
  <c r="BA111" i="60"/>
  <c r="AK111" i="60"/>
  <c r="T111" i="60"/>
  <c r="W111" i="60"/>
  <c r="Q111" i="60"/>
  <c r="AD111" i="60"/>
  <c r="AQ111" i="60"/>
  <c r="AI111" i="60"/>
  <c r="AE111" i="60"/>
  <c r="C554" i="52"/>
  <c r="AU55" i="60"/>
  <c r="P81" i="60"/>
  <c r="Q296" i="52"/>
  <c r="S296" i="52" s="1"/>
  <c r="D70" i="60"/>
  <c r="AG70" i="60"/>
  <c r="AW70" i="60"/>
  <c r="AS36" i="60"/>
  <c r="Z36" i="60"/>
  <c r="BE36" i="60"/>
  <c r="BF36" i="60"/>
  <c r="AE36" i="60"/>
  <c r="AS84" i="60"/>
  <c r="W84" i="60"/>
  <c r="Q84" i="60"/>
  <c r="AB84" i="60"/>
  <c r="AM84" i="60"/>
  <c r="E16" i="60"/>
  <c r="T12" i="60"/>
  <c r="F105" i="60"/>
  <c r="H105" i="60"/>
  <c r="G105" i="60"/>
  <c r="L105" i="60"/>
  <c r="P105" i="60"/>
  <c r="W105" i="60"/>
  <c r="AT84" i="60"/>
  <c r="BC70" i="60"/>
  <c r="BJ70" i="60"/>
  <c r="BO70" i="60"/>
  <c r="AJ36" i="60"/>
  <c r="N36" i="60"/>
  <c r="R36" i="60"/>
  <c r="BQ36" i="60"/>
  <c r="V36" i="60"/>
  <c r="H78" i="60"/>
  <c r="AI78" i="60"/>
  <c r="BP78" i="60"/>
  <c r="N78" i="60"/>
  <c r="D599" i="52"/>
  <c r="Q12" i="60"/>
  <c r="AS78" i="60"/>
  <c r="U78" i="60"/>
  <c r="BQ78" i="60"/>
  <c r="AX78" i="60"/>
  <c r="L78" i="60"/>
  <c r="T78" i="60"/>
  <c r="BN78" i="60"/>
  <c r="AJ78" i="60"/>
  <c r="J78" i="60"/>
  <c r="C78" i="60"/>
  <c r="P78" i="60"/>
  <c r="AE78" i="60"/>
  <c r="X78" i="60"/>
  <c r="O78" i="60"/>
  <c r="R78" i="60"/>
  <c r="AU78" i="60"/>
  <c r="D78" i="60"/>
  <c r="AK78" i="60"/>
  <c r="V78" i="60"/>
  <c r="AY78" i="60"/>
  <c r="AD78" i="60"/>
  <c r="BF78" i="60"/>
  <c r="AB78" i="60"/>
  <c r="AA78" i="60"/>
  <c r="AF78" i="60"/>
  <c r="Q78" i="60"/>
  <c r="AP78" i="60"/>
  <c r="N12" i="60"/>
  <c r="O26" i="60"/>
  <c r="AM26" i="60"/>
  <c r="V26" i="60"/>
  <c r="Q453" i="52"/>
  <c r="S453" i="52" s="1"/>
  <c r="C525" i="52"/>
  <c r="BS77" i="60"/>
  <c r="C451" i="50"/>
  <c r="D451" i="50"/>
  <c r="Q517" i="50"/>
  <c r="Q544" i="52"/>
  <c r="S544" i="52" s="1"/>
  <c r="C616" i="52"/>
  <c r="F297" i="52"/>
  <c r="F369" i="52" s="1"/>
  <c r="F441" i="52" s="1"/>
  <c r="F513" i="52" s="1"/>
  <c r="F585" i="52" s="1"/>
  <c r="F657" i="52" s="1"/>
  <c r="F729" i="52" s="1"/>
  <c r="F299" i="52"/>
  <c r="F371" i="52" s="1"/>
  <c r="F443" i="52" s="1"/>
  <c r="F515" i="52" s="1"/>
  <c r="F587" i="52" s="1"/>
  <c r="F659" i="52" s="1"/>
  <c r="F731" i="52" s="1"/>
  <c r="F290" i="52"/>
  <c r="F362" i="52" s="1"/>
  <c r="F434" i="52" s="1"/>
  <c r="F506" i="52" s="1"/>
  <c r="F578" i="52" s="1"/>
  <c r="F650" i="52" s="1"/>
  <c r="F722" i="52" s="1"/>
  <c r="F292" i="52"/>
  <c r="F364" i="52" s="1"/>
  <c r="F436" i="52" s="1"/>
  <c r="F508" i="52" s="1"/>
  <c r="F580" i="52" s="1"/>
  <c r="F652" i="52" s="1"/>
  <c r="F724" i="52" s="1"/>
  <c r="F309" i="52"/>
  <c r="F381" i="52" s="1"/>
  <c r="F453" i="52" s="1"/>
  <c r="F525" i="52" s="1"/>
  <c r="F597" i="52" s="1"/>
  <c r="F669" i="52" s="1"/>
  <c r="F741" i="52" s="1"/>
  <c r="F317" i="52"/>
  <c r="F389" i="52" s="1"/>
  <c r="F461" i="52" s="1"/>
  <c r="F533" i="52" s="1"/>
  <c r="F605" i="52" s="1"/>
  <c r="F677" i="52" s="1"/>
  <c r="F749" i="52" s="1"/>
  <c r="F289" i="52"/>
  <c r="F361" i="52" s="1"/>
  <c r="F433" i="52" s="1"/>
  <c r="F505" i="52" s="1"/>
  <c r="F577" i="52" s="1"/>
  <c r="F649" i="52" s="1"/>
  <c r="F721" i="52" s="1"/>
  <c r="F310" i="52"/>
  <c r="F382" i="52" s="1"/>
  <c r="F454" i="52" s="1"/>
  <c r="F526" i="52" s="1"/>
  <c r="F598" i="52" s="1"/>
  <c r="F670" i="52" s="1"/>
  <c r="F742" i="52" s="1"/>
  <c r="F300" i="52"/>
  <c r="F372" i="52" s="1"/>
  <c r="F444" i="52" s="1"/>
  <c r="F516" i="52" s="1"/>
  <c r="F588" i="52" s="1"/>
  <c r="F660" i="52" s="1"/>
  <c r="F732" i="52" s="1"/>
  <c r="F283" i="52"/>
  <c r="F355" i="52" s="1"/>
  <c r="F427" i="52" s="1"/>
  <c r="F499" i="52" s="1"/>
  <c r="F571" i="52" s="1"/>
  <c r="F643" i="52" s="1"/>
  <c r="F715" i="52" s="1"/>
  <c r="F303" i="52"/>
  <c r="F375" i="52" s="1"/>
  <c r="F447" i="52" s="1"/>
  <c r="F519" i="52" s="1"/>
  <c r="F591" i="52" s="1"/>
  <c r="F663" i="52" s="1"/>
  <c r="F735" i="52" s="1"/>
  <c r="F301" i="52"/>
  <c r="F373" i="52" s="1"/>
  <c r="F445" i="52" s="1"/>
  <c r="F517" i="52" s="1"/>
  <c r="F589" i="52" s="1"/>
  <c r="F661" i="52" s="1"/>
  <c r="F733" i="52" s="1"/>
  <c r="F291" i="52"/>
  <c r="F363" i="52" s="1"/>
  <c r="F435" i="52" s="1"/>
  <c r="F507" i="52" s="1"/>
  <c r="F579" i="52" s="1"/>
  <c r="F651" i="52" s="1"/>
  <c r="F723" i="52" s="1"/>
  <c r="F302" i="52"/>
  <c r="F374" i="52" s="1"/>
  <c r="F446" i="52" s="1"/>
  <c r="F518" i="52" s="1"/>
  <c r="F590" i="52" s="1"/>
  <c r="F662" i="52" s="1"/>
  <c r="F734" i="52" s="1"/>
  <c r="F304" i="52"/>
  <c r="F376" i="52" s="1"/>
  <c r="F448" i="52" s="1"/>
  <c r="F520" i="52" s="1"/>
  <c r="F592" i="52" s="1"/>
  <c r="F664" i="52" s="1"/>
  <c r="F736" i="52" s="1"/>
  <c r="F306" i="52"/>
  <c r="F378" i="52" s="1"/>
  <c r="F450" i="52" s="1"/>
  <c r="F522" i="52" s="1"/>
  <c r="F594" i="52" s="1"/>
  <c r="F666" i="52" s="1"/>
  <c r="F738" i="52" s="1"/>
  <c r="F295" i="52"/>
  <c r="F367" i="52" s="1"/>
  <c r="F439" i="52" s="1"/>
  <c r="F511" i="52" s="1"/>
  <c r="F583" i="52" s="1"/>
  <c r="F655" i="52" s="1"/>
  <c r="F727" i="52" s="1"/>
  <c r="AR58" i="60"/>
  <c r="BD58" i="60"/>
  <c r="Y58" i="60"/>
  <c r="BT58" i="60"/>
  <c r="AY58" i="60"/>
  <c r="AM58" i="60"/>
  <c r="I58" i="60"/>
  <c r="AW58" i="60"/>
  <c r="AO58" i="60"/>
  <c r="Q517" i="52"/>
  <c r="S517" i="52" s="1"/>
  <c r="C589" i="52"/>
  <c r="C670" i="52"/>
  <c r="H350" i="50"/>
  <c r="V77" i="60"/>
  <c r="AM77" i="60"/>
  <c r="R77" i="60"/>
  <c r="BC48" i="60"/>
  <c r="AP48" i="60"/>
  <c r="J48" i="60"/>
  <c r="U48" i="60"/>
  <c r="Y48" i="60"/>
  <c r="BO48" i="60"/>
  <c r="AR48" i="60"/>
  <c r="K48" i="60"/>
  <c r="G48" i="60"/>
  <c r="AZ48" i="60"/>
  <c r="Q48" i="60"/>
  <c r="AV48" i="60"/>
  <c r="BP48" i="60"/>
  <c r="V48" i="60"/>
  <c r="BL48" i="60"/>
  <c r="AL48" i="60"/>
  <c r="AG48" i="60"/>
  <c r="F298" i="52"/>
  <c r="F370" i="52" s="1"/>
  <c r="F442" i="52" s="1"/>
  <c r="F514" i="52" s="1"/>
  <c r="F586" i="52" s="1"/>
  <c r="F658" i="52" s="1"/>
  <c r="F730" i="52" s="1"/>
  <c r="L83" i="60"/>
  <c r="BR83" i="60"/>
  <c r="P83" i="60"/>
  <c r="H83" i="60"/>
  <c r="AE83" i="60"/>
  <c r="V83" i="60"/>
  <c r="BF83" i="60"/>
  <c r="BK83" i="60"/>
  <c r="AY83" i="60"/>
  <c r="BB83" i="60"/>
  <c r="M83" i="60"/>
  <c r="AV83" i="60"/>
  <c r="D83" i="60"/>
  <c r="AA83" i="60"/>
  <c r="AX83" i="60"/>
  <c r="Q83" i="60"/>
  <c r="AG83" i="60"/>
  <c r="BP83" i="60"/>
  <c r="BT83" i="60"/>
  <c r="BD83" i="60"/>
  <c r="I83" i="60"/>
  <c r="AL83" i="60"/>
  <c r="AF83" i="60"/>
  <c r="K83" i="60"/>
  <c r="X83" i="60"/>
  <c r="U83" i="60"/>
  <c r="BS83" i="60"/>
  <c r="AM83" i="60"/>
  <c r="S83" i="60"/>
  <c r="AS83" i="60"/>
  <c r="C83" i="60"/>
  <c r="AW83" i="60"/>
  <c r="BO83" i="60"/>
  <c r="Q69" i="60"/>
  <c r="T69" i="60"/>
  <c r="AA18" i="60"/>
  <c r="V18" i="60"/>
  <c r="F320" i="52"/>
  <c r="F392" i="52" s="1"/>
  <c r="F464" i="52" s="1"/>
  <c r="F536" i="52" s="1"/>
  <c r="F608" i="52" s="1"/>
  <c r="F680" i="52" s="1"/>
  <c r="F752" i="52" s="1"/>
  <c r="CL27" i="60"/>
  <c r="E27" i="60"/>
  <c r="CJ27" i="60"/>
  <c r="C521" i="52"/>
  <c r="Q449" i="52"/>
  <c r="S449" i="52" s="1"/>
  <c r="Q360" i="50"/>
  <c r="Q364" i="50"/>
  <c r="Q361" i="50"/>
  <c r="BP77" i="60"/>
  <c r="AO77" i="60"/>
  <c r="AV77" i="60"/>
  <c r="AB77" i="60"/>
  <c r="BJ77" i="60"/>
  <c r="BO77" i="60"/>
  <c r="C77" i="60"/>
  <c r="L77" i="60"/>
  <c r="P77" i="60"/>
  <c r="F273" i="52"/>
  <c r="F345" i="52" s="1"/>
  <c r="F417" i="52" s="1"/>
  <c r="F489" i="52" s="1"/>
  <c r="F561" i="52" s="1"/>
  <c r="F633" i="52" s="1"/>
  <c r="F705" i="52" s="1"/>
  <c r="K23" i="60"/>
  <c r="AB23" i="60"/>
  <c r="H23" i="60"/>
  <c r="I23" i="60"/>
  <c r="BG23" i="60"/>
  <c r="BI23" i="60"/>
  <c r="AL23" i="60"/>
  <c r="BJ23" i="60"/>
  <c r="U23" i="60"/>
  <c r="BK23" i="60"/>
  <c r="AR23" i="60"/>
  <c r="AX23" i="60"/>
  <c r="BQ23" i="60"/>
  <c r="BA23" i="60"/>
  <c r="C612" i="52"/>
  <c r="D385" i="50"/>
  <c r="C385" i="50"/>
  <c r="Q387" i="50" s="1"/>
  <c r="S385" i="50" s="1"/>
  <c r="P634" i="52"/>
  <c r="Z634" i="52"/>
  <c r="Z765" i="52"/>
  <c r="P765" i="52"/>
  <c r="Q361" i="52"/>
  <c r="S361" i="52" s="1"/>
  <c r="C433" i="52"/>
  <c r="CJ73" i="60"/>
  <c r="CL73" i="60"/>
  <c r="Z747" i="52"/>
  <c r="P747" i="52"/>
  <c r="P666" i="52"/>
  <c r="Z666" i="52"/>
  <c r="BF82" i="60"/>
  <c r="AV82" i="60"/>
  <c r="J82" i="60"/>
  <c r="AG82" i="60"/>
  <c r="AF38" i="60"/>
  <c r="AN38" i="60"/>
  <c r="AB38" i="60"/>
  <c r="I38" i="60"/>
  <c r="AU38" i="60"/>
  <c r="AH38" i="60"/>
  <c r="BC38" i="60"/>
  <c r="BJ38" i="60"/>
  <c r="AY38" i="60"/>
  <c r="H38" i="60"/>
  <c r="BD38" i="60"/>
  <c r="BI38" i="60"/>
  <c r="F38" i="60"/>
  <c r="G38" i="60"/>
  <c r="AK38" i="60"/>
  <c r="BM38" i="60"/>
  <c r="AV38" i="60"/>
  <c r="AE38" i="60"/>
  <c r="AA38" i="60"/>
  <c r="AM38" i="60"/>
  <c r="BO76" i="60"/>
  <c r="AX76" i="60"/>
  <c r="V76" i="60"/>
  <c r="AI76" i="60"/>
  <c r="R76" i="60"/>
  <c r="BM76" i="60"/>
  <c r="G76" i="60"/>
  <c r="AW76" i="60"/>
  <c r="O76" i="60"/>
  <c r="J76" i="60"/>
  <c r="AT76" i="60"/>
  <c r="AF76" i="60"/>
  <c r="BA76" i="60"/>
  <c r="W76" i="60"/>
  <c r="BI76" i="60"/>
  <c r="AY76" i="60"/>
  <c r="AV76" i="60"/>
  <c r="BS76" i="60"/>
  <c r="AA76" i="60"/>
  <c r="Z76" i="60"/>
  <c r="BT76" i="60"/>
  <c r="AJ76" i="60"/>
  <c r="C76" i="60"/>
  <c r="BN76" i="60"/>
  <c r="BD76" i="60"/>
  <c r="T76" i="60"/>
  <c r="AH76" i="60"/>
  <c r="BE76" i="60"/>
  <c r="AR76" i="60"/>
  <c r="P76" i="60"/>
  <c r="N76" i="60"/>
  <c r="AD76" i="60"/>
  <c r="BJ76" i="60"/>
  <c r="D76" i="60"/>
  <c r="H76" i="60"/>
  <c r="U76" i="60"/>
  <c r="L76" i="60"/>
  <c r="BR76" i="60"/>
  <c r="Q76" i="60"/>
  <c r="BG76" i="60"/>
  <c r="E49" i="60"/>
  <c r="CJ49" i="60"/>
  <c r="D504" i="52"/>
  <c r="C38" i="60"/>
  <c r="BG38" i="60"/>
  <c r="AL82" i="60"/>
  <c r="BR82" i="60"/>
  <c r="N82" i="60"/>
  <c r="G82" i="60"/>
  <c r="C537" i="52"/>
  <c r="Q465" i="52"/>
  <c r="S465" i="52" s="1"/>
  <c r="W162" i="50"/>
  <c r="S162" i="50"/>
  <c r="P661" i="52"/>
  <c r="Z661" i="52"/>
  <c r="P371" i="52"/>
  <c r="P746" i="52"/>
  <c r="Z746" i="52"/>
  <c r="W59" i="60"/>
  <c r="R59" i="60"/>
  <c r="J59" i="60"/>
  <c r="AR59" i="60"/>
  <c r="C286" i="52"/>
  <c r="C357" i="52"/>
  <c r="C429" i="52" s="1"/>
  <c r="Q285" i="52"/>
  <c r="S285" i="52" s="1"/>
  <c r="C234" i="52"/>
  <c r="V38" i="60"/>
  <c r="AC38" i="60"/>
  <c r="BB82" i="60"/>
  <c r="AS82" i="60"/>
  <c r="AU82" i="60"/>
  <c r="T82" i="60"/>
  <c r="BK82" i="60"/>
  <c r="P430" i="52"/>
  <c r="BA25" i="60"/>
  <c r="BR25" i="60"/>
  <c r="I25" i="60"/>
  <c r="P500" i="52"/>
  <c r="Z500" i="52"/>
  <c r="CJ14" i="60"/>
  <c r="E14" i="60"/>
  <c r="C431" i="52"/>
  <c r="Q359" i="52"/>
  <c r="S359" i="52" s="1"/>
  <c r="Q442" i="52"/>
  <c r="S442" i="52" s="1"/>
  <c r="C514" i="52"/>
  <c r="C586" i="52" s="1"/>
  <c r="X82" i="60"/>
  <c r="AA82" i="60"/>
  <c r="AW82" i="60"/>
  <c r="AF82" i="60"/>
  <c r="C596" i="52"/>
  <c r="Q596" i="52" s="1"/>
  <c r="S596" i="52" s="1"/>
  <c r="Q524" i="52"/>
  <c r="S524" i="52" s="1"/>
  <c r="Z689" i="52"/>
  <c r="P394" i="52"/>
  <c r="S306" i="50"/>
  <c r="W306" i="50"/>
  <c r="CJ95" i="60"/>
  <c r="C95" i="60"/>
  <c r="E73" i="60"/>
  <c r="AK82" i="60"/>
  <c r="AP82" i="60"/>
  <c r="AE82" i="60"/>
  <c r="AB82" i="60"/>
  <c r="L82" i="60"/>
  <c r="AQ82" i="60"/>
  <c r="F82" i="60"/>
  <c r="BQ82" i="60"/>
  <c r="AI82" i="60"/>
  <c r="AH82" i="60"/>
  <c r="O82" i="60"/>
  <c r="BJ82" i="60"/>
  <c r="V82" i="60"/>
  <c r="BP82" i="60"/>
  <c r="AM82" i="60"/>
  <c r="Q82" i="60"/>
  <c r="Z82" i="60"/>
  <c r="AY82" i="60"/>
  <c r="BO82" i="60"/>
  <c r="W82" i="60"/>
  <c r="BC82" i="60"/>
  <c r="AO82" i="60"/>
  <c r="BE82" i="60"/>
  <c r="AJ82" i="60"/>
  <c r="BA82" i="60"/>
  <c r="I82" i="60"/>
  <c r="AN82" i="60"/>
  <c r="BG82" i="60"/>
  <c r="S82" i="60"/>
  <c r="BD82" i="60"/>
  <c r="AT82" i="60"/>
  <c r="BI82" i="60"/>
  <c r="AX82" i="60"/>
  <c r="Z516" i="52"/>
  <c r="P516" i="52"/>
  <c r="S73" i="38"/>
  <c r="Z690" i="52"/>
  <c r="P690" i="52"/>
  <c r="CJ46" i="60"/>
  <c r="E46" i="60"/>
  <c r="AE40" i="60"/>
  <c r="BJ40" i="60"/>
  <c r="AC40" i="60"/>
  <c r="C40" i="60"/>
  <c r="Z616" i="52"/>
  <c r="P616" i="52"/>
  <c r="W114" i="44"/>
  <c r="BC72" i="60"/>
  <c r="AQ72" i="60"/>
  <c r="Y72" i="60"/>
  <c r="AB72" i="60"/>
  <c r="BB72" i="60"/>
  <c r="P618" i="52"/>
  <c r="Z359" i="52"/>
  <c r="P504" i="52"/>
  <c r="Y40" i="60"/>
  <c r="Z40" i="60"/>
  <c r="BD40" i="60"/>
  <c r="BT40" i="60"/>
  <c r="Q445" i="52"/>
  <c r="S445" i="52" s="1"/>
  <c r="Q686" i="52"/>
  <c r="S686" i="52" s="1"/>
  <c r="AR68" i="60"/>
  <c r="AO68" i="60"/>
  <c r="O68" i="60"/>
  <c r="C68" i="60"/>
  <c r="Q450" i="52"/>
  <c r="S450" i="52" s="1"/>
  <c r="C522" i="52"/>
  <c r="W106" i="46"/>
  <c r="W702" i="50"/>
  <c r="W501" i="50"/>
  <c r="S501" i="50"/>
  <c r="BT72" i="60"/>
  <c r="BA72" i="60"/>
  <c r="AS72" i="60"/>
  <c r="BD72" i="60"/>
  <c r="U72" i="60"/>
  <c r="Z659" i="52"/>
  <c r="Z599" i="52"/>
  <c r="BS40" i="60"/>
  <c r="L40" i="60"/>
  <c r="K40" i="60"/>
  <c r="BN40" i="60"/>
  <c r="C428" i="52"/>
  <c r="Q428" i="52" s="1"/>
  <c r="S428" i="52" s="1"/>
  <c r="W165" i="50"/>
  <c r="Z469" i="52"/>
  <c r="P469" i="52"/>
  <c r="P704" i="52"/>
  <c r="W104" i="46"/>
  <c r="P346" i="52"/>
  <c r="Z346" i="52"/>
  <c r="V72" i="60"/>
  <c r="BK72" i="60"/>
  <c r="BH72" i="60"/>
  <c r="AH72" i="60"/>
  <c r="BO72" i="60"/>
  <c r="O40" i="60"/>
  <c r="F40" i="60"/>
  <c r="D40" i="60"/>
  <c r="AB40" i="60"/>
  <c r="E20" i="60"/>
  <c r="Q373" i="52"/>
  <c r="S373" i="52" s="1"/>
  <c r="W116" i="46"/>
  <c r="Q610" i="52"/>
  <c r="S610" i="52" s="1"/>
  <c r="C72" i="60"/>
  <c r="J72" i="60"/>
  <c r="AM72" i="60"/>
  <c r="BL40" i="60"/>
  <c r="G40" i="60"/>
  <c r="AA40" i="60"/>
  <c r="AP40" i="60"/>
  <c r="L31" i="60"/>
  <c r="AG31" i="60"/>
  <c r="E225" i="46"/>
  <c r="H237" i="46"/>
  <c r="W109" i="46"/>
  <c r="W113" i="46"/>
  <c r="W117" i="46"/>
  <c r="W110" i="46"/>
  <c r="W105" i="46"/>
  <c r="W118" i="46"/>
  <c r="W112" i="46"/>
  <c r="W114" i="46"/>
  <c r="W115" i="46"/>
  <c r="F265" i="52"/>
  <c r="F277" i="52"/>
  <c r="F349" i="52" s="1"/>
  <c r="F421" i="52" s="1"/>
  <c r="F493" i="52" s="1"/>
  <c r="F565" i="52" s="1"/>
  <c r="F637" i="52" s="1"/>
  <c r="F709" i="52" s="1"/>
  <c r="Q404" i="52"/>
  <c r="S404" i="52" s="1"/>
  <c r="Q301" i="52"/>
  <c r="S301" i="52" s="1"/>
  <c r="Z398" i="52"/>
  <c r="P398" i="52"/>
  <c r="C290" i="52"/>
  <c r="Q290" i="52" s="1"/>
  <c r="S290" i="52" s="1"/>
  <c r="W119" i="44"/>
  <c r="W120" i="44"/>
  <c r="P351" i="52"/>
  <c r="W109" i="44"/>
  <c r="W118" i="44"/>
  <c r="C352" i="52"/>
  <c r="C439" i="52"/>
  <c r="W569" i="50"/>
  <c r="Z686" i="52"/>
  <c r="Z680" i="52"/>
  <c r="P680" i="52"/>
  <c r="W110" i="44"/>
  <c r="Q347" i="52"/>
  <c r="S347" i="52" s="1"/>
  <c r="Q329" i="52"/>
  <c r="S329" i="52" s="1"/>
  <c r="C330" i="52"/>
  <c r="W770" i="50"/>
  <c r="Z744" i="52"/>
  <c r="P744" i="52"/>
  <c r="Z757" i="52"/>
  <c r="P757" i="52"/>
  <c r="Y227" i="38"/>
  <c r="Y238" i="38" s="1"/>
  <c r="K238" i="38" s="1"/>
  <c r="DN112" i="60"/>
  <c r="DN113" i="60" s="1"/>
  <c r="DN114" i="60" s="1"/>
  <c r="DN115" i="60" s="1"/>
  <c r="DN116" i="60" s="1"/>
  <c r="DN117" i="60" s="1"/>
  <c r="DN118" i="60" s="1"/>
  <c r="DN119" i="60" s="1"/>
  <c r="DN120" i="60" s="1"/>
  <c r="DV111" i="60"/>
  <c r="DV112" i="60" s="1"/>
  <c r="DV113" i="60" s="1"/>
  <c r="DV114" i="60" s="1"/>
  <c r="DV115" i="60" s="1"/>
  <c r="DV116" i="60" s="1"/>
  <c r="DV117" i="60" s="1"/>
  <c r="DV118" i="60" s="1"/>
  <c r="DV119" i="60" s="1"/>
  <c r="DV120" i="60" s="1"/>
  <c r="V81" i="44"/>
  <c r="V74" i="46"/>
  <c r="V72" i="46"/>
  <c r="V71" i="46"/>
  <c r="V76" i="46"/>
  <c r="V75" i="46"/>
  <c r="V66" i="46"/>
  <c r="V83" i="46"/>
  <c r="V64" i="46"/>
  <c r="V69" i="46"/>
  <c r="D127" i="60"/>
  <c r="E127" i="60"/>
  <c r="C127" i="60"/>
  <c r="B51" i="60"/>
  <c r="B61" i="60"/>
  <c r="CJ61" i="60" s="1"/>
  <c r="B80" i="60"/>
  <c r="W436" i="50"/>
  <c r="Z748" i="52"/>
  <c r="I296" i="46"/>
  <c r="J295" i="50"/>
  <c r="W305" i="50" s="1"/>
  <c r="A169" i="52"/>
  <c r="J267" i="58"/>
  <c r="A191" i="52"/>
  <c r="I397" i="58"/>
  <c r="W373" i="50"/>
  <c r="V72" i="44"/>
  <c r="A208" i="52"/>
  <c r="I176" i="58"/>
  <c r="J195" i="58"/>
  <c r="I253" i="58"/>
  <c r="I219" i="50"/>
  <c r="I101" i="58"/>
  <c r="J410" i="58"/>
  <c r="I387" i="58"/>
  <c r="J141" i="50"/>
  <c r="W163" i="50" s="1"/>
  <c r="W142" i="44"/>
  <c r="W505" i="50"/>
  <c r="W371" i="50"/>
  <c r="J339" i="58"/>
  <c r="I181" i="58"/>
  <c r="J119" i="58"/>
  <c r="I392" i="58"/>
  <c r="I111" i="58"/>
  <c r="I310" i="58"/>
  <c r="J193" i="58"/>
  <c r="I106" i="58"/>
  <c r="J118" i="58"/>
  <c r="V67" i="44"/>
  <c r="V75" i="44"/>
  <c r="V76" i="44"/>
  <c r="V68" i="44"/>
  <c r="V87" i="44"/>
  <c r="V86" i="44"/>
  <c r="V83" i="44"/>
  <c r="W153" i="44"/>
  <c r="W140" i="44"/>
  <c r="W145" i="44"/>
  <c r="W141" i="44"/>
  <c r="V88" i="44"/>
  <c r="V71" i="44"/>
  <c r="V84" i="44"/>
  <c r="V73" i="44"/>
  <c r="V77" i="44"/>
  <c r="V80" i="44"/>
  <c r="V74" i="44"/>
  <c r="V69" i="44"/>
  <c r="W144" i="44"/>
  <c r="W152" i="44"/>
  <c r="V78" i="44"/>
  <c r="BL62" i="60"/>
  <c r="AC62" i="60"/>
  <c r="T62" i="60"/>
  <c r="F62" i="60"/>
  <c r="L62" i="60"/>
  <c r="AP62" i="60"/>
  <c r="BS62" i="60"/>
  <c r="H62" i="60"/>
  <c r="O62" i="60"/>
  <c r="AW62" i="60"/>
  <c r="AO62" i="60"/>
  <c r="AE62" i="60"/>
  <c r="BN62" i="60"/>
  <c r="N62" i="60"/>
  <c r="AZ62" i="60"/>
  <c r="BT62" i="60"/>
  <c r="BI62" i="60"/>
  <c r="R62" i="60"/>
  <c r="AX62" i="60"/>
  <c r="AF62" i="60"/>
  <c r="AN62" i="60"/>
  <c r="J62" i="60"/>
  <c r="AY62" i="60"/>
  <c r="X62" i="60"/>
  <c r="BC62" i="60"/>
  <c r="BG62" i="60"/>
  <c r="AL62" i="60"/>
  <c r="AI62" i="60"/>
  <c r="AG62" i="60"/>
  <c r="BQ62" i="60"/>
  <c r="AD62" i="60"/>
  <c r="AH62" i="60"/>
  <c r="BH62" i="60"/>
  <c r="AQ62" i="60"/>
  <c r="M62" i="60"/>
  <c r="P62" i="60"/>
  <c r="K62" i="60"/>
  <c r="BF62" i="60"/>
  <c r="AU62" i="60"/>
  <c r="Z62" i="60"/>
  <c r="BA62" i="60"/>
  <c r="AV62" i="60"/>
  <c r="BP62" i="60"/>
  <c r="AA62" i="60"/>
  <c r="C62" i="60"/>
  <c r="Q62" i="60"/>
  <c r="S62" i="60"/>
  <c r="AT62" i="60"/>
  <c r="AK62" i="60"/>
  <c r="BM62" i="60"/>
  <c r="AB62" i="60"/>
  <c r="G62" i="60"/>
  <c r="AR62" i="60"/>
  <c r="BE62" i="60"/>
  <c r="BB62" i="60"/>
  <c r="BD62" i="60"/>
  <c r="AS62" i="60"/>
  <c r="I62" i="60"/>
  <c r="Y62" i="60"/>
  <c r="BO62" i="60"/>
  <c r="BJ62" i="60"/>
  <c r="D62" i="60"/>
  <c r="AJ62" i="60"/>
  <c r="AM62" i="60"/>
  <c r="W62" i="60"/>
  <c r="BR62" i="60"/>
  <c r="U62" i="60"/>
  <c r="V62" i="60"/>
  <c r="BK62" i="60"/>
  <c r="W120" i="38"/>
  <c r="W116" i="38"/>
  <c r="W124" i="38"/>
  <c r="W118" i="38"/>
  <c r="W123" i="38"/>
  <c r="W119" i="38"/>
  <c r="W122" i="38"/>
  <c r="T319" i="50"/>
  <c r="U319" i="50"/>
  <c r="BM74" i="60"/>
  <c r="BN74" i="60"/>
  <c r="O74" i="60"/>
  <c r="BB74" i="60"/>
  <c r="Y74" i="60"/>
  <c r="BI74" i="60"/>
  <c r="T74" i="60"/>
  <c r="AF74" i="60"/>
  <c r="N74" i="60"/>
  <c r="AL74" i="60"/>
  <c r="M74" i="60"/>
  <c r="AP74" i="60"/>
  <c r="W74" i="60"/>
  <c r="AJ74" i="60"/>
  <c r="BK74" i="60"/>
  <c r="BE74" i="60"/>
  <c r="AO74" i="60"/>
  <c r="S74" i="60"/>
  <c r="AB74" i="60"/>
  <c r="AX74" i="60"/>
  <c r="F74" i="60"/>
  <c r="U74" i="60"/>
  <c r="AT74" i="60"/>
  <c r="BG74" i="60"/>
  <c r="BL74" i="60"/>
  <c r="V74" i="60"/>
  <c r="AK74" i="60"/>
  <c r="AR74" i="60"/>
  <c r="BS74" i="60"/>
  <c r="J74" i="60"/>
  <c r="D74" i="60"/>
  <c r="L74" i="60"/>
  <c r="AQ74" i="60"/>
  <c r="R74" i="60"/>
  <c r="AZ74" i="60"/>
  <c r="AW74" i="60"/>
  <c r="AU74" i="60"/>
  <c r="AN74" i="60"/>
  <c r="AA74" i="60"/>
  <c r="BJ74" i="60"/>
  <c r="BQ74" i="60"/>
  <c r="AE74" i="60"/>
  <c r="BR74" i="60"/>
  <c r="BO74" i="60"/>
  <c r="C74" i="60"/>
  <c r="BC74" i="60"/>
  <c r="AY74" i="60"/>
  <c r="I74" i="60"/>
  <c r="H74" i="60"/>
  <c r="BH74" i="60"/>
  <c r="Q74" i="60"/>
  <c r="BF74" i="60"/>
  <c r="G74" i="60"/>
  <c r="K74" i="60"/>
  <c r="BP74" i="60"/>
  <c r="AC74" i="60"/>
  <c r="AD74" i="60"/>
  <c r="AG74" i="60"/>
  <c r="BD74" i="60"/>
  <c r="AV74" i="60"/>
  <c r="AH74" i="60"/>
  <c r="BA74" i="60"/>
  <c r="W150" i="38"/>
  <c r="W147" i="38"/>
  <c r="W143" i="38"/>
  <c r="W149" i="38"/>
  <c r="W148" i="38"/>
  <c r="W146" i="38"/>
  <c r="W142" i="38"/>
  <c r="W145" i="38"/>
  <c r="C75" i="60"/>
  <c r="AR26" i="60"/>
  <c r="BQ75" i="60"/>
  <c r="S187" i="50"/>
  <c r="W769" i="50"/>
  <c r="Q75" i="60"/>
  <c r="CL61" i="60"/>
  <c r="W161" i="50"/>
  <c r="CL84" i="60"/>
  <c r="BM81" i="60"/>
  <c r="C81" i="60"/>
  <c r="AX81" i="60"/>
  <c r="BP81" i="60"/>
  <c r="AN81" i="60"/>
  <c r="M81" i="60"/>
  <c r="BK81" i="60"/>
  <c r="BN81" i="60"/>
  <c r="AS81" i="60"/>
  <c r="AU81" i="60"/>
  <c r="BL81" i="60"/>
  <c r="BH81" i="60"/>
  <c r="K81" i="60"/>
  <c r="AE81" i="60"/>
  <c r="Q81" i="60"/>
  <c r="L81" i="60"/>
  <c r="AL81" i="60"/>
  <c r="AC81" i="60"/>
  <c r="AM81" i="60"/>
  <c r="J81" i="60"/>
  <c r="AW81" i="60"/>
  <c r="U81" i="60"/>
  <c r="AZ81" i="60"/>
  <c r="AV81" i="60"/>
  <c r="AG81" i="60"/>
  <c r="W81" i="60"/>
  <c r="BS81" i="60"/>
  <c r="BA81" i="60"/>
  <c r="T81" i="60"/>
  <c r="S81" i="60"/>
  <c r="X81" i="60"/>
  <c r="BB81" i="60"/>
  <c r="AO81" i="60"/>
  <c r="BF81" i="60"/>
  <c r="AP81" i="60"/>
  <c r="Z81" i="60"/>
  <c r="D81" i="60"/>
  <c r="BT81" i="60"/>
  <c r="G81" i="60"/>
  <c r="BR81" i="60"/>
  <c r="H81" i="60"/>
  <c r="R81" i="60"/>
  <c r="N81" i="60"/>
  <c r="L111" i="60"/>
  <c r="AS111" i="60"/>
  <c r="R111" i="60"/>
  <c r="BB111" i="60"/>
  <c r="AB111" i="60"/>
  <c r="K111" i="60"/>
  <c r="BC111" i="60"/>
  <c r="AO111" i="60"/>
  <c r="M111" i="60"/>
  <c r="Z111" i="60"/>
  <c r="AA111" i="60"/>
  <c r="AX111" i="60"/>
  <c r="AN55" i="60"/>
  <c r="BO55" i="60"/>
  <c r="AA55" i="60"/>
  <c r="V55" i="60"/>
  <c r="BA55" i="60"/>
  <c r="AT55" i="60"/>
  <c r="BI55" i="60"/>
  <c r="AY55" i="60"/>
  <c r="X55" i="60"/>
  <c r="Z55" i="60"/>
  <c r="AF55" i="60"/>
  <c r="AZ55" i="60"/>
  <c r="BE55" i="60"/>
  <c r="T55" i="60"/>
  <c r="D55" i="60"/>
  <c r="AQ55" i="60"/>
  <c r="P55" i="60"/>
  <c r="BS55" i="60"/>
  <c r="AZ47" i="60"/>
  <c r="D47" i="60"/>
  <c r="AM47" i="60"/>
  <c r="AH47" i="60"/>
  <c r="I47" i="60"/>
  <c r="BE47" i="60"/>
  <c r="L47" i="60"/>
  <c r="AA47" i="60"/>
  <c r="W47" i="60"/>
  <c r="AK47" i="60"/>
  <c r="Y47" i="60"/>
  <c r="AX47" i="60"/>
  <c r="BQ47" i="60"/>
  <c r="AJ47" i="60"/>
  <c r="AR47" i="60"/>
  <c r="BN47" i="60"/>
  <c r="U16" i="60"/>
  <c r="AU16" i="60"/>
  <c r="N16" i="60"/>
  <c r="P16" i="60"/>
  <c r="AB16" i="60"/>
  <c r="D16" i="60"/>
  <c r="S16" i="60"/>
  <c r="V16" i="60"/>
  <c r="AA81" i="60"/>
  <c r="V81" i="60"/>
  <c r="BQ81" i="60"/>
  <c r="BJ81" i="60"/>
  <c r="BG81" i="60"/>
  <c r="F81" i="60"/>
  <c r="BC81" i="60"/>
  <c r="BE81" i="60"/>
  <c r="K84" i="60"/>
  <c r="AW84" i="60"/>
  <c r="AL84" i="60"/>
  <c r="O55" i="60"/>
  <c r="BF55" i="60"/>
  <c r="W55" i="60"/>
  <c r="BD55" i="60"/>
  <c r="R55" i="60"/>
  <c r="AH55" i="60"/>
  <c r="I55" i="60"/>
  <c r="U55" i="60"/>
  <c r="AV55" i="60"/>
  <c r="AB55" i="60"/>
  <c r="AC55" i="60"/>
  <c r="Q55" i="60"/>
  <c r="AS55" i="60"/>
  <c r="AK55" i="60"/>
  <c r="H55" i="60"/>
  <c r="AJ55" i="60"/>
  <c r="AT81" i="60"/>
  <c r="BD81" i="60"/>
  <c r="AY81" i="60"/>
  <c r="Y81" i="60"/>
  <c r="BO81" i="60"/>
  <c r="AR81" i="60"/>
  <c r="BI81" i="60"/>
  <c r="AQ81" i="60"/>
  <c r="AB81" i="60"/>
  <c r="BC84" i="60"/>
  <c r="AP84" i="60"/>
  <c r="AH84" i="60"/>
  <c r="X84" i="60"/>
  <c r="Z84" i="60"/>
  <c r="D84" i="60"/>
  <c r="BF84" i="60"/>
  <c r="Y84" i="60"/>
  <c r="AY84" i="60"/>
  <c r="P84" i="60"/>
  <c r="BJ84" i="60"/>
  <c r="BB84" i="60"/>
  <c r="BA84" i="60"/>
  <c r="BN84" i="60"/>
  <c r="F84" i="60"/>
  <c r="L84" i="60"/>
  <c r="AQ84" i="60"/>
  <c r="AW16" i="60"/>
  <c r="AC16" i="60"/>
  <c r="AI16" i="60"/>
  <c r="J16" i="60"/>
  <c r="Q16" i="60"/>
  <c r="AX45" i="60"/>
  <c r="Q45" i="60"/>
  <c r="K45" i="60"/>
  <c r="BL45" i="60"/>
  <c r="W45" i="60"/>
  <c r="AZ45" i="60"/>
  <c r="AU45" i="60"/>
  <c r="AC45" i="60"/>
  <c r="BK45" i="60"/>
  <c r="D45" i="60"/>
  <c r="AS45" i="60"/>
  <c r="L45" i="60"/>
  <c r="BM45" i="60"/>
  <c r="BR45" i="60"/>
  <c r="AY45" i="60"/>
  <c r="AJ45" i="60"/>
  <c r="AH17" i="60"/>
  <c r="P17" i="60"/>
  <c r="AW17" i="60"/>
  <c r="AJ17" i="60"/>
  <c r="D17" i="60"/>
  <c r="AS17" i="60"/>
  <c r="U17" i="60"/>
  <c r="AT17" i="60"/>
  <c r="BB17" i="60"/>
  <c r="X18" i="60"/>
  <c r="AN18" i="60"/>
  <c r="AC18" i="60"/>
  <c r="AS18" i="60"/>
  <c r="Z18" i="60"/>
  <c r="AX18" i="60"/>
  <c r="H18" i="60"/>
  <c r="BE18" i="60"/>
  <c r="G18" i="60"/>
  <c r="U21" i="60"/>
  <c r="X21" i="60"/>
  <c r="R21" i="60"/>
  <c r="AQ21" i="60"/>
  <c r="W21" i="60"/>
  <c r="V21" i="60"/>
  <c r="BI21" i="60"/>
  <c r="N21" i="60"/>
  <c r="BO21" i="60"/>
  <c r="AM21" i="60"/>
  <c r="AG21" i="60"/>
  <c r="Z21" i="60"/>
  <c r="AS21" i="60"/>
  <c r="BR21" i="60"/>
  <c r="BM21" i="60"/>
  <c r="BC21" i="60"/>
  <c r="S21" i="60"/>
  <c r="AL21" i="60"/>
  <c r="BD21" i="60"/>
  <c r="AO21" i="60"/>
  <c r="D21" i="60"/>
  <c r="AY21" i="60"/>
  <c r="BG21" i="60"/>
  <c r="BT21" i="60"/>
  <c r="BQ21" i="60"/>
  <c r="O21" i="60"/>
  <c r="T21" i="60"/>
  <c r="AE21" i="60"/>
  <c r="M21" i="60"/>
  <c r="BK21" i="60"/>
  <c r="K21" i="60"/>
  <c r="AR21" i="60"/>
  <c r="P95" i="60"/>
  <c r="O95" i="60"/>
  <c r="R95" i="60"/>
  <c r="F95" i="60"/>
  <c r="K95" i="60"/>
  <c r="H95" i="60"/>
  <c r="T95" i="60"/>
  <c r="U95" i="60"/>
  <c r="M95" i="60"/>
  <c r="J95" i="60"/>
  <c r="W95" i="60"/>
  <c r="S95" i="60"/>
  <c r="I95" i="60"/>
  <c r="X95" i="60"/>
  <c r="G95" i="60"/>
  <c r="D95" i="60"/>
  <c r="C97" i="60"/>
  <c r="C101" i="60"/>
  <c r="C94" i="60"/>
  <c r="C100" i="60"/>
  <c r="C93" i="60"/>
  <c r="C98" i="60"/>
  <c r="C104" i="60"/>
  <c r="H104" i="60" s="1"/>
  <c r="C91" i="60"/>
  <c r="C92" i="60"/>
  <c r="C96" i="60"/>
  <c r="C102" i="60"/>
  <c r="V102" i="60" s="1"/>
  <c r="Q18" i="60"/>
  <c r="BB18" i="60"/>
  <c r="BR18" i="60"/>
  <c r="AT18" i="60"/>
  <c r="BG18" i="60"/>
  <c r="BA18" i="60"/>
  <c r="W17" i="60"/>
  <c r="AA17" i="60"/>
  <c r="J17" i="60"/>
  <c r="BS17" i="60"/>
  <c r="K17" i="60"/>
  <c r="BD17" i="60"/>
  <c r="H17" i="60"/>
  <c r="N95" i="60"/>
  <c r="V95" i="60"/>
  <c r="R99" i="60"/>
  <c r="N99" i="60"/>
  <c r="W99" i="60"/>
  <c r="M99" i="60"/>
  <c r="D99" i="60"/>
  <c r="U99" i="60"/>
  <c r="P99" i="60"/>
  <c r="F99" i="60"/>
  <c r="AU42" i="60"/>
  <c r="T42" i="60"/>
  <c r="AG42" i="60"/>
  <c r="AW42" i="60"/>
  <c r="F42" i="60"/>
  <c r="BB42" i="60"/>
  <c r="J42" i="60"/>
  <c r="M42" i="60"/>
  <c r="G42" i="60"/>
  <c r="AF42" i="60"/>
  <c r="W42" i="60"/>
  <c r="Q42" i="60"/>
  <c r="R42" i="60"/>
  <c r="AK42" i="60"/>
  <c r="BN42" i="60"/>
  <c r="AP42" i="60"/>
  <c r="BO42" i="60"/>
  <c r="V42" i="60"/>
  <c r="Z42" i="60"/>
  <c r="L42" i="60"/>
  <c r="AJ42" i="60"/>
  <c r="AT42" i="60"/>
  <c r="AN42" i="60"/>
  <c r="AB42" i="60"/>
  <c r="C42" i="60"/>
  <c r="BR42" i="60"/>
  <c r="AY42" i="60"/>
  <c r="BC42" i="60"/>
  <c r="AA42" i="60"/>
  <c r="BK42" i="60"/>
  <c r="AS42" i="60"/>
  <c r="BM42" i="60"/>
  <c r="BD42" i="60"/>
  <c r="BF42" i="60"/>
  <c r="Y42" i="60"/>
  <c r="O42" i="60"/>
  <c r="S42" i="60"/>
  <c r="BI42" i="60"/>
  <c r="U42" i="60"/>
  <c r="AV21" i="60"/>
  <c r="P103" i="60"/>
  <c r="N103" i="60"/>
  <c r="H103" i="60"/>
  <c r="W103" i="60"/>
  <c r="R103" i="60"/>
  <c r="L103" i="60"/>
  <c r="O103" i="60"/>
  <c r="K103" i="60"/>
  <c r="F103" i="60"/>
  <c r="X103" i="60"/>
  <c r="Q103" i="60"/>
  <c r="D103" i="60"/>
  <c r="V103" i="60"/>
  <c r="G103" i="60"/>
  <c r="AK18" i="60"/>
  <c r="AE18" i="60"/>
  <c r="Y18" i="60"/>
  <c r="BS18" i="60"/>
  <c r="AR18" i="60"/>
  <c r="F18" i="60"/>
  <c r="AF17" i="60"/>
  <c r="AY17" i="60"/>
  <c r="AL17" i="60"/>
  <c r="AX17" i="60"/>
  <c r="AE17" i="60"/>
  <c r="AU17" i="60"/>
  <c r="AO42" i="60"/>
  <c r="BP42" i="60"/>
  <c r="H99" i="60"/>
  <c r="S99" i="60"/>
  <c r="I42" i="60"/>
  <c r="M18" i="60"/>
  <c r="BK18" i="60"/>
  <c r="N18" i="60"/>
  <c r="AF18" i="60"/>
  <c r="AQ18" i="60"/>
  <c r="U18" i="60"/>
  <c r="BI18" i="60"/>
  <c r="BQ17" i="60"/>
  <c r="BG17" i="60"/>
  <c r="X17" i="60"/>
  <c r="Y17" i="60"/>
  <c r="M17" i="60"/>
  <c r="AG17" i="60"/>
  <c r="I48" i="60"/>
  <c r="BS48" i="60"/>
  <c r="W48" i="60"/>
  <c r="AM42" i="60"/>
  <c r="AL42" i="60"/>
  <c r="AV42" i="60"/>
  <c r="D42" i="60"/>
  <c r="BR85" i="60"/>
  <c r="BF85" i="60"/>
  <c r="AO85" i="60"/>
  <c r="AS85" i="60"/>
  <c r="L95" i="60"/>
  <c r="Q95" i="60"/>
  <c r="BM79" i="60"/>
  <c r="AB79" i="60"/>
  <c r="AT79" i="60"/>
  <c r="BT79" i="60"/>
  <c r="F79" i="60"/>
  <c r="AA79" i="60"/>
  <c r="H79" i="60"/>
  <c r="AY79" i="60"/>
  <c r="K79" i="60"/>
  <c r="BC79" i="60"/>
  <c r="AE79" i="60"/>
  <c r="BB79" i="60"/>
  <c r="L79" i="60"/>
  <c r="U79" i="60"/>
  <c r="AS79" i="60"/>
  <c r="Y79" i="60"/>
  <c r="BK79" i="60"/>
  <c r="C79" i="60"/>
  <c r="BP79" i="60"/>
  <c r="BS79" i="60"/>
  <c r="AR79" i="60"/>
  <c r="BO79" i="60"/>
  <c r="BD79" i="60"/>
  <c r="BQ79" i="60"/>
  <c r="AL79" i="60"/>
  <c r="AA44" i="60"/>
  <c r="BS44" i="60"/>
  <c r="N44" i="60"/>
  <c r="BP44" i="60"/>
  <c r="AP44" i="60"/>
  <c r="G44" i="60"/>
  <c r="AU44" i="60"/>
  <c r="AK44" i="60"/>
  <c r="AR56" i="60"/>
  <c r="T56" i="60"/>
  <c r="AI56" i="60"/>
  <c r="BT56" i="60"/>
  <c r="AL56" i="60"/>
  <c r="O56" i="60"/>
  <c r="AP56" i="60"/>
  <c r="AV56" i="60"/>
  <c r="P56" i="60"/>
  <c r="AM56" i="60"/>
  <c r="R56" i="60"/>
  <c r="AZ56" i="60"/>
  <c r="C56" i="60"/>
  <c r="BJ56" i="60"/>
  <c r="AL65" i="60"/>
  <c r="AW59" i="60"/>
  <c r="AE59" i="60"/>
  <c r="T59" i="60"/>
  <c r="AU59" i="60"/>
  <c r="S59" i="60"/>
  <c r="AA59" i="60"/>
  <c r="BT59" i="60"/>
  <c r="AG59" i="60"/>
  <c r="AB59" i="60"/>
  <c r="F59" i="60"/>
  <c r="AX59" i="60"/>
  <c r="AC59" i="60"/>
  <c r="AP59" i="60"/>
  <c r="AH59" i="60"/>
  <c r="X59" i="60"/>
  <c r="AO59" i="60"/>
  <c r="AD59" i="60"/>
  <c r="AT59" i="60"/>
  <c r="BB59" i="60"/>
  <c r="BA59" i="60"/>
  <c r="BH59" i="60"/>
  <c r="M218" i="46"/>
  <c r="V218" i="46"/>
  <c r="BR56" i="60"/>
  <c r="AB56" i="60"/>
  <c r="Q56" i="60"/>
  <c r="L56" i="60"/>
  <c r="BO56" i="60"/>
  <c r="BK56" i="60"/>
  <c r="AG56" i="60"/>
  <c r="BE56" i="60"/>
  <c r="BQ56" i="60"/>
  <c r="AU56" i="60"/>
  <c r="BR23" i="60"/>
  <c r="AJ23" i="60"/>
  <c r="W35" i="60"/>
  <c r="AR35" i="60"/>
  <c r="BJ35" i="60"/>
  <c r="X35" i="60"/>
  <c r="AZ35" i="60"/>
  <c r="AK35" i="60"/>
  <c r="AB35" i="60"/>
  <c r="C59" i="60"/>
  <c r="BH58" i="60"/>
  <c r="BP58" i="60"/>
  <c r="AG58" i="60"/>
  <c r="AL58" i="60"/>
  <c r="AK58" i="60"/>
  <c r="AD58" i="60"/>
  <c r="C58" i="60"/>
  <c r="AV58" i="60"/>
  <c r="AQ58" i="60"/>
  <c r="F58" i="60"/>
  <c r="AH58" i="60"/>
  <c r="BG58" i="60"/>
  <c r="AF58" i="60"/>
  <c r="O58" i="60"/>
  <c r="BF58" i="60"/>
  <c r="BK58" i="60"/>
  <c r="N58" i="60"/>
  <c r="BI58" i="60"/>
  <c r="AS58" i="60"/>
  <c r="P58" i="60"/>
  <c r="J58" i="60"/>
  <c r="R58" i="60"/>
  <c r="K58" i="60"/>
  <c r="V58" i="60"/>
  <c r="AX58" i="60"/>
  <c r="U25" i="50"/>
  <c r="T25" i="50"/>
  <c r="BT74" i="60"/>
  <c r="AI74" i="60"/>
  <c r="Z74" i="60"/>
  <c r="X74" i="60"/>
  <c r="P74" i="60"/>
  <c r="AS74" i="60"/>
  <c r="AM74" i="60"/>
  <c r="I233" i="52"/>
  <c r="J233" i="52"/>
  <c r="G233" i="52"/>
  <c r="F233" i="52"/>
  <c r="H233" i="52"/>
  <c r="E233" i="52"/>
  <c r="F232" i="52"/>
  <c r="Q634" i="52"/>
  <c r="S634" i="52" s="1"/>
  <c r="C706" i="52"/>
  <c r="Q706" i="52" s="1"/>
  <c r="S706" i="52" s="1"/>
  <c r="U71" i="58"/>
  <c r="T71" i="58"/>
  <c r="M71" i="58"/>
  <c r="Q85" i="58" s="1"/>
  <c r="BG84" i="60"/>
  <c r="AE84" i="60"/>
  <c r="V84" i="60"/>
  <c r="AC84" i="60"/>
  <c r="AG84" i="60"/>
  <c r="AV84" i="60"/>
  <c r="BQ84" i="60"/>
  <c r="BI84" i="60"/>
  <c r="BS84" i="60"/>
  <c r="BT84" i="60"/>
  <c r="N84" i="60"/>
  <c r="AF84" i="60"/>
  <c r="T84" i="60"/>
  <c r="U84" i="60"/>
  <c r="J84" i="60"/>
  <c r="AN84" i="60"/>
  <c r="BO84" i="60"/>
  <c r="BL84" i="60"/>
  <c r="BP84" i="60"/>
  <c r="AI84" i="60"/>
  <c r="AA84" i="60"/>
  <c r="AJ84" i="60"/>
  <c r="AD84" i="60"/>
  <c r="AO84" i="60"/>
  <c r="R84" i="60"/>
  <c r="AK84" i="60"/>
  <c r="BH84" i="60"/>
  <c r="H84" i="60"/>
  <c r="AZ84" i="60"/>
  <c r="O84" i="60"/>
  <c r="BR84" i="60"/>
  <c r="M84" i="60"/>
  <c r="AR84" i="60"/>
  <c r="S84" i="60"/>
  <c r="C84" i="60"/>
  <c r="BE45" i="60"/>
  <c r="C45" i="60"/>
  <c r="AT45" i="60"/>
  <c r="AI45" i="60"/>
  <c r="BH45" i="60"/>
  <c r="AE45" i="60"/>
  <c r="O45" i="60"/>
  <c r="AQ45" i="60"/>
  <c r="Z45" i="60"/>
  <c r="AH45" i="60"/>
  <c r="AW45" i="60"/>
  <c r="BQ45" i="60"/>
  <c r="X45" i="60"/>
  <c r="BO45" i="60"/>
  <c r="BP45" i="60"/>
  <c r="AP45" i="60"/>
  <c r="R45" i="60"/>
  <c r="G45" i="60"/>
  <c r="AF45" i="60"/>
  <c r="BN45" i="60"/>
  <c r="AK45" i="60"/>
  <c r="P45" i="60"/>
  <c r="BI45" i="60"/>
  <c r="AR45" i="60"/>
  <c r="BA45" i="60"/>
  <c r="BC45" i="60"/>
  <c r="V45" i="60"/>
  <c r="BF45" i="60"/>
  <c r="S45" i="60"/>
  <c r="AV45" i="60"/>
  <c r="Y45" i="60"/>
  <c r="BB45" i="60"/>
  <c r="AA45" i="60"/>
  <c r="U45" i="60"/>
  <c r="H45" i="60"/>
  <c r="D102" i="60"/>
  <c r="M102" i="60"/>
  <c r="C683" i="52"/>
  <c r="Q611" i="52"/>
  <c r="S611" i="52" s="1"/>
  <c r="AW26" i="60"/>
  <c r="AU26" i="60"/>
  <c r="AG26" i="60"/>
  <c r="AD26" i="60"/>
  <c r="BH26" i="60"/>
  <c r="M26" i="60"/>
  <c r="AO26" i="60"/>
  <c r="BF26" i="60"/>
  <c r="BI26" i="60"/>
  <c r="AX26" i="60"/>
  <c r="AN26" i="60"/>
  <c r="AK26" i="60"/>
  <c r="T26" i="60"/>
  <c r="S26" i="60"/>
  <c r="BP26" i="60"/>
  <c r="BT26" i="60"/>
  <c r="Q26" i="60"/>
  <c r="BB26" i="60"/>
  <c r="W26" i="60"/>
  <c r="AL26" i="60"/>
  <c r="L26" i="60"/>
  <c r="I26" i="60"/>
  <c r="AC26" i="60"/>
  <c r="BM26" i="60"/>
  <c r="X26" i="60"/>
  <c r="BC26" i="60"/>
  <c r="J26" i="60"/>
  <c r="BO26" i="60"/>
  <c r="R26" i="60"/>
  <c r="BN26" i="60"/>
  <c r="BD26" i="60"/>
  <c r="K26" i="60"/>
  <c r="AJ26" i="60"/>
  <c r="BE26" i="60"/>
  <c r="BA26" i="60"/>
  <c r="BL26" i="60"/>
  <c r="F26" i="60"/>
  <c r="AY26" i="60"/>
  <c r="AT26" i="60"/>
  <c r="BG26" i="60"/>
  <c r="BJ26" i="60"/>
  <c r="BQ26" i="60"/>
  <c r="AZ26" i="60"/>
  <c r="D26" i="60"/>
  <c r="P26" i="60"/>
  <c r="G26" i="60"/>
  <c r="B342" i="52"/>
  <c r="B414" i="52" s="1"/>
  <c r="B486" i="52" s="1"/>
  <c r="B558" i="52" s="1"/>
  <c r="B630" i="52" s="1"/>
  <c r="B702" i="52" s="1"/>
  <c r="Q518" i="52"/>
  <c r="S518" i="52" s="1"/>
  <c r="AZ70" i="60"/>
  <c r="Z70" i="60"/>
  <c r="Q670" i="52"/>
  <c r="S670" i="52" s="1"/>
  <c r="C742" i="52"/>
  <c r="Q742" i="52" s="1"/>
  <c r="S742" i="52" s="1"/>
  <c r="M19" i="50"/>
  <c r="U19" i="50"/>
  <c r="X102" i="60"/>
  <c r="Q692" i="52"/>
  <c r="S692" i="52" s="1"/>
  <c r="C764" i="52"/>
  <c r="Q764" i="52" s="1"/>
  <c r="S764" i="52" s="1"/>
  <c r="Q660" i="52"/>
  <c r="S660" i="52" s="1"/>
  <c r="BM69" i="60"/>
  <c r="AX69" i="60"/>
  <c r="S69" i="60"/>
  <c r="BQ69" i="60"/>
  <c r="C69" i="60"/>
  <c r="BI69" i="60"/>
  <c r="J69" i="60"/>
  <c r="AB69" i="60"/>
  <c r="BN69" i="60"/>
  <c r="AT69" i="60"/>
  <c r="BH69" i="60"/>
  <c r="AO69" i="60"/>
  <c r="AW69" i="60"/>
  <c r="AM69" i="60"/>
  <c r="AE69" i="60"/>
  <c r="AI69" i="60"/>
  <c r="AA69" i="60"/>
  <c r="BB69" i="60"/>
  <c r="F69" i="60"/>
  <c r="BJ69" i="60"/>
  <c r="AF69" i="60"/>
  <c r="Z69" i="60"/>
  <c r="BA69" i="60"/>
  <c r="AS69" i="60"/>
  <c r="BC69" i="60"/>
  <c r="R69" i="60"/>
  <c r="BD69" i="60"/>
  <c r="BO69" i="60"/>
  <c r="G69" i="60"/>
  <c r="P69" i="60"/>
  <c r="BK69" i="60"/>
  <c r="I69" i="60"/>
  <c r="AK69" i="60"/>
  <c r="U69" i="60"/>
  <c r="AQ19" i="60"/>
  <c r="T19" i="60"/>
  <c r="BP19" i="60"/>
  <c r="AZ19" i="60"/>
  <c r="Z19" i="60"/>
  <c r="AP19" i="60"/>
  <c r="F19" i="60"/>
  <c r="BL19" i="60"/>
  <c r="AD19" i="60"/>
  <c r="AK19" i="60"/>
  <c r="K19" i="60"/>
  <c r="AG19" i="60"/>
  <c r="AA19" i="60"/>
  <c r="Y19" i="60"/>
  <c r="BI19" i="60"/>
  <c r="BC19" i="60"/>
  <c r="P19" i="60"/>
  <c r="AE19" i="60"/>
  <c r="O19" i="60"/>
  <c r="AH19" i="60"/>
  <c r="AB19" i="60"/>
  <c r="Q19" i="60"/>
  <c r="H19" i="60"/>
  <c r="AU19" i="60"/>
  <c r="BM19" i="60"/>
  <c r="L19" i="60"/>
  <c r="M19" i="60"/>
  <c r="AR19" i="60"/>
  <c r="BS19" i="60"/>
  <c r="BN19" i="60"/>
  <c r="BJ19" i="60"/>
  <c r="X19" i="60"/>
  <c r="U19" i="60"/>
  <c r="G19" i="60"/>
  <c r="C754" i="52"/>
  <c r="Q754" i="52" s="1"/>
  <c r="S754" i="52" s="1"/>
  <c r="Q682" i="52"/>
  <c r="S682" i="52" s="1"/>
  <c r="AY65" i="60"/>
  <c r="AH65" i="60"/>
  <c r="K65" i="60"/>
  <c r="M65" i="60"/>
  <c r="BP65" i="60"/>
  <c r="AI65" i="60"/>
  <c r="G65" i="60"/>
  <c r="AC65" i="60"/>
  <c r="AT65" i="60"/>
  <c r="BQ65" i="60"/>
  <c r="BL65" i="60"/>
  <c r="AZ65" i="60"/>
  <c r="P65" i="60"/>
  <c r="AR65" i="60"/>
  <c r="H65" i="60"/>
  <c r="AE65" i="60"/>
  <c r="L65" i="60"/>
  <c r="BK65" i="60"/>
  <c r="BB65" i="60"/>
  <c r="AX65" i="60"/>
  <c r="AK65" i="60"/>
  <c r="BN65" i="60"/>
  <c r="AO65" i="60"/>
  <c r="BI65" i="60"/>
  <c r="BF65" i="60"/>
  <c r="W65" i="60"/>
  <c r="C65" i="60"/>
  <c r="Z65" i="60"/>
  <c r="U65" i="60"/>
  <c r="BR65" i="60"/>
  <c r="N65" i="60"/>
  <c r="BS65" i="60"/>
  <c r="AB65" i="60"/>
  <c r="AD65" i="60"/>
  <c r="AN65" i="60"/>
  <c r="O65" i="60"/>
  <c r="AS65" i="60"/>
  <c r="AM65" i="60"/>
  <c r="AV65" i="60"/>
  <c r="BM65" i="60"/>
  <c r="T65" i="60"/>
  <c r="BE65" i="60"/>
  <c r="BO65" i="60"/>
  <c r="BD65" i="60"/>
  <c r="Y65" i="60"/>
  <c r="BJ65" i="60"/>
  <c r="X65" i="60"/>
  <c r="BH65" i="60"/>
  <c r="D615" i="52"/>
  <c r="Q543" i="52"/>
  <c r="S543" i="52" s="1"/>
  <c r="Q562" i="52"/>
  <c r="S562" i="52" s="1"/>
  <c r="C268" i="52"/>
  <c r="Q267" i="52"/>
  <c r="C339" i="52"/>
  <c r="AK70" i="60"/>
  <c r="AF70" i="60"/>
  <c r="AY70" i="60"/>
  <c r="AU70" i="60"/>
  <c r="BF70" i="60"/>
  <c r="W70" i="60"/>
  <c r="BQ70" i="60"/>
  <c r="S70" i="60"/>
  <c r="I70" i="60"/>
  <c r="BR70" i="60"/>
  <c r="AQ70" i="60"/>
  <c r="BN70" i="60"/>
  <c r="AM70" i="60"/>
  <c r="N70" i="60"/>
  <c r="R70" i="60"/>
  <c r="AC70" i="60"/>
  <c r="AR70" i="60"/>
  <c r="U70" i="60"/>
  <c r="BL70" i="60"/>
  <c r="AI70" i="60"/>
  <c r="T70" i="60"/>
  <c r="Y70" i="60"/>
  <c r="BI70" i="60"/>
  <c r="BP70" i="60"/>
  <c r="V70" i="60"/>
  <c r="BB70" i="60"/>
  <c r="AA70" i="60"/>
  <c r="M70" i="60"/>
  <c r="BG70" i="60"/>
  <c r="BK70" i="60"/>
  <c r="BS70" i="60"/>
  <c r="BT70" i="60"/>
  <c r="H70" i="60"/>
  <c r="BA70" i="60"/>
  <c r="Q70" i="60"/>
  <c r="H50" i="58"/>
  <c r="H73" i="58" s="1"/>
  <c r="E50" i="58"/>
  <c r="H71" i="58" s="1"/>
  <c r="E85" i="58" s="1"/>
  <c r="U50" i="58"/>
  <c r="V71" i="58" s="1"/>
  <c r="U90" i="58" s="1"/>
  <c r="U51" i="58"/>
  <c r="V152" i="58" s="1"/>
  <c r="U165" i="58" s="1"/>
  <c r="C152" i="58"/>
  <c r="Q154" i="58" s="1"/>
  <c r="S152" i="58" s="1"/>
  <c r="H51" i="58"/>
  <c r="H154" i="58" s="1"/>
  <c r="H322" i="50"/>
  <c r="Q359" i="50"/>
  <c r="Q350" i="50"/>
  <c r="H362" i="50"/>
  <c r="W362" i="50" s="1"/>
  <c r="Q351" i="50"/>
  <c r="Q363" i="50"/>
  <c r="H360" i="50"/>
  <c r="W360" i="50" s="1"/>
  <c r="H363" i="50"/>
  <c r="W363" i="50" s="1"/>
  <c r="Q529" i="52"/>
  <c r="S529" i="52" s="1"/>
  <c r="D601" i="52"/>
  <c r="Q581" i="52"/>
  <c r="S581" i="52" s="1"/>
  <c r="C653" i="52"/>
  <c r="C426" i="52"/>
  <c r="Q354" i="52"/>
  <c r="S354" i="52" s="1"/>
  <c r="AT52" i="60"/>
  <c r="G52" i="60"/>
  <c r="U52" i="60"/>
  <c r="BM52" i="60"/>
  <c r="BT52" i="60"/>
  <c r="BD52" i="60"/>
  <c r="BP52" i="60"/>
  <c r="X52" i="60"/>
  <c r="I52" i="60"/>
  <c r="AN52" i="60"/>
  <c r="W52" i="60"/>
  <c r="AL52" i="60"/>
  <c r="BN52" i="60"/>
  <c r="AH52" i="60"/>
  <c r="BC52" i="60"/>
  <c r="F52" i="60"/>
  <c r="AA52" i="60"/>
  <c r="AX52" i="60"/>
  <c r="K52" i="60"/>
  <c r="BO52" i="60"/>
  <c r="BQ52" i="60"/>
  <c r="D52" i="60"/>
  <c r="AC52" i="60"/>
  <c r="AR52" i="60"/>
  <c r="BA52" i="60"/>
  <c r="AJ52" i="60"/>
  <c r="AS52" i="60"/>
  <c r="BR52" i="60"/>
  <c r="BJ52" i="60"/>
  <c r="BS52" i="60"/>
  <c r="AW52" i="60"/>
  <c r="O52" i="60"/>
  <c r="T52" i="60"/>
  <c r="AI52" i="60"/>
  <c r="BM16" i="60"/>
  <c r="AR16" i="60"/>
  <c r="BD16" i="60"/>
  <c r="G16" i="60"/>
  <c r="AJ16" i="60"/>
  <c r="M16" i="60"/>
  <c r="BI16" i="60"/>
  <c r="BA16" i="60"/>
  <c r="AZ16" i="60"/>
  <c r="BC16" i="60"/>
  <c r="O16" i="60"/>
  <c r="AK16" i="60"/>
  <c r="BK16" i="60"/>
  <c r="BB16" i="60"/>
  <c r="AX16" i="60"/>
  <c r="AS16" i="60"/>
  <c r="BO16" i="60"/>
  <c r="BQ16" i="60"/>
  <c r="R16" i="60"/>
  <c r="AL16" i="60"/>
  <c r="BL16" i="60"/>
  <c r="AQ16" i="60"/>
  <c r="AO16" i="60"/>
  <c r="AA16" i="60"/>
  <c r="BF16" i="60"/>
  <c r="BT16" i="60"/>
  <c r="AD16" i="60"/>
  <c r="AN16" i="60"/>
  <c r="C535" i="52"/>
  <c r="Q463" i="52"/>
  <c r="S463" i="52" s="1"/>
  <c r="B134" i="60"/>
  <c r="D133" i="60"/>
  <c r="E133" i="60"/>
  <c r="D54" i="58"/>
  <c r="D52" i="58"/>
  <c r="D55" i="58"/>
  <c r="D53" i="58"/>
  <c r="T253" i="50"/>
  <c r="M253" i="50"/>
  <c r="AE77" i="60"/>
  <c r="U77" i="60"/>
  <c r="M77" i="60"/>
  <c r="BM77" i="60"/>
  <c r="BI77" i="60"/>
  <c r="X77" i="60"/>
  <c r="J77" i="60"/>
  <c r="AU77" i="60"/>
  <c r="AQ77" i="60"/>
  <c r="AR77" i="60"/>
  <c r="BQ77" i="60"/>
  <c r="BK77" i="60"/>
  <c r="AJ77" i="60"/>
  <c r="AI77" i="60"/>
  <c r="AX77" i="60"/>
  <c r="AL77" i="60"/>
  <c r="BG77" i="60"/>
  <c r="H77" i="60"/>
  <c r="T77" i="60"/>
  <c r="Q77" i="60"/>
  <c r="BA77" i="60"/>
  <c r="O77" i="60"/>
  <c r="AS77" i="60"/>
  <c r="BN77" i="60"/>
  <c r="N77" i="60"/>
  <c r="AA77" i="60"/>
  <c r="Z77" i="60"/>
  <c r="AZ77" i="60"/>
  <c r="AY77" i="60"/>
  <c r="AN77" i="60"/>
  <c r="AG77" i="60"/>
  <c r="BC77" i="60"/>
  <c r="Y77" i="60"/>
  <c r="BT77" i="60"/>
  <c r="W77" i="60"/>
  <c r="J53" i="60"/>
  <c r="AV53" i="60"/>
  <c r="N53" i="60"/>
  <c r="R53" i="60"/>
  <c r="AF53" i="60"/>
  <c r="F53" i="60"/>
  <c r="Y53" i="60"/>
  <c r="Z53" i="60"/>
  <c r="H53" i="60"/>
  <c r="L53" i="60"/>
  <c r="AY53" i="60"/>
  <c r="AI53" i="60"/>
  <c r="M53" i="60"/>
  <c r="BL53" i="60"/>
  <c r="BG53" i="60"/>
  <c r="BB53" i="60"/>
  <c r="BQ53" i="60"/>
  <c r="AR53" i="60"/>
  <c r="BN53" i="60"/>
  <c r="BC53" i="60"/>
  <c r="AD53" i="60"/>
  <c r="X53" i="60"/>
  <c r="AZ53" i="60"/>
  <c r="Q53" i="60"/>
  <c r="AQ53" i="60"/>
  <c r="AO53" i="60"/>
  <c r="T53" i="60"/>
  <c r="BF53" i="60"/>
  <c r="BM53" i="60"/>
  <c r="AX53" i="60"/>
  <c r="BT53" i="60"/>
  <c r="C53" i="60"/>
  <c r="S53" i="60"/>
  <c r="U53" i="60"/>
  <c r="AP53" i="60"/>
  <c r="C235" i="52"/>
  <c r="A236" i="52"/>
  <c r="Z35" i="60"/>
  <c r="BQ35" i="60"/>
  <c r="AM35" i="60"/>
  <c r="BL35" i="60"/>
  <c r="F35" i="60"/>
  <c r="AT35" i="60"/>
  <c r="AH35" i="60"/>
  <c r="BN35" i="60"/>
  <c r="L35" i="60"/>
  <c r="BP35" i="60"/>
  <c r="O35" i="60"/>
  <c r="AL35" i="60"/>
  <c r="BT35" i="60"/>
  <c r="C35" i="60"/>
  <c r="BB35" i="60"/>
  <c r="G35" i="60"/>
  <c r="BF35" i="60"/>
  <c r="AC35" i="60"/>
  <c r="BG35" i="60"/>
  <c r="AX35" i="60"/>
  <c r="BA35" i="60"/>
  <c r="BC35" i="60"/>
  <c r="Q35" i="60"/>
  <c r="BE35" i="60"/>
  <c r="I35" i="60"/>
  <c r="AW35" i="60"/>
  <c r="Y35" i="60"/>
  <c r="BI35" i="60"/>
  <c r="N35" i="60"/>
  <c r="BM35" i="60"/>
  <c r="S35" i="60"/>
  <c r="BH35" i="60"/>
  <c r="J35" i="60"/>
  <c r="AD35" i="60"/>
  <c r="BD35" i="60"/>
  <c r="S11" i="60"/>
  <c r="BN11" i="60"/>
  <c r="BA11" i="60"/>
  <c r="AG11" i="60"/>
  <c r="AM11" i="60"/>
  <c r="C11" i="60"/>
  <c r="H11" i="60"/>
  <c r="I11" i="60"/>
  <c r="BR11" i="60"/>
  <c r="AU11" i="60"/>
  <c r="AH11" i="60"/>
  <c r="AZ11" i="60"/>
  <c r="AL11" i="60"/>
  <c r="BI11" i="60"/>
  <c r="AW11" i="60"/>
  <c r="AO11" i="60"/>
  <c r="AB11" i="60"/>
  <c r="Q11" i="60"/>
  <c r="AA11" i="60"/>
  <c r="N11" i="60"/>
  <c r="BP11" i="60"/>
  <c r="O11" i="60"/>
  <c r="M11" i="60"/>
  <c r="BK11" i="60"/>
  <c r="AI11" i="60"/>
  <c r="AE11" i="60"/>
  <c r="BL11" i="60"/>
  <c r="AV11" i="60"/>
  <c r="AR11" i="60"/>
  <c r="AS11" i="60"/>
  <c r="U11" i="60"/>
  <c r="AS46" i="60"/>
  <c r="BG46" i="60"/>
  <c r="AN46" i="60"/>
  <c r="AU46" i="60"/>
  <c r="AW46" i="60"/>
  <c r="D46" i="60"/>
  <c r="AV46" i="60"/>
  <c r="AH46" i="60"/>
  <c r="V46" i="60"/>
  <c r="N46" i="60"/>
  <c r="BL46" i="60"/>
  <c r="AT46" i="60"/>
  <c r="BJ46" i="60"/>
  <c r="X46" i="60"/>
  <c r="BK46" i="60"/>
  <c r="AA46" i="60"/>
  <c r="BS46" i="60"/>
  <c r="P44" i="60"/>
  <c r="BQ44" i="60"/>
  <c r="BN44" i="60"/>
  <c r="AV44" i="60"/>
  <c r="X44" i="60"/>
  <c r="O44" i="60"/>
  <c r="V44" i="60"/>
  <c r="I44" i="60"/>
  <c r="BI44" i="60"/>
  <c r="BC44" i="60"/>
  <c r="AI44" i="60"/>
  <c r="BD44" i="60"/>
  <c r="BT44" i="60"/>
  <c r="Z44" i="60"/>
  <c r="T44" i="60"/>
  <c r="D44" i="60"/>
  <c r="K44" i="60"/>
  <c r="BB44" i="60"/>
  <c r="BH44" i="60"/>
  <c r="AX44" i="60"/>
  <c r="AD44" i="60"/>
  <c r="Y44" i="60"/>
  <c r="L44" i="60"/>
  <c r="AN44" i="60"/>
  <c r="R44" i="60"/>
  <c r="BL44" i="60"/>
  <c r="AB44" i="60"/>
  <c r="BE44" i="60"/>
  <c r="H44" i="60"/>
  <c r="BK44" i="60"/>
  <c r="AS44" i="60"/>
  <c r="BJ44" i="60"/>
  <c r="AJ44" i="60"/>
  <c r="BG44" i="60"/>
  <c r="U71" i="60"/>
  <c r="BG71" i="60"/>
  <c r="J71" i="60"/>
  <c r="R71" i="60"/>
  <c r="AD71" i="60"/>
  <c r="AZ71" i="60"/>
  <c r="BF71" i="60"/>
  <c r="AA71" i="60"/>
  <c r="AL71" i="60"/>
  <c r="Z641" i="52"/>
  <c r="P641" i="52"/>
  <c r="Z681" i="52"/>
  <c r="P681" i="52"/>
  <c r="P94" i="60"/>
  <c r="Y31" i="60"/>
  <c r="AY31" i="60"/>
  <c r="R31" i="60"/>
  <c r="AB31" i="60"/>
  <c r="AX31" i="60"/>
  <c r="X31" i="60"/>
  <c r="M31" i="60"/>
  <c r="AY57" i="60"/>
  <c r="AF57" i="60"/>
  <c r="BE57" i="60"/>
  <c r="AS57" i="60"/>
  <c r="AI57" i="60"/>
  <c r="AH57" i="60"/>
  <c r="AT57" i="60"/>
  <c r="AG57" i="60"/>
  <c r="BA57" i="60"/>
  <c r="BB57" i="60"/>
  <c r="T57" i="60"/>
  <c r="AD57" i="60"/>
  <c r="BF57" i="60"/>
  <c r="BO57" i="60"/>
  <c r="J57" i="60"/>
  <c r="BM57" i="60"/>
  <c r="BG57" i="60"/>
  <c r="R57" i="60"/>
  <c r="Q57" i="60"/>
  <c r="S57" i="60"/>
  <c r="U57" i="60"/>
  <c r="X57" i="60"/>
  <c r="C676" i="52"/>
  <c r="Q604" i="52"/>
  <c r="S604" i="52" s="1"/>
  <c r="BI12" i="60"/>
  <c r="BA12" i="60"/>
  <c r="BR12" i="60"/>
  <c r="BQ12" i="60"/>
  <c r="AO12" i="60"/>
  <c r="AH12" i="60"/>
  <c r="R12" i="60"/>
  <c r="BT12" i="60"/>
  <c r="BC12" i="60"/>
  <c r="T385" i="50"/>
  <c r="BI71" i="60"/>
  <c r="M71" i="60"/>
  <c r="F71" i="60"/>
  <c r="AM71" i="60"/>
  <c r="AV71" i="60"/>
  <c r="BK71" i="60"/>
  <c r="AF71" i="60"/>
  <c r="W71" i="60"/>
  <c r="BN71" i="60"/>
  <c r="BO71" i="60"/>
  <c r="Z71" i="60"/>
  <c r="K71" i="60"/>
  <c r="S71" i="60"/>
  <c r="V271" i="50"/>
  <c r="V267" i="50"/>
  <c r="M319" i="50"/>
  <c r="AN12" i="60"/>
  <c r="X12" i="60"/>
  <c r="D31" i="60"/>
  <c r="AU31" i="60"/>
  <c r="BJ63" i="60"/>
  <c r="BC63" i="60"/>
  <c r="BD41" i="60"/>
  <c r="BM63" i="60"/>
  <c r="AO63" i="60"/>
  <c r="BB41" i="60"/>
  <c r="AC63" i="60"/>
  <c r="BD63" i="60"/>
  <c r="T63" i="60"/>
  <c r="AH63" i="60"/>
  <c r="D63" i="60"/>
  <c r="BH63" i="60"/>
  <c r="BG63" i="60"/>
  <c r="AU63" i="60"/>
  <c r="R63" i="60"/>
  <c r="O63" i="60"/>
  <c r="BI63" i="60"/>
  <c r="W57" i="60"/>
  <c r="AZ63" i="60"/>
  <c r="W63" i="60"/>
  <c r="O29" i="60"/>
  <c r="AV29" i="60"/>
  <c r="BS29" i="60"/>
  <c r="Z29" i="60"/>
  <c r="AC29" i="60"/>
  <c r="F31" i="60"/>
  <c r="K57" i="60"/>
  <c r="AM57" i="60"/>
  <c r="BP57" i="60"/>
  <c r="P57" i="60"/>
  <c r="BK57" i="60"/>
  <c r="AN57" i="60"/>
  <c r="AV31" i="60"/>
  <c r="N31" i="60"/>
  <c r="AL31" i="60"/>
  <c r="AZ31" i="60"/>
  <c r="BA31" i="60"/>
  <c r="V31" i="60"/>
  <c r="Z31" i="60"/>
  <c r="BB31" i="60"/>
  <c r="BN31" i="60"/>
  <c r="J31" i="60"/>
  <c r="AM31" i="60"/>
  <c r="AS12" i="60"/>
  <c r="BO12" i="60"/>
  <c r="AD12" i="60"/>
  <c r="I12" i="60"/>
  <c r="H385" i="50"/>
  <c r="H387" i="50"/>
  <c r="G281" i="38"/>
  <c r="I281" i="38" s="1"/>
  <c r="Q491" i="52"/>
  <c r="S491" i="52" s="1"/>
  <c r="C563" i="52"/>
  <c r="N57" i="60"/>
  <c r="AJ57" i="60"/>
  <c r="Y57" i="60"/>
  <c r="AX57" i="60"/>
  <c r="BN79" i="60"/>
  <c r="AU79" i="60"/>
  <c r="BL79" i="60"/>
  <c r="BF79" i="60"/>
  <c r="AF79" i="60"/>
  <c r="R79" i="60"/>
  <c r="W79" i="60"/>
  <c r="J79" i="60"/>
  <c r="Q79" i="60"/>
  <c r="AG79" i="60"/>
  <c r="AK79" i="60"/>
  <c r="D79" i="60"/>
  <c r="AH79" i="60"/>
  <c r="BJ79" i="60"/>
  <c r="AC79" i="60"/>
  <c r="AJ79" i="60"/>
  <c r="AX79" i="60"/>
  <c r="T79" i="60"/>
  <c r="AV79" i="60"/>
  <c r="AI79" i="60"/>
  <c r="E54" i="60"/>
  <c r="CL54" i="60"/>
  <c r="Q141" i="50"/>
  <c r="Q91" i="50"/>
  <c r="Q92" i="50"/>
  <c r="H91" i="50"/>
  <c r="Y11" i="60"/>
  <c r="C668" i="52"/>
  <c r="T71" i="60"/>
  <c r="AY71" i="60"/>
  <c r="P11" i="60"/>
  <c r="BT11" i="60"/>
  <c r="AX11" i="60"/>
  <c r="BH11" i="60"/>
  <c r="AF11" i="60"/>
  <c r="V11" i="60"/>
  <c r="AD11" i="60"/>
  <c r="L11" i="60"/>
  <c r="AJ35" i="60"/>
  <c r="V35" i="60"/>
  <c r="AU35" i="60"/>
  <c r="AQ35" i="60"/>
  <c r="BS35" i="60"/>
  <c r="AY35" i="60"/>
  <c r="AF35" i="60"/>
  <c r="R35" i="60"/>
  <c r="AV35" i="60"/>
  <c r="BT46" i="60"/>
  <c r="T46" i="60"/>
  <c r="W46" i="60"/>
  <c r="AY46" i="60"/>
  <c r="S46" i="60"/>
  <c r="BI29" i="60"/>
  <c r="BM29" i="60"/>
  <c r="AH29" i="60"/>
  <c r="H29" i="60"/>
  <c r="F29" i="60"/>
  <c r="BR43" i="60"/>
  <c r="AO43" i="60"/>
  <c r="G43" i="60"/>
  <c r="Q452" i="52"/>
  <c r="S452" i="52" s="1"/>
  <c r="AM44" i="60"/>
  <c r="BR44" i="60"/>
  <c r="BO44" i="60"/>
  <c r="C44" i="60"/>
  <c r="AE44" i="60"/>
  <c r="U44" i="60"/>
  <c r="W44" i="60"/>
  <c r="BA44" i="60"/>
  <c r="AH44" i="60"/>
  <c r="Z476" i="52"/>
  <c r="P684" i="52"/>
  <c r="Z533" i="52"/>
  <c r="P582" i="52"/>
  <c r="Q31" i="60"/>
  <c r="BD31" i="60"/>
  <c r="AN21" i="60"/>
  <c r="BE21" i="60"/>
  <c r="I21" i="60"/>
  <c r="AZ21" i="60"/>
  <c r="AP21" i="60"/>
  <c r="BB21" i="60"/>
  <c r="BJ21" i="60"/>
  <c r="AW21" i="60"/>
  <c r="BP21" i="60"/>
  <c r="AF21" i="60"/>
  <c r="L21" i="60"/>
  <c r="BF21" i="60"/>
  <c r="Q21" i="60"/>
  <c r="P21" i="60"/>
  <c r="AH21" i="60"/>
  <c r="AU21" i="60"/>
  <c r="AB21" i="60"/>
  <c r="H21" i="60"/>
  <c r="J21" i="60"/>
  <c r="BL21" i="60"/>
  <c r="BA21" i="60"/>
  <c r="AK21" i="60"/>
  <c r="AC21" i="60"/>
  <c r="G21" i="60"/>
  <c r="AJ21" i="60"/>
  <c r="AT21" i="60"/>
  <c r="BN21" i="60"/>
  <c r="C21" i="60"/>
  <c r="F21" i="60"/>
  <c r="BS21" i="60"/>
  <c r="BH21" i="60"/>
  <c r="Y21" i="60"/>
  <c r="AI21" i="60"/>
  <c r="AX21" i="60"/>
  <c r="AD21" i="60"/>
  <c r="CL50" i="60"/>
  <c r="AT83" i="60"/>
  <c r="AZ83" i="60"/>
  <c r="L58" i="60"/>
  <c r="W58" i="60"/>
  <c r="AC58" i="60"/>
  <c r="BE58" i="60"/>
  <c r="M58" i="60"/>
  <c r="AT58" i="60"/>
  <c r="BO58" i="60"/>
  <c r="BS58" i="60"/>
  <c r="AI58" i="60"/>
  <c r="BB58" i="60"/>
  <c r="AB58" i="60"/>
  <c r="X58" i="60"/>
  <c r="BM58" i="60"/>
  <c r="H58" i="60"/>
  <c r="AJ58" i="60"/>
  <c r="AP58" i="60"/>
  <c r="BC58" i="60"/>
  <c r="AZ58" i="60"/>
  <c r="BR58" i="60"/>
  <c r="D58" i="60"/>
  <c r="Z58" i="60"/>
  <c r="S58" i="60"/>
  <c r="BL58" i="60"/>
  <c r="AA58" i="60"/>
  <c r="U58" i="60"/>
  <c r="AN58" i="60"/>
  <c r="Q58" i="60"/>
  <c r="T58" i="60"/>
  <c r="BQ58" i="60"/>
  <c r="BJ58" i="60"/>
  <c r="BN58" i="60"/>
  <c r="G58" i="60"/>
  <c r="AE58" i="60"/>
  <c r="AU58" i="60"/>
  <c r="Z743" i="52"/>
  <c r="Z484" i="52"/>
  <c r="P484" i="52"/>
  <c r="AO57" i="60"/>
  <c r="AS68" i="60"/>
  <c r="I237" i="46"/>
  <c r="S237" i="46"/>
  <c r="CJ63" i="60"/>
  <c r="CL63" i="60"/>
  <c r="CJ30" i="60"/>
  <c r="CL30" i="60"/>
  <c r="E30" i="60"/>
  <c r="S12" i="60"/>
  <c r="BM12" i="60"/>
  <c r="BH12" i="60"/>
  <c r="W12" i="60"/>
  <c r="M12" i="60"/>
  <c r="H12" i="60"/>
  <c r="BF11" i="60"/>
  <c r="AT11" i="60"/>
  <c r="AQ11" i="60"/>
  <c r="W11" i="60"/>
  <c r="K11" i="60"/>
  <c r="Z11" i="60"/>
  <c r="AK11" i="60"/>
  <c r="R11" i="60"/>
  <c r="AI35" i="60"/>
  <c r="T35" i="60"/>
  <c r="H35" i="60"/>
  <c r="D35" i="60"/>
  <c r="AO35" i="60"/>
  <c r="AG35" i="60"/>
  <c r="AE35" i="60"/>
  <c r="M35" i="60"/>
  <c r="BO46" i="60"/>
  <c r="BQ46" i="60"/>
  <c r="BE46" i="60"/>
  <c r="O46" i="60"/>
  <c r="Q46" i="60"/>
  <c r="AR44" i="60"/>
  <c r="AF44" i="60"/>
  <c r="S44" i="60"/>
  <c r="BF44" i="60"/>
  <c r="AZ44" i="60"/>
  <c r="AO44" i="60"/>
  <c r="AL44" i="60"/>
  <c r="M44" i="60"/>
  <c r="Z541" i="52"/>
  <c r="C25" i="60"/>
  <c r="P25" i="60"/>
  <c r="W25" i="60"/>
  <c r="AP25" i="60"/>
  <c r="AZ28" i="60"/>
  <c r="BK28" i="60"/>
  <c r="J28" i="60"/>
  <c r="BE28" i="60"/>
  <c r="W31" i="60"/>
  <c r="AA31" i="60"/>
  <c r="AT29" i="60"/>
  <c r="D29" i="60"/>
  <c r="BE29" i="60"/>
  <c r="BJ29" i="60"/>
  <c r="AD29" i="60"/>
  <c r="AA29" i="60"/>
  <c r="AK29" i="60"/>
  <c r="T29" i="60"/>
  <c r="BT29" i="60"/>
  <c r="BN29" i="60"/>
  <c r="N29" i="60"/>
  <c r="Q29" i="60"/>
  <c r="AF29" i="60"/>
  <c r="AJ29" i="60"/>
  <c r="AL29" i="60"/>
  <c r="BH29" i="60"/>
  <c r="AQ29" i="60"/>
  <c r="P29" i="60"/>
  <c r="AW29" i="60"/>
  <c r="AZ29" i="60"/>
  <c r="AS29" i="60"/>
  <c r="AO29" i="60"/>
  <c r="BB29" i="60"/>
  <c r="Q471" i="52"/>
  <c r="S471" i="52" s="1"/>
  <c r="Z753" i="52"/>
  <c r="P753" i="52"/>
  <c r="P676" i="52"/>
  <c r="Z676" i="52"/>
  <c r="P571" i="52"/>
  <c r="Z571" i="52"/>
  <c r="CJ13" i="60"/>
  <c r="E13" i="60"/>
  <c r="Z632" i="52"/>
  <c r="P632" i="52"/>
  <c r="AL43" i="60"/>
  <c r="AS43" i="60"/>
  <c r="M43" i="60"/>
  <c r="AZ43" i="60"/>
  <c r="BT43" i="60"/>
  <c r="BD43" i="60"/>
  <c r="AJ43" i="60"/>
  <c r="BF43" i="60"/>
  <c r="BB43" i="60"/>
  <c r="BQ43" i="60"/>
  <c r="BH43" i="60"/>
  <c r="BS43" i="60"/>
  <c r="U43" i="60"/>
  <c r="AW43" i="60"/>
  <c r="AF43" i="60"/>
  <c r="BP43" i="60"/>
  <c r="S43" i="60"/>
  <c r="BK43" i="60"/>
  <c r="AL50" i="60"/>
  <c r="G50" i="60"/>
  <c r="I50" i="60"/>
  <c r="L50" i="60"/>
  <c r="BA50" i="60"/>
  <c r="T50" i="60"/>
  <c r="AU50" i="60"/>
  <c r="BN50" i="60"/>
  <c r="CL11" i="60"/>
  <c r="CJ11" i="60"/>
  <c r="CL12" i="60"/>
  <c r="CJ12" i="60"/>
  <c r="Q433" i="52"/>
  <c r="S433" i="52" s="1"/>
  <c r="C505" i="52"/>
  <c r="Q336" i="46"/>
  <c r="H334" i="46"/>
  <c r="E32" i="60"/>
  <c r="CL32" i="60"/>
  <c r="BN68" i="60"/>
  <c r="BT68" i="60"/>
  <c r="AJ68" i="60"/>
  <c r="BE68" i="60"/>
  <c r="AI68" i="60"/>
  <c r="AV68" i="60"/>
  <c r="BS68" i="60"/>
  <c r="AZ68" i="60"/>
  <c r="K68" i="60"/>
  <c r="AH68" i="60"/>
  <c r="AF68" i="60"/>
  <c r="X68" i="60"/>
  <c r="W68" i="60"/>
  <c r="T68" i="60"/>
  <c r="I68" i="60"/>
  <c r="AD68" i="60"/>
  <c r="R68" i="60"/>
  <c r="AN68" i="60"/>
  <c r="BP68" i="60"/>
  <c r="Y68" i="60"/>
  <c r="AC68" i="60"/>
  <c r="D68" i="60"/>
  <c r="BD68" i="60"/>
  <c r="AE68" i="60"/>
  <c r="P68" i="60"/>
  <c r="AQ68" i="60"/>
  <c r="G68" i="60"/>
  <c r="AA68" i="60"/>
  <c r="AX68" i="60"/>
  <c r="BG68" i="60"/>
  <c r="Q68" i="60"/>
  <c r="AB68" i="60"/>
  <c r="Z68" i="60"/>
  <c r="U68" i="60"/>
  <c r="L68" i="60"/>
  <c r="AK68" i="60"/>
  <c r="S68" i="60"/>
  <c r="H68" i="60"/>
  <c r="BO68" i="60"/>
  <c r="BB68" i="60"/>
  <c r="J68" i="60"/>
  <c r="BA68" i="60"/>
  <c r="BJ68" i="60"/>
  <c r="BM68" i="60"/>
  <c r="V68" i="60"/>
  <c r="BF68" i="60"/>
  <c r="BC68" i="60"/>
  <c r="N68" i="60"/>
  <c r="AT68" i="60"/>
  <c r="AL68" i="60"/>
  <c r="F68" i="60"/>
  <c r="C566" i="52"/>
  <c r="Q494" i="52"/>
  <c r="S494" i="52" s="1"/>
  <c r="C594" i="52"/>
  <c r="Q522" i="52"/>
  <c r="S522" i="52" s="1"/>
  <c r="AW12" i="60"/>
  <c r="BG12" i="60"/>
  <c r="BE12" i="60"/>
  <c r="AU12" i="60"/>
  <c r="AJ12" i="60"/>
  <c r="AR12" i="60"/>
  <c r="P12" i="60"/>
  <c r="BF12" i="60"/>
  <c r="Q509" i="52"/>
  <c r="S509" i="52" s="1"/>
  <c r="AJ71" i="60"/>
  <c r="AW71" i="60"/>
  <c r="AG71" i="60"/>
  <c r="BQ71" i="60"/>
  <c r="BC71" i="60"/>
  <c r="BM71" i="60"/>
  <c r="AC71" i="60"/>
  <c r="AO71" i="60"/>
  <c r="BP71" i="60"/>
  <c r="BL71" i="60"/>
  <c r="AP71" i="60"/>
  <c r="AH71" i="60"/>
  <c r="N71" i="60"/>
  <c r="U12" i="60"/>
  <c r="AF12" i="60"/>
  <c r="BL12" i="60"/>
  <c r="BD12" i="60"/>
  <c r="BL31" i="60"/>
  <c r="C31" i="60"/>
  <c r="BO11" i="60"/>
  <c r="BQ11" i="60"/>
  <c r="BL63" i="60"/>
  <c r="BK63" i="60"/>
  <c r="AH41" i="60"/>
  <c r="AD63" i="60"/>
  <c r="AS63" i="60"/>
  <c r="AD41" i="60"/>
  <c r="AR63" i="60"/>
  <c r="AJ63" i="60"/>
  <c r="AP63" i="60"/>
  <c r="Q63" i="60"/>
  <c r="S63" i="60"/>
  <c r="BA63" i="60"/>
  <c r="AW63" i="60"/>
  <c r="I63" i="60"/>
  <c r="AB63" i="60"/>
  <c r="AA63" i="60"/>
  <c r="AF63" i="60"/>
  <c r="BA29" i="60"/>
  <c r="AI29" i="60"/>
  <c r="V29" i="60"/>
  <c r="Y29" i="60"/>
  <c r="AB29" i="60"/>
  <c r="J29" i="60"/>
  <c r="AC57" i="60"/>
  <c r="AV57" i="60"/>
  <c r="BD57" i="60"/>
  <c r="L57" i="60"/>
  <c r="AW57" i="60"/>
  <c r="M57" i="60"/>
  <c r="BQ57" i="60"/>
  <c r="BO31" i="60"/>
  <c r="S31" i="60"/>
  <c r="K31" i="60"/>
  <c r="AI31" i="60"/>
  <c r="AK31" i="60"/>
  <c r="BJ31" i="60"/>
  <c r="BP31" i="60"/>
  <c r="BG31" i="60"/>
  <c r="AP31" i="60"/>
  <c r="BM31" i="60"/>
  <c r="AD31" i="60"/>
  <c r="K12" i="60"/>
  <c r="F12" i="60"/>
  <c r="J12" i="60"/>
  <c r="BS12" i="60"/>
  <c r="D12" i="60"/>
  <c r="O12" i="60"/>
  <c r="F57" i="60"/>
  <c r="AA57" i="60"/>
  <c r="V57" i="60"/>
  <c r="I57" i="60"/>
  <c r="BR57" i="60"/>
  <c r="L23" i="60"/>
  <c r="BO23" i="60"/>
  <c r="D23" i="60"/>
  <c r="S23" i="60"/>
  <c r="P23" i="60"/>
  <c r="N23" i="60"/>
  <c r="X64" i="60"/>
  <c r="AY64" i="60"/>
  <c r="Q99" i="60"/>
  <c r="V99" i="60"/>
  <c r="K99" i="60"/>
  <c r="I99" i="60"/>
  <c r="J99" i="60"/>
  <c r="G99" i="60"/>
  <c r="X99" i="60"/>
  <c r="L99" i="60"/>
  <c r="O99" i="60"/>
  <c r="V71" i="60"/>
  <c r="BA71" i="60"/>
  <c r="S50" i="60"/>
  <c r="AD50" i="60"/>
  <c r="BG11" i="60"/>
  <c r="T11" i="60"/>
  <c r="F11" i="60"/>
  <c r="AJ11" i="60"/>
  <c r="AN11" i="60"/>
  <c r="BC11" i="60"/>
  <c r="AY11" i="60"/>
  <c r="AS35" i="60"/>
  <c r="K35" i="60"/>
  <c r="BK35" i="60"/>
  <c r="U35" i="60"/>
  <c r="AP35" i="60"/>
  <c r="AN35" i="60"/>
  <c r="BR35" i="60"/>
  <c r="AA35" i="60"/>
  <c r="AJ46" i="60"/>
  <c r="M46" i="60"/>
  <c r="BN46" i="60"/>
  <c r="AD46" i="60"/>
  <c r="AP29" i="60"/>
  <c r="BC29" i="60"/>
  <c r="G29" i="60"/>
  <c r="BK29" i="60"/>
  <c r="S29" i="60"/>
  <c r="AX29" i="60"/>
  <c r="BA43" i="60"/>
  <c r="AC43" i="60"/>
  <c r="Z43" i="60"/>
  <c r="BI43" i="60"/>
  <c r="AQ43" i="60"/>
  <c r="AU28" i="60"/>
  <c r="AH25" i="60"/>
  <c r="C500" i="52"/>
  <c r="AC44" i="60"/>
  <c r="AY44" i="60"/>
  <c r="Q44" i="60"/>
  <c r="AT44" i="60"/>
  <c r="AG44" i="60"/>
  <c r="J44" i="60"/>
  <c r="F44" i="60"/>
  <c r="BM44" i="60"/>
  <c r="AQ44" i="60"/>
  <c r="BI41" i="60"/>
  <c r="P415" i="52"/>
  <c r="Z438" i="52"/>
  <c r="Z347" i="52"/>
  <c r="W237" i="50"/>
  <c r="Z577" i="52"/>
  <c r="AE31" i="60"/>
  <c r="AO33" i="60"/>
  <c r="BE33" i="60"/>
  <c r="BO33" i="60"/>
  <c r="BT33" i="60"/>
  <c r="H33" i="60"/>
  <c r="AY33" i="60"/>
  <c r="AS33" i="60"/>
  <c r="BF33" i="60"/>
  <c r="F33" i="60"/>
  <c r="BQ33" i="60"/>
  <c r="AM33" i="60"/>
  <c r="R33" i="60"/>
  <c r="BA33" i="60"/>
  <c r="BL33" i="60"/>
  <c r="X33" i="60"/>
  <c r="BD33" i="60"/>
  <c r="AE33" i="60"/>
  <c r="AV33" i="60"/>
  <c r="P33" i="60"/>
  <c r="AK33" i="60"/>
  <c r="AG33" i="60"/>
  <c r="AB33" i="60"/>
  <c r="I33" i="60"/>
  <c r="AJ33" i="60"/>
  <c r="BP33" i="60"/>
  <c r="AF33" i="60"/>
  <c r="BC33" i="60"/>
  <c r="AX33" i="60"/>
  <c r="BR33" i="60"/>
  <c r="AR33" i="60"/>
  <c r="BH33" i="60"/>
  <c r="BI33" i="60"/>
  <c r="Q33" i="60"/>
  <c r="K33" i="60"/>
  <c r="C477" i="52"/>
  <c r="AF72" i="60"/>
  <c r="AC72" i="60"/>
  <c r="AO72" i="60"/>
  <c r="AK72" i="60"/>
  <c r="O72" i="60"/>
  <c r="AT72" i="60"/>
  <c r="S72" i="60"/>
  <c r="D72" i="60"/>
  <c r="BR72" i="60"/>
  <c r="T72" i="60"/>
  <c r="G72" i="60"/>
  <c r="AL72" i="60"/>
  <c r="X72" i="60"/>
  <c r="BF72" i="60"/>
  <c r="R72" i="60"/>
  <c r="M72" i="60"/>
  <c r="AG72" i="60"/>
  <c r="K72" i="60"/>
  <c r="L72" i="60"/>
  <c r="W72" i="60"/>
  <c r="AW72" i="60"/>
  <c r="H72" i="60"/>
  <c r="BG72" i="60"/>
  <c r="BI72" i="60"/>
  <c r="Z72" i="60"/>
  <c r="AE72" i="60"/>
  <c r="BJ72" i="60"/>
  <c r="AI72" i="60"/>
  <c r="AN72" i="60"/>
  <c r="Q72" i="60"/>
  <c r="AR72" i="60"/>
  <c r="AY72" i="60"/>
  <c r="BQ72" i="60"/>
  <c r="AP72" i="60"/>
  <c r="C57" i="60"/>
  <c r="Z617" i="52"/>
  <c r="P617" i="52"/>
  <c r="Z652" i="52"/>
  <c r="Z464" i="52"/>
  <c r="P464" i="52"/>
  <c r="P416" i="52"/>
  <c r="Z416" i="52"/>
  <c r="Z57" i="60"/>
  <c r="M137" i="46"/>
  <c r="Q151" i="46" s="1"/>
  <c r="T135" i="46"/>
  <c r="G22" i="60"/>
  <c r="BA22" i="60"/>
  <c r="AW22" i="60"/>
  <c r="P22" i="60"/>
  <c r="AI22" i="60"/>
  <c r="BH22" i="60"/>
  <c r="I22" i="60"/>
  <c r="AO22" i="60"/>
  <c r="K22" i="60"/>
  <c r="F22" i="60"/>
  <c r="AS22" i="60"/>
  <c r="U22" i="60"/>
  <c r="BK22" i="60"/>
  <c r="AF22" i="60"/>
  <c r="BP22" i="60"/>
  <c r="AA22" i="60"/>
  <c r="J22" i="60"/>
  <c r="R22" i="60"/>
  <c r="BL22" i="60"/>
  <c r="C291" i="52"/>
  <c r="C362" i="52"/>
  <c r="AW68" i="60"/>
  <c r="M68" i="60"/>
  <c r="AM68" i="60"/>
  <c r="M91" i="60"/>
  <c r="N91" i="60"/>
  <c r="T91" i="60"/>
  <c r="U91" i="60"/>
  <c r="J91" i="60"/>
  <c r="BK68" i="60"/>
  <c r="D659" i="52"/>
  <c r="Q587" i="52"/>
  <c r="S587" i="52" s="1"/>
  <c r="C409" i="52"/>
  <c r="Q337" i="52"/>
  <c r="S337" i="52" s="1"/>
  <c r="W117" i="38"/>
  <c r="W125" i="38"/>
  <c r="W121" i="38"/>
  <c r="W141" i="38"/>
  <c r="W144" i="38"/>
  <c r="CJ22" i="60"/>
  <c r="CL46" i="60"/>
  <c r="CL43" i="60"/>
  <c r="D104" i="60"/>
  <c r="BS20" i="60"/>
  <c r="T20" i="60"/>
  <c r="BJ20" i="60"/>
  <c r="O20" i="60"/>
  <c r="AH20" i="60"/>
  <c r="H20" i="60"/>
  <c r="G20" i="60"/>
  <c r="BT20" i="60"/>
  <c r="F20" i="60"/>
  <c r="AR20" i="60"/>
  <c r="AB20" i="60"/>
  <c r="AE20" i="60"/>
  <c r="BO20" i="60"/>
  <c r="AF20" i="60"/>
  <c r="AO20" i="60"/>
  <c r="BA20" i="60"/>
  <c r="BM20" i="60"/>
  <c r="Y59" i="60"/>
  <c r="BI59" i="60"/>
  <c r="BK59" i="60"/>
  <c r="BD59" i="60"/>
  <c r="BG59" i="60"/>
  <c r="P59" i="60"/>
  <c r="Q59" i="60"/>
  <c r="BQ59" i="60"/>
  <c r="M59" i="60"/>
  <c r="AN59" i="60"/>
  <c r="AL59" i="60"/>
  <c r="BF59" i="60"/>
  <c r="AJ59" i="60"/>
  <c r="E24" i="60"/>
  <c r="W98" i="60"/>
  <c r="U98" i="60"/>
  <c r="O98" i="60"/>
  <c r="D59" i="60"/>
  <c r="H59" i="60"/>
  <c r="CL20" i="60"/>
  <c r="E37" i="60"/>
  <c r="CL37" i="60"/>
  <c r="CJ37" i="60"/>
  <c r="E39" i="60"/>
  <c r="CJ39" i="60"/>
  <c r="CL39" i="60"/>
  <c r="X104" i="60"/>
  <c r="F284" i="38"/>
  <c r="AP20" i="60"/>
  <c r="AX20" i="60"/>
  <c r="BI20" i="60"/>
  <c r="BF20" i="60"/>
  <c r="AA20" i="60"/>
  <c r="D20" i="60"/>
  <c r="AC20" i="60"/>
  <c r="AG20" i="60"/>
  <c r="BG20" i="60"/>
  <c r="AU20" i="60"/>
  <c r="Z20" i="60"/>
  <c r="N20" i="60"/>
  <c r="J20" i="60"/>
  <c r="AI20" i="60"/>
  <c r="BH20" i="60"/>
  <c r="Y20" i="60"/>
  <c r="AS59" i="60"/>
  <c r="Z59" i="60"/>
  <c r="V59" i="60"/>
  <c r="G59" i="60"/>
  <c r="AF59" i="60"/>
  <c r="BN59" i="60"/>
  <c r="AV59" i="60"/>
  <c r="BO59" i="60"/>
  <c r="AI59" i="60"/>
  <c r="AY59" i="60"/>
  <c r="BL59" i="60"/>
  <c r="AQ59" i="60"/>
  <c r="I59" i="60"/>
  <c r="CL24" i="60"/>
  <c r="R98" i="60"/>
  <c r="T98" i="60"/>
  <c r="BE59" i="60"/>
  <c r="CJ77" i="60"/>
  <c r="E15" i="60"/>
  <c r="CJ15" i="60"/>
  <c r="Q514" i="52"/>
  <c r="S514" i="52" s="1"/>
  <c r="Q376" i="52"/>
  <c r="S376" i="52" s="1"/>
  <c r="C448" i="52"/>
  <c r="Q382" i="52"/>
  <c r="S382" i="52" s="1"/>
  <c r="E61" i="60"/>
  <c r="C456" i="52"/>
  <c r="F288" i="52"/>
  <c r="F360" i="52" s="1"/>
  <c r="F432" i="52" s="1"/>
  <c r="F504" i="52" s="1"/>
  <c r="F576" i="52" s="1"/>
  <c r="F648" i="52" s="1"/>
  <c r="F720" i="52" s="1"/>
  <c r="W370" i="50"/>
  <c r="S769" i="50"/>
  <c r="S370" i="50"/>
  <c r="Q352" i="52" l="1"/>
  <c r="S352" i="52" s="1"/>
  <c r="C424" i="52"/>
  <c r="BH46" i="60"/>
  <c r="AM46" i="60"/>
  <c r="AI46" i="60"/>
  <c r="BC46" i="60"/>
  <c r="AF46" i="60"/>
  <c r="BB46" i="60"/>
  <c r="AR46" i="60"/>
  <c r="I46" i="60"/>
  <c r="AG46" i="60"/>
  <c r="P46" i="60"/>
  <c r="J46" i="60"/>
  <c r="AE46" i="60"/>
  <c r="BR46" i="60"/>
  <c r="AX46" i="60"/>
  <c r="AO46" i="60"/>
  <c r="Z46" i="60"/>
  <c r="Y46" i="60"/>
  <c r="BM46" i="60"/>
  <c r="R46" i="60"/>
  <c r="AK46" i="60"/>
  <c r="AL46" i="60"/>
  <c r="L46" i="60"/>
  <c r="U46" i="60"/>
  <c r="C46" i="60"/>
  <c r="BD46" i="60"/>
  <c r="AQ46" i="60"/>
  <c r="K46" i="60"/>
  <c r="AC46" i="60"/>
  <c r="H46" i="60"/>
  <c r="AB46" i="60"/>
  <c r="BA46" i="60"/>
  <c r="AZ46" i="60"/>
  <c r="BI46" i="60"/>
  <c r="BF46" i="60"/>
  <c r="F46" i="60"/>
  <c r="G46" i="60"/>
  <c r="AP46" i="60"/>
  <c r="BP46" i="60"/>
  <c r="AM73" i="60"/>
  <c r="BO73" i="60"/>
  <c r="AL73" i="60"/>
  <c r="AU73" i="60"/>
  <c r="AV73" i="60"/>
  <c r="AQ73" i="60"/>
  <c r="AI73" i="60"/>
  <c r="AN73" i="60"/>
  <c r="AC73" i="60"/>
  <c r="BR73" i="60"/>
  <c r="M73" i="60"/>
  <c r="T73" i="60"/>
  <c r="AG73" i="60"/>
  <c r="U73" i="60"/>
  <c r="BI73" i="60"/>
  <c r="BL73" i="60"/>
  <c r="Q73" i="60"/>
  <c r="H73" i="60"/>
  <c r="J73" i="60"/>
  <c r="BN73" i="60"/>
  <c r="BT73" i="60"/>
  <c r="D73" i="60"/>
  <c r="BJ73" i="60"/>
  <c r="G73" i="60"/>
  <c r="BD73" i="60"/>
  <c r="AA73" i="60"/>
  <c r="AB73" i="60"/>
  <c r="BH73" i="60"/>
  <c r="BC73" i="60"/>
  <c r="Y73" i="60"/>
  <c r="BP73" i="60"/>
  <c r="AR73" i="60"/>
  <c r="BA73" i="60"/>
  <c r="AH73" i="60"/>
  <c r="V73" i="60"/>
  <c r="BG73" i="60"/>
  <c r="P73" i="60"/>
  <c r="AE73" i="60"/>
  <c r="BE73" i="60"/>
  <c r="AW73" i="60"/>
  <c r="Z73" i="60"/>
  <c r="BB73" i="60"/>
  <c r="L73" i="60"/>
  <c r="AS73" i="60"/>
  <c r="AD73" i="60"/>
  <c r="AZ73" i="60"/>
  <c r="BK73" i="60"/>
  <c r="AJ73" i="60"/>
  <c r="BF73" i="60"/>
  <c r="AP73" i="60"/>
  <c r="K73" i="60"/>
  <c r="O73" i="60"/>
  <c r="AO73" i="60"/>
  <c r="BM73" i="60"/>
  <c r="W73" i="60"/>
  <c r="BS73" i="60"/>
  <c r="S73" i="60"/>
  <c r="N73" i="60"/>
  <c r="C73" i="60"/>
  <c r="R73" i="60"/>
  <c r="AX73" i="60"/>
  <c r="AK73" i="60"/>
  <c r="AY73" i="60"/>
  <c r="AF73" i="60"/>
  <c r="BQ73" i="60"/>
  <c r="AT73" i="60"/>
  <c r="X73" i="60"/>
  <c r="I73" i="60"/>
  <c r="F73" i="60"/>
  <c r="C503" i="52"/>
  <c r="Q431" i="52"/>
  <c r="S431" i="52" s="1"/>
  <c r="B283" i="52"/>
  <c r="Q537" i="52"/>
  <c r="S537" i="52" s="1"/>
  <c r="C609" i="52"/>
  <c r="C684" i="52"/>
  <c r="Q612" i="52"/>
  <c r="S612" i="52" s="1"/>
  <c r="Q525" i="52"/>
  <c r="S525" i="52" s="1"/>
  <c r="C597" i="52"/>
  <c r="Q554" i="52"/>
  <c r="S554" i="52" s="1"/>
  <c r="C626" i="52"/>
  <c r="H232" i="52"/>
  <c r="E232" i="52"/>
  <c r="G232" i="52"/>
  <c r="I232" i="52"/>
  <c r="J232" i="52"/>
  <c r="K232" i="52"/>
  <c r="CL51" i="60"/>
  <c r="CJ51" i="60"/>
  <c r="E51" i="60"/>
  <c r="AC14" i="60"/>
  <c r="J14" i="60"/>
  <c r="F14" i="60"/>
  <c r="AU14" i="60"/>
  <c r="AK14" i="60"/>
  <c r="H14" i="60"/>
  <c r="AQ14" i="60"/>
  <c r="T14" i="60"/>
  <c r="BM14" i="60"/>
  <c r="BK14" i="60"/>
  <c r="R14" i="60"/>
  <c r="AZ14" i="60"/>
  <c r="AW14" i="60"/>
  <c r="W14" i="60"/>
  <c r="C14" i="60"/>
  <c r="V14" i="60"/>
  <c r="AJ14" i="60"/>
  <c r="BQ14" i="60"/>
  <c r="AG14" i="60"/>
  <c r="I14" i="60"/>
  <c r="L14" i="60"/>
  <c r="BO14" i="60"/>
  <c r="Q14" i="60"/>
  <c r="BR14" i="60"/>
  <c r="AX14" i="60"/>
  <c r="AO14" i="60"/>
  <c r="BE14" i="60"/>
  <c r="AV14" i="60"/>
  <c r="AY14" i="60"/>
  <c r="BB14" i="60"/>
  <c r="P14" i="60"/>
  <c r="BF14" i="60"/>
  <c r="X14" i="60"/>
  <c r="Y14" i="60"/>
  <c r="O14" i="60"/>
  <c r="N14" i="60"/>
  <c r="BS14" i="60"/>
  <c r="Z14" i="60"/>
  <c r="AE14" i="60"/>
  <c r="AP14" i="60"/>
  <c r="K14" i="60"/>
  <c r="BG14" i="60"/>
  <c r="BT14" i="60"/>
  <c r="U14" i="60"/>
  <c r="BI14" i="60"/>
  <c r="AD14" i="60"/>
  <c r="AH14" i="60"/>
  <c r="S14" i="60"/>
  <c r="AB14" i="60"/>
  <c r="BD14" i="60"/>
  <c r="AN14" i="60"/>
  <c r="D14" i="60"/>
  <c r="BA14" i="60"/>
  <c r="AL14" i="60"/>
  <c r="AM14" i="60"/>
  <c r="BN14" i="60"/>
  <c r="M14" i="60"/>
  <c r="BC14" i="60"/>
  <c r="BJ14" i="60"/>
  <c r="G14" i="60"/>
  <c r="AR14" i="60"/>
  <c r="AA14" i="60"/>
  <c r="AF14" i="60"/>
  <c r="BL14" i="60"/>
  <c r="BH14" i="60"/>
  <c r="AS14" i="60"/>
  <c r="AT14" i="60"/>
  <c r="AI14" i="60"/>
  <c r="BP14" i="60"/>
  <c r="AJ49" i="60"/>
  <c r="AP49" i="60"/>
  <c r="Y49" i="60"/>
  <c r="R49" i="60"/>
  <c r="AM49" i="60"/>
  <c r="BG49" i="60"/>
  <c r="AH49" i="60"/>
  <c r="BK49" i="60"/>
  <c r="S49" i="60"/>
  <c r="AY49" i="60"/>
  <c r="BT49" i="60"/>
  <c r="T49" i="60"/>
  <c r="AL49" i="60"/>
  <c r="BO49" i="60"/>
  <c r="D49" i="60"/>
  <c r="F49" i="60"/>
  <c r="BD49" i="60"/>
  <c r="AB49" i="60"/>
  <c r="U49" i="60"/>
  <c r="Z49" i="60"/>
  <c r="Q49" i="60"/>
  <c r="BI49" i="60"/>
  <c r="I49" i="60"/>
  <c r="P49" i="60"/>
  <c r="BC49" i="60"/>
  <c r="L49" i="60"/>
  <c r="BF49" i="60"/>
  <c r="BJ49" i="60"/>
  <c r="M49" i="60"/>
  <c r="BB49" i="60"/>
  <c r="BL49" i="60"/>
  <c r="BP49" i="60"/>
  <c r="AQ49" i="60"/>
  <c r="AI49" i="60"/>
  <c r="AF49" i="60"/>
  <c r="BS49" i="60"/>
  <c r="AV49" i="60"/>
  <c r="H49" i="60"/>
  <c r="BE49" i="60"/>
  <c r="W49" i="60"/>
  <c r="K49" i="60"/>
  <c r="AA49" i="60"/>
  <c r="AR49" i="60"/>
  <c r="AE49" i="60"/>
  <c r="AD49" i="60"/>
  <c r="G49" i="60"/>
  <c r="BQ49" i="60"/>
  <c r="AT49" i="60"/>
  <c r="N49" i="60"/>
  <c r="BA49" i="60"/>
  <c r="AU49" i="60"/>
  <c r="J49" i="60"/>
  <c r="AC49" i="60"/>
  <c r="AZ49" i="60"/>
  <c r="AX49" i="60"/>
  <c r="O49" i="60"/>
  <c r="C49" i="60"/>
  <c r="V49" i="60"/>
  <c r="AS49" i="60"/>
  <c r="BN49" i="60"/>
  <c r="X49" i="60"/>
  <c r="BH49" i="60"/>
  <c r="AK49" i="60"/>
  <c r="AO49" i="60"/>
  <c r="BR49" i="60"/>
  <c r="BM49" i="60"/>
  <c r="AN49" i="60"/>
  <c r="AG49" i="60"/>
  <c r="AW49" i="60"/>
  <c r="C341" i="52"/>
  <c r="Q269" i="52"/>
  <c r="S269" i="52" s="1"/>
  <c r="C501" i="52"/>
  <c r="Q429" i="52"/>
  <c r="S429" i="52" s="1"/>
  <c r="Q599" i="52"/>
  <c r="S599" i="52" s="1"/>
  <c r="D671" i="52"/>
  <c r="D680" i="52"/>
  <c r="Q608" i="52"/>
  <c r="S608" i="52" s="1"/>
  <c r="C358" i="52"/>
  <c r="Q286" i="52"/>
  <c r="S286" i="52" s="1"/>
  <c r="C606" i="52"/>
  <c r="Q534" i="52"/>
  <c r="S534" i="52" s="1"/>
  <c r="Q694" i="52"/>
  <c r="S694" i="52" s="1"/>
  <c r="C766" i="52"/>
  <c r="Q766" i="52" s="1"/>
  <c r="S766" i="52" s="1"/>
  <c r="Q513" i="52"/>
  <c r="S513" i="52" s="1"/>
  <c r="C585" i="52"/>
  <c r="C688" i="52"/>
  <c r="Q616" i="52"/>
  <c r="S616" i="52" s="1"/>
  <c r="C763" i="52"/>
  <c r="Q763" i="52" s="1"/>
  <c r="S763" i="52" s="1"/>
  <c r="Q691" i="52"/>
  <c r="S691" i="52" s="1"/>
  <c r="Q357" i="52"/>
  <c r="S357" i="52" s="1"/>
  <c r="F270" i="52"/>
  <c r="F342" i="52" s="1"/>
  <c r="F414" i="52" s="1"/>
  <c r="F486" i="52" s="1"/>
  <c r="F558" i="52" s="1"/>
  <c r="F630" i="52" s="1"/>
  <c r="F702" i="52" s="1"/>
  <c r="F314" i="52"/>
  <c r="F386" i="52" s="1"/>
  <c r="F458" i="52" s="1"/>
  <c r="F530" i="52" s="1"/>
  <c r="F602" i="52" s="1"/>
  <c r="F674" i="52" s="1"/>
  <c r="F746" i="52" s="1"/>
  <c r="F268" i="52"/>
  <c r="F340" i="52" s="1"/>
  <c r="F412" i="52" s="1"/>
  <c r="F484" i="52" s="1"/>
  <c r="F556" i="52" s="1"/>
  <c r="F628" i="52" s="1"/>
  <c r="F700" i="52" s="1"/>
  <c r="F267" i="52"/>
  <c r="F339" i="52" s="1"/>
  <c r="F411" i="52" s="1"/>
  <c r="F483" i="52" s="1"/>
  <c r="F555" i="52" s="1"/>
  <c r="F627" i="52" s="1"/>
  <c r="F699" i="52" s="1"/>
  <c r="F266" i="52"/>
  <c r="F338" i="52" s="1"/>
  <c r="F410" i="52" s="1"/>
  <c r="F482" i="52" s="1"/>
  <c r="F554" i="52" s="1"/>
  <c r="F626" i="52" s="1"/>
  <c r="F698" i="52" s="1"/>
  <c r="F337" i="52"/>
  <c r="F409" i="52" s="1"/>
  <c r="F481" i="52" s="1"/>
  <c r="F553" i="52" s="1"/>
  <c r="F625" i="52" s="1"/>
  <c r="F697" i="52" s="1"/>
  <c r="F313" i="52"/>
  <c r="F385" i="52" s="1"/>
  <c r="F457" i="52" s="1"/>
  <c r="F529" i="52" s="1"/>
  <c r="F601" i="52" s="1"/>
  <c r="F673" i="52" s="1"/>
  <c r="F745" i="52" s="1"/>
  <c r="W20" i="60"/>
  <c r="AQ20" i="60"/>
  <c r="AL20" i="60"/>
  <c r="AD20" i="60"/>
  <c r="AJ20" i="60"/>
  <c r="L20" i="60"/>
  <c r="AN20" i="60"/>
  <c r="AW20" i="60"/>
  <c r="R20" i="60"/>
  <c r="Q20" i="60"/>
  <c r="AM20" i="60"/>
  <c r="AZ20" i="60"/>
  <c r="BC20" i="60"/>
  <c r="K20" i="60"/>
  <c r="V20" i="60"/>
  <c r="BQ20" i="60"/>
  <c r="AV20" i="60"/>
  <c r="X20" i="60"/>
  <c r="BB20" i="60"/>
  <c r="U20" i="60"/>
  <c r="C20" i="60"/>
  <c r="AY20" i="60"/>
  <c r="BL20" i="60"/>
  <c r="AS20" i="60"/>
  <c r="BE20" i="60"/>
  <c r="BK20" i="60"/>
  <c r="BR20" i="60"/>
  <c r="AT20" i="60"/>
  <c r="M20" i="60"/>
  <c r="AK20" i="60"/>
  <c r="BN20" i="60"/>
  <c r="BD20" i="60"/>
  <c r="P20" i="60"/>
  <c r="BP20" i="60"/>
  <c r="S20" i="60"/>
  <c r="I20" i="60"/>
  <c r="I350" i="50"/>
  <c r="S350" i="50"/>
  <c r="Q583" i="50"/>
  <c r="D517" i="50"/>
  <c r="C517" i="50"/>
  <c r="C734" i="52"/>
  <c r="Q734" i="52" s="1"/>
  <c r="S734" i="52" s="1"/>
  <c r="Q662" i="52"/>
  <c r="S662" i="52" s="1"/>
  <c r="Q586" i="52"/>
  <c r="S586" i="52" s="1"/>
  <c r="C658" i="52"/>
  <c r="Q521" i="52"/>
  <c r="S521" i="52" s="1"/>
  <c r="C593" i="52"/>
  <c r="C272" i="52"/>
  <c r="Q271" i="52"/>
  <c r="S271" i="52" s="1"/>
  <c r="C343" i="52"/>
  <c r="M385" i="50"/>
  <c r="U385" i="50"/>
  <c r="Q589" i="52"/>
  <c r="S589" i="52" s="1"/>
  <c r="C661" i="52"/>
  <c r="H451" i="50"/>
  <c r="Q453" i="50"/>
  <c r="S451" i="50" s="1"/>
  <c r="H453" i="50"/>
  <c r="C414" i="52"/>
  <c r="Q342" i="52"/>
  <c r="S342" i="52" s="1"/>
  <c r="CL80" i="60"/>
  <c r="CJ80" i="60"/>
  <c r="E80" i="60"/>
  <c r="Q330" i="52"/>
  <c r="S330" i="52" s="1"/>
  <c r="C402" i="52"/>
  <c r="Q439" i="52"/>
  <c r="S439" i="52" s="1"/>
  <c r="C511" i="52"/>
  <c r="D576" i="52"/>
  <c r="Q504" i="52"/>
  <c r="S504" i="52" s="1"/>
  <c r="AI27" i="60"/>
  <c r="P27" i="60"/>
  <c r="AL27" i="60"/>
  <c r="AJ27" i="60"/>
  <c r="G27" i="60"/>
  <c r="BO27" i="60"/>
  <c r="AQ27" i="60"/>
  <c r="AY27" i="60"/>
  <c r="BJ27" i="60"/>
  <c r="AN27" i="60"/>
  <c r="BA27" i="60"/>
  <c r="AE27" i="60"/>
  <c r="Y27" i="60"/>
  <c r="AU27" i="60"/>
  <c r="BH27" i="60"/>
  <c r="AZ27" i="60"/>
  <c r="BS27" i="60"/>
  <c r="Z27" i="60"/>
  <c r="AR27" i="60"/>
  <c r="O27" i="60"/>
  <c r="BN27" i="60"/>
  <c r="AP27" i="60"/>
  <c r="S27" i="60"/>
  <c r="AG27" i="60"/>
  <c r="V27" i="60"/>
  <c r="AM27" i="60"/>
  <c r="BE27" i="60"/>
  <c r="AT27" i="60"/>
  <c r="AB27" i="60"/>
  <c r="BG27" i="60"/>
  <c r="U27" i="60"/>
  <c r="BT27" i="60"/>
  <c r="I27" i="60"/>
  <c r="N27" i="60"/>
  <c r="AS27" i="60"/>
  <c r="D27" i="60"/>
  <c r="J27" i="60"/>
  <c r="K27" i="60"/>
  <c r="H27" i="60"/>
  <c r="BL27" i="60"/>
  <c r="L27" i="60"/>
  <c r="BF27" i="60"/>
  <c r="BP27" i="60"/>
  <c r="BM27" i="60"/>
  <c r="Q27" i="60"/>
  <c r="BD27" i="60"/>
  <c r="T27" i="60"/>
  <c r="AC27" i="60"/>
  <c r="AD27" i="60"/>
  <c r="W27" i="60"/>
  <c r="AX27" i="60"/>
  <c r="C27" i="60"/>
  <c r="M27" i="60"/>
  <c r="BK27" i="60"/>
  <c r="BI27" i="60"/>
  <c r="AK27" i="60"/>
  <c r="F27" i="60"/>
  <c r="R27" i="60"/>
  <c r="AH27" i="60"/>
  <c r="AW27" i="60"/>
  <c r="X27" i="60"/>
  <c r="BB27" i="60"/>
  <c r="AA27" i="60"/>
  <c r="BR27" i="60"/>
  <c r="AF27" i="60"/>
  <c r="AV27" i="60"/>
  <c r="BQ27" i="60"/>
  <c r="AO27" i="60"/>
  <c r="BC27" i="60"/>
  <c r="Y16" i="60"/>
  <c r="BR16" i="60"/>
  <c r="K16" i="60"/>
  <c r="AG16" i="60"/>
  <c r="C16" i="60"/>
  <c r="BP16" i="60"/>
  <c r="AT16" i="60"/>
  <c r="I16" i="60"/>
  <c r="W16" i="60"/>
  <c r="BS16" i="60"/>
  <c r="F16" i="60"/>
  <c r="X16" i="60"/>
  <c r="BJ16" i="60"/>
  <c r="BH16" i="60"/>
  <c r="BE16" i="60"/>
  <c r="AV16" i="60"/>
  <c r="L16" i="60"/>
  <c r="AH16" i="60"/>
  <c r="AF16" i="60"/>
  <c r="AY16" i="60"/>
  <c r="T16" i="60"/>
  <c r="H16" i="60"/>
  <c r="BN16" i="60"/>
  <c r="Z16" i="60"/>
  <c r="AM16" i="60"/>
  <c r="BG16" i="60"/>
  <c r="AE16" i="60"/>
  <c r="AP16" i="60"/>
  <c r="C440" i="52"/>
  <c r="Q368" i="52"/>
  <c r="S368" i="52" s="1"/>
  <c r="Q643" i="52"/>
  <c r="S643" i="52" s="1"/>
  <c r="C715" i="52"/>
  <c r="Q715" i="52" s="1"/>
  <c r="S715" i="52" s="1"/>
  <c r="B113" i="60"/>
  <c r="CJ112" i="60"/>
  <c r="D112" i="60"/>
  <c r="I112" i="60"/>
  <c r="C112" i="60"/>
  <c r="E112" i="60"/>
  <c r="Q639" i="52"/>
  <c r="S639" i="52" s="1"/>
  <c r="C711" i="52"/>
  <c r="Q711" i="52" s="1"/>
  <c r="S711" i="52" s="1"/>
  <c r="M187" i="50"/>
  <c r="U187" i="50"/>
  <c r="T187" i="50"/>
  <c r="X94" i="60"/>
  <c r="M94" i="60"/>
  <c r="O94" i="60"/>
  <c r="F94" i="60"/>
  <c r="W94" i="60"/>
  <c r="N94" i="60"/>
  <c r="R94" i="60"/>
  <c r="V94" i="60"/>
  <c r="L94" i="60"/>
  <c r="D94" i="60"/>
  <c r="K94" i="60"/>
  <c r="T94" i="60"/>
  <c r="Q94" i="60"/>
  <c r="H94" i="60"/>
  <c r="S94" i="60"/>
  <c r="Q104" i="60"/>
  <c r="J104" i="60"/>
  <c r="V104" i="60"/>
  <c r="I94" i="60"/>
  <c r="U94" i="60"/>
  <c r="K102" i="60"/>
  <c r="L102" i="60"/>
  <c r="G96" i="60"/>
  <c r="J96" i="60"/>
  <c r="P96" i="60"/>
  <c r="L96" i="60"/>
  <c r="I96" i="60"/>
  <c r="N96" i="60"/>
  <c r="V96" i="60"/>
  <c r="R96" i="60"/>
  <c r="X96" i="60"/>
  <c r="K96" i="60"/>
  <c r="S96" i="60"/>
  <c r="O96" i="60"/>
  <c r="U96" i="60"/>
  <c r="W96" i="60"/>
  <c r="D96" i="60"/>
  <c r="F96" i="60"/>
  <c r="Q96" i="60"/>
  <c r="H96" i="60"/>
  <c r="T96" i="60"/>
  <c r="M96" i="60"/>
  <c r="N98" i="60"/>
  <c r="D98" i="60"/>
  <c r="I98" i="60"/>
  <c r="X98" i="60"/>
  <c r="V98" i="60"/>
  <c r="G98" i="60"/>
  <c r="L98" i="60"/>
  <c r="H98" i="60"/>
  <c r="F98" i="60"/>
  <c r="K98" i="60"/>
  <c r="P98" i="60"/>
  <c r="Q98" i="60"/>
  <c r="M98" i="60"/>
  <c r="S98" i="60"/>
  <c r="J98" i="60"/>
  <c r="V101" i="60"/>
  <c r="N101" i="60"/>
  <c r="F101" i="60"/>
  <c r="P101" i="60"/>
  <c r="J101" i="60"/>
  <c r="X101" i="60"/>
  <c r="Q101" i="60"/>
  <c r="O101" i="60"/>
  <c r="S101" i="60"/>
  <c r="I101" i="60"/>
  <c r="W101" i="60"/>
  <c r="D101" i="60"/>
  <c r="U101" i="60"/>
  <c r="M101" i="60"/>
  <c r="T101" i="60"/>
  <c r="K101" i="60"/>
  <c r="G101" i="60"/>
  <c r="L101" i="60"/>
  <c r="R101" i="60"/>
  <c r="H101" i="60"/>
  <c r="P102" i="60"/>
  <c r="G102" i="60"/>
  <c r="T102" i="60"/>
  <c r="O102" i="60"/>
  <c r="F102" i="60"/>
  <c r="U102" i="60"/>
  <c r="H102" i="60"/>
  <c r="S102" i="60"/>
  <c r="N102" i="60"/>
  <c r="Q102" i="60"/>
  <c r="O92" i="60"/>
  <c r="U92" i="60"/>
  <c r="D92" i="60"/>
  <c r="W92" i="60"/>
  <c r="F92" i="60"/>
  <c r="K92" i="60"/>
  <c r="H92" i="60"/>
  <c r="S92" i="60"/>
  <c r="X92" i="60"/>
  <c r="Q92" i="60"/>
  <c r="J92" i="60"/>
  <c r="L92" i="60"/>
  <c r="M92" i="60"/>
  <c r="R92" i="60"/>
  <c r="N92" i="60"/>
  <c r="G92" i="60"/>
  <c r="I92" i="60"/>
  <c r="T92" i="60"/>
  <c r="V92" i="60"/>
  <c r="P92" i="60"/>
  <c r="U93" i="60"/>
  <c r="L93" i="60"/>
  <c r="S93" i="60"/>
  <c r="T93" i="60"/>
  <c r="O93" i="60"/>
  <c r="M93" i="60"/>
  <c r="P93" i="60"/>
  <c r="D93" i="60"/>
  <c r="G93" i="60"/>
  <c r="N93" i="60"/>
  <c r="F93" i="60"/>
  <c r="J93" i="60"/>
  <c r="X93" i="60"/>
  <c r="I93" i="60"/>
  <c r="K93" i="60"/>
  <c r="R93" i="60"/>
  <c r="V93" i="60"/>
  <c r="W93" i="60"/>
  <c r="H93" i="60"/>
  <c r="Q93" i="60"/>
  <c r="V97" i="60"/>
  <c r="U97" i="60"/>
  <c r="M97" i="60"/>
  <c r="F97" i="60"/>
  <c r="H97" i="60"/>
  <c r="J97" i="60"/>
  <c r="R97" i="60"/>
  <c r="P97" i="60"/>
  <c r="W97" i="60"/>
  <c r="I97" i="60"/>
  <c r="G97" i="60"/>
  <c r="K97" i="60"/>
  <c r="Q97" i="60"/>
  <c r="X97" i="60"/>
  <c r="L97" i="60"/>
  <c r="D97" i="60"/>
  <c r="O97" i="60"/>
  <c r="T97" i="60"/>
  <c r="N97" i="60"/>
  <c r="S97" i="60"/>
  <c r="P104" i="60"/>
  <c r="R104" i="60"/>
  <c r="L104" i="60"/>
  <c r="G104" i="60"/>
  <c r="W104" i="60"/>
  <c r="N104" i="60"/>
  <c r="U104" i="60"/>
  <c r="O104" i="60"/>
  <c r="K104" i="60"/>
  <c r="M104" i="60"/>
  <c r="T104" i="60"/>
  <c r="I104" i="60"/>
  <c r="F104" i="60"/>
  <c r="S104" i="60"/>
  <c r="G94" i="60"/>
  <c r="J94" i="60"/>
  <c r="R102" i="60"/>
  <c r="J102" i="60"/>
  <c r="I102" i="60"/>
  <c r="W102" i="60"/>
  <c r="X91" i="60"/>
  <c r="O91" i="60"/>
  <c r="H91" i="60"/>
  <c r="G91" i="60"/>
  <c r="Q91" i="60"/>
  <c r="W91" i="60"/>
  <c r="F91" i="60"/>
  <c r="I91" i="60"/>
  <c r="R91" i="60"/>
  <c r="S91" i="60"/>
  <c r="V91" i="60"/>
  <c r="K91" i="60"/>
  <c r="P91" i="60"/>
  <c r="L91" i="60"/>
  <c r="D91" i="60"/>
  <c r="I100" i="60"/>
  <c r="K100" i="60"/>
  <c r="U100" i="60"/>
  <c r="O100" i="60"/>
  <c r="T100" i="60"/>
  <c r="V100" i="60"/>
  <c r="L100" i="60"/>
  <c r="H100" i="60"/>
  <c r="N100" i="60"/>
  <c r="W100" i="60"/>
  <c r="X100" i="60"/>
  <c r="R100" i="60"/>
  <c r="D100" i="60"/>
  <c r="G100" i="60"/>
  <c r="S100" i="60"/>
  <c r="Q100" i="60"/>
  <c r="F100" i="60"/>
  <c r="M100" i="60"/>
  <c r="P100" i="60"/>
  <c r="J100" i="60"/>
  <c r="C528" i="52"/>
  <c r="Q456" i="52"/>
  <c r="S456" i="52" s="1"/>
  <c r="BM24" i="60"/>
  <c r="BT24" i="60"/>
  <c r="AC24" i="60"/>
  <c r="Q24" i="60"/>
  <c r="AI24" i="60"/>
  <c r="AW24" i="60"/>
  <c r="AP24" i="60"/>
  <c r="J24" i="60"/>
  <c r="O24" i="60"/>
  <c r="BH24" i="60"/>
  <c r="P24" i="60"/>
  <c r="AH24" i="60"/>
  <c r="C24" i="60"/>
  <c r="BG24" i="60"/>
  <c r="N24" i="60"/>
  <c r="BO24" i="60"/>
  <c r="BN24" i="60"/>
  <c r="S24" i="60"/>
  <c r="D24" i="60"/>
  <c r="BL24" i="60"/>
  <c r="AA24" i="60"/>
  <c r="AM24" i="60"/>
  <c r="H24" i="60"/>
  <c r="AZ24" i="60"/>
  <c r="R24" i="60"/>
  <c r="AQ24" i="60"/>
  <c r="U24" i="60"/>
  <c r="W24" i="60"/>
  <c r="AN24" i="60"/>
  <c r="AY24" i="60"/>
  <c r="BS24" i="60"/>
  <c r="BR24" i="60"/>
  <c r="AL24" i="60"/>
  <c r="AB24" i="60"/>
  <c r="AE24" i="60"/>
  <c r="BA24" i="60"/>
  <c r="AO24" i="60"/>
  <c r="BP24" i="60"/>
  <c r="AT24" i="60"/>
  <c r="V24" i="60"/>
  <c r="M24" i="60"/>
  <c r="AR24" i="60"/>
  <c r="BE24" i="60"/>
  <c r="AF24" i="60"/>
  <c r="AG24" i="60"/>
  <c r="AX24" i="60"/>
  <c r="AS24" i="60"/>
  <c r="AU24" i="60"/>
  <c r="X24" i="60"/>
  <c r="K24" i="60"/>
  <c r="BJ24" i="60"/>
  <c r="AV24" i="60"/>
  <c r="AD24" i="60"/>
  <c r="AJ24" i="60"/>
  <c r="Z24" i="60"/>
  <c r="BD24" i="60"/>
  <c r="BF24" i="60"/>
  <c r="L24" i="60"/>
  <c r="AK24" i="60"/>
  <c r="BQ24" i="60"/>
  <c r="F24" i="60"/>
  <c r="BC24" i="60"/>
  <c r="I24" i="60"/>
  <c r="BK24" i="60"/>
  <c r="BI24" i="60"/>
  <c r="BB24" i="60"/>
  <c r="Y24" i="60"/>
  <c r="T24" i="60"/>
  <c r="G24" i="60"/>
  <c r="Q594" i="52"/>
  <c r="S594" i="52" s="1"/>
  <c r="C666" i="52"/>
  <c r="AO32" i="60"/>
  <c r="BC32" i="60"/>
  <c r="AA32" i="60"/>
  <c r="N32" i="60"/>
  <c r="I32" i="60"/>
  <c r="BS32" i="60"/>
  <c r="AB32" i="60"/>
  <c r="F32" i="60"/>
  <c r="BP32" i="60"/>
  <c r="AJ32" i="60"/>
  <c r="AG32" i="60"/>
  <c r="AW32" i="60"/>
  <c r="BE32" i="60"/>
  <c r="BF32" i="60"/>
  <c r="L32" i="60"/>
  <c r="O32" i="60"/>
  <c r="AM32" i="60"/>
  <c r="AI32" i="60"/>
  <c r="W32" i="60"/>
  <c r="BM32" i="60"/>
  <c r="AZ32" i="60"/>
  <c r="BD32" i="60"/>
  <c r="Z32" i="60"/>
  <c r="BO32" i="60"/>
  <c r="BG32" i="60"/>
  <c r="BH32" i="60"/>
  <c r="BQ32" i="60"/>
  <c r="U32" i="60"/>
  <c r="BB32" i="60"/>
  <c r="T32" i="60"/>
  <c r="AL32" i="60"/>
  <c r="BA32" i="60"/>
  <c r="G32" i="60"/>
  <c r="C32" i="60"/>
  <c r="BN32" i="60"/>
  <c r="AV32" i="60"/>
  <c r="AK32" i="60"/>
  <c r="AP32" i="60"/>
  <c r="AX32" i="60"/>
  <c r="Y32" i="60"/>
  <c r="BI32" i="60"/>
  <c r="AT32" i="60"/>
  <c r="Q32" i="60"/>
  <c r="AS32" i="60"/>
  <c r="AN32" i="60"/>
  <c r="S32" i="60"/>
  <c r="V32" i="60"/>
  <c r="AF32" i="60"/>
  <c r="AE32" i="60"/>
  <c r="D32" i="60"/>
  <c r="BT32" i="60"/>
  <c r="H32" i="60"/>
  <c r="BR32" i="60"/>
  <c r="AD32" i="60"/>
  <c r="BK32" i="60"/>
  <c r="R32" i="60"/>
  <c r="BJ32" i="60"/>
  <c r="K32" i="60"/>
  <c r="AH32" i="60"/>
  <c r="M32" i="60"/>
  <c r="AQ32" i="60"/>
  <c r="AY32" i="60"/>
  <c r="J32" i="60"/>
  <c r="AR32" i="60"/>
  <c r="P32" i="60"/>
  <c r="AC32" i="60"/>
  <c r="X32" i="60"/>
  <c r="BL32" i="60"/>
  <c r="AU32" i="60"/>
  <c r="Q668" i="52"/>
  <c r="S668" i="52" s="1"/>
  <c r="C740" i="52"/>
  <c r="Q740" i="52" s="1"/>
  <c r="S740" i="52" s="1"/>
  <c r="C635" i="52"/>
  <c r="Q563" i="52"/>
  <c r="S563" i="52" s="1"/>
  <c r="E391" i="50"/>
  <c r="V405" i="50"/>
  <c r="V399" i="50"/>
  <c r="V403" i="50"/>
  <c r="V407" i="50"/>
  <c r="C296" i="58"/>
  <c r="Q298" i="58" s="1"/>
  <c r="S296" i="58" s="1"/>
  <c r="H53" i="58"/>
  <c r="H298" i="58" s="1"/>
  <c r="E53" i="58"/>
  <c r="H296" i="58" s="1"/>
  <c r="E304" i="58" s="1"/>
  <c r="U53" i="58"/>
  <c r="V296" i="58" s="1"/>
  <c r="U309" i="58" s="1"/>
  <c r="D673" i="52"/>
  <c r="Q601" i="52"/>
  <c r="S601" i="52" s="1"/>
  <c r="Q166" i="58"/>
  <c r="Q193" i="58"/>
  <c r="Q200" i="58" s="1"/>
  <c r="Q181" i="58"/>
  <c r="H193" i="58"/>
  <c r="H155" i="58"/>
  <c r="H194" i="58" s="1"/>
  <c r="Q171" i="58"/>
  <c r="Q195" i="58"/>
  <c r="Q202" i="58" s="1"/>
  <c r="Q186" i="58"/>
  <c r="Q176" i="58"/>
  <c r="Q194" i="58"/>
  <c r="Q201" i="58" s="1"/>
  <c r="Q165" i="58"/>
  <c r="H156" i="58"/>
  <c r="H195" i="58" s="1"/>
  <c r="H165" i="58"/>
  <c r="Q683" i="52"/>
  <c r="S683" i="52" s="1"/>
  <c r="C755" i="52"/>
  <c r="Q755" i="52" s="1"/>
  <c r="S755" i="52" s="1"/>
  <c r="R61" i="60"/>
  <c r="AF61" i="60"/>
  <c r="BA61" i="60"/>
  <c r="AQ61" i="60"/>
  <c r="T61" i="60"/>
  <c r="BK61" i="60"/>
  <c r="AK61" i="60"/>
  <c r="BT61" i="60"/>
  <c r="BE61" i="60"/>
  <c r="X61" i="60"/>
  <c r="AC61" i="60"/>
  <c r="AA61" i="60"/>
  <c r="U61" i="60"/>
  <c r="BO61" i="60"/>
  <c r="AS61" i="60"/>
  <c r="AO61" i="60"/>
  <c r="O61" i="60"/>
  <c r="BQ61" i="60"/>
  <c r="AE61" i="60"/>
  <c r="D61" i="60"/>
  <c r="BL61" i="60"/>
  <c r="M61" i="60"/>
  <c r="I61" i="60"/>
  <c r="BS61" i="60"/>
  <c r="AM61" i="60"/>
  <c r="F61" i="60"/>
  <c r="BI61" i="60"/>
  <c r="BH61" i="60"/>
  <c r="AY61" i="60"/>
  <c r="K61" i="60"/>
  <c r="AX61" i="60"/>
  <c r="AV61" i="60"/>
  <c r="BG61" i="60"/>
  <c r="AL61" i="60"/>
  <c r="V61" i="60"/>
  <c r="AW61" i="60"/>
  <c r="N61" i="60"/>
  <c r="W61" i="60"/>
  <c r="AP61" i="60"/>
  <c r="H61" i="60"/>
  <c r="AR61" i="60"/>
  <c r="Y61" i="60"/>
  <c r="G61" i="60"/>
  <c r="AN61" i="60"/>
  <c r="BD61" i="60"/>
  <c r="Q61" i="60"/>
  <c r="BM61" i="60"/>
  <c r="BC61" i="60"/>
  <c r="BJ61" i="60"/>
  <c r="AG61" i="60"/>
  <c r="AZ61" i="60"/>
  <c r="BN61" i="60"/>
  <c r="AH61" i="60"/>
  <c r="P61" i="60"/>
  <c r="S61" i="60"/>
  <c r="BF61" i="60"/>
  <c r="AI61" i="60"/>
  <c r="AT61" i="60"/>
  <c r="AB61" i="60"/>
  <c r="L61" i="60"/>
  <c r="BR61" i="60"/>
  <c r="J61" i="60"/>
  <c r="BP61" i="60"/>
  <c r="AJ61" i="60"/>
  <c r="BB61" i="60"/>
  <c r="AD61" i="60"/>
  <c r="Z61" i="60"/>
  <c r="AU61" i="60"/>
  <c r="C61" i="60"/>
  <c r="P37" i="60"/>
  <c r="BB37" i="60"/>
  <c r="I37" i="60"/>
  <c r="Q37" i="60"/>
  <c r="N37" i="60"/>
  <c r="AD37" i="60"/>
  <c r="AW37" i="60"/>
  <c r="C37" i="60"/>
  <c r="BP37" i="60"/>
  <c r="T37" i="60"/>
  <c r="BC37" i="60"/>
  <c r="AO37" i="60"/>
  <c r="S37" i="60"/>
  <c r="L37" i="60"/>
  <c r="BD37" i="60"/>
  <c r="O37" i="60"/>
  <c r="BG37" i="60"/>
  <c r="AQ37" i="60"/>
  <c r="AJ37" i="60"/>
  <c r="BK37" i="60"/>
  <c r="X37" i="60"/>
  <c r="AV37" i="60"/>
  <c r="AC37" i="60"/>
  <c r="AZ37" i="60"/>
  <c r="AH37" i="60"/>
  <c r="AB37" i="60"/>
  <c r="W37" i="60"/>
  <c r="BI37" i="60"/>
  <c r="BL37" i="60"/>
  <c r="AM37" i="60"/>
  <c r="AT37" i="60"/>
  <c r="AG37" i="60"/>
  <c r="Z37" i="60"/>
  <c r="AA37" i="60"/>
  <c r="H37" i="60"/>
  <c r="AK37" i="60"/>
  <c r="AF37" i="60"/>
  <c r="V37" i="60"/>
  <c r="U37" i="60"/>
  <c r="BR37" i="60"/>
  <c r="AI37" i="60"/>
  <c r="BE37" i="60"/>
  <c r="BM37" i="60"/>
  <c r="AL37" i="60"/>
  <c r="AU37" i="60"/>
  <c r="D37" i="60"/>
  <c r="BS37" i="60"/>
  <c r="BN37" i="60"/>
  <c r="BF37" i="60"/>
  <c r="J37" i="60"/>
  <c r="BJ37" i="60"/>
  <c r="F37" i="60"/>
  <c r="AN37" i="60"/>
  <c r="AR37" i="60"/>
  <c r="AE37" i="60"/>
  <c r="K37" i="60"/>
  <c r="AY37" i="60"/>
  <c r="M37" i="60"/>
  <c r="AX37" i="60"/>
  <c r="Y37" i="60"/>
  <c r="BH37" i="60"/>
  <c r="BQ37" i="60"/>
  <c r="G37" i="60"/>
  <c r="R37" i="60"/>
  <c r="BT37" i="60"/>
  <c r="AP37" i="60"/>
  <c r="BA37" i="60"/>
  <c r="AS37" i="60"/>
  <c r="BO37" i="60"/>
  <c r="Q409" i="52"/>
  <c r="S409" i="52" s="1"/>
  <c r="C481" i="52"/>
  <c r="Q362" i="52"/>
  <c r="S362" i="52" s="1"/>
  <c r="C434" i="52"/>
  <c r="H353" i="46"/>
  <c r="E341" i="46"/>
  <c r="AR13" i="60"/>
  <c r="AP13" i="60"/>
  <c r="BS13" i="60"/>
  <c r="O13" i="60"/>
  <c r="C13" i="60"/>
  <c r="AK13" i="60"/>
  <c r="BJ13" i="60"/>
  <c r="AE13" i="60"/>
  <c r="AL13" i="60"/>
  <c r="V13" i="60"/>
  <c r="AS13" i="60"/>
  <c r="AT13" i="60"/>
  <c r="W13" i="60"/>
  <c r="BF13" i="60"/>
  <c r="BQ13" i="60"/>
  <c r="AG13" i="60"/>
  <c r="AZ13" i="60"/>
  <c r="BI13" i="60"/>
  <c r="AC13" i="60"/>
  <c r="BG13" i="60"/>
  <c r="BM13" i="60"/>
  <c r="K13" i="60"/>
  <c r="AI13" i="60"/>
  <c r="BK13" i="60"/>
  <c r="AB13" i="60"/>
  <c r="BB13" i="60"/>
  <c r="AH13" i="60"/>
  <c r="P13" i="60"/>
  <c r="BN13" i="60"/>
  <c r="AM13" i="60"/>
  <c r="AY13" i="60"/>
  <c r="Q13" i="60"/>
  <c r="BR13" i="60"/>
  <c r="AO13" i="60"/>
  <c r="BC13" i="60"/>
  <c r="L13" i="60"/>
  <c r="G13" i="60"/>
  <c r="AF13" i="60"/>
  <c r="T13" i="60"/>
  <c r="AQ13" i="60"/>
  <c r="D13" i="60"/>
  <c r="AJ13" i="60"/>
  <c r="BP13" i="60"/>
  <c r="AU13" i="60"/>
  <c r="S13" i="60"/>
  <c r="BT13" i="60"/>
  <c r="AD13" i="60"/>
  <c r="AW13" i="60"/>
  <c r="BO13" i="60"/>
  <c r="H13" i="60"/>
  <c r="J13" i="60"/>
  <c r="X13" i="60"/>
  <c r="AN13" i="60"/>
  <c r="Y13" i="60"/>
  <c r="M13" i="60"/>
  <c r="BH13" i="60"/>
  <c r="Z13" i="60"/>
  <c r="BE13" i="60"/>
  <c r="AA13" i="60"/>
  <c r="BD13" i="60"/>
  <c r="BL13" i="60"/>
  <c r="I13" i="60"/>
  <c r="N13" i="60"/>
  <c r="AX13" i="60"/>
  <c r="F13" i="60"/>
  <c r="BA13" i="60"/>
  <c r="R13" i="60"/>
  <c r="AV13" i="60"/>
  <c r="U13" i="60"/>
  <c r="C748" i="52"/>
  <c r="Q748" i="52" s="1"/>
  <c r="S748" i="52" s="1"/>
  <c r="Q676" i="52"/>
  <c r="S676" i="52" s="1"/>
  <c r="H55" i="58"/>
  <c r="U55" i="58"/>
  <c r="E55" i="58"/>
  <c r="Q535" i="52"/>
  <c r="S535" i="52" s="1"/>
  <c r="C607" i="52"/>
  <c r="C498" i="52"/>
  <c r="Q426" i="52"/>
  <c r="S426" i="52" s="1"/>
  <c r="T152" i="58"/>
  <c r="U152" i="58"/>
  <c r="M152" i="58"/>
  <c r="Q160" i="58" s="1"/>
  <c r="H118" i="58"/>
  <c r="Q106" i="58"/>
  <c r="H75" i="58"/>
  <c r="H120" i="58" s="1"/>
  <c r="Q119" i="58"/>
  <c r="Q126" i="58" s="1"/>
  <c r="Q96" i="58"/>
  <c r="Q101" i="58"/>
  <c r="Q91" i="58"/>
  <c r="Q118" i="58"/>
  <c r="Q125" i="58" s="1"/>
  <c r="H90" i="58"/>
  <c r="Q120" i="58"/>
  <c r="Q127" i="58" s="1"/>
  <c r="H74" i="58"/>
  <c r="H119" i="58" s="1"/>
  <c r="Q111" i="58"/>
  <c r="Q90" i="58"/>
  <c r="C411" i="52"/>
  <c r="Q339" i="52"/>
  <c r="S339" i="52" s="1"/>
  <c r="H284" i="38"/>
  <c r="F285" i="38"/>
  <c r="G284" i="38"/>
  <c r="I284" i="38"/>
  <c r="AG39" i="60"/>
  <c r="S39" i="60"/>
  <c r="AI39" i="60"/>
  <c r="AM39" i="60"/>
  <c r="AX39" i="60"/>
  <c r="AE39" i="60"/>
  <c r="AP39" i="60"/>
  <c r="AL39" i="60"/>
  <c r="AY39" i="60"/>
  <c r="BM39" i="60"/>
  <c r="F39" i="60"/>
  <c r="AK39" i="60"/>
  <c r="AV39" i="60"/>
  <c r="P39" i="60"/>
  <c r="Z39" i="60"/>
  <c r="BN39" i="60"/>
  <c r="AW39" i="60"/>
  <c r="BD39" i="60"/>
  <c r="BL39" i="60"/>
  <c r="BI39" i="60"/>
  <c r="U39" i="60"/>
  <c r="R39" i="60"/>
  <c r="O39" i="60"/>
  <c r="BR39" i="60"/>
  <c r="AT39" i="60"/>
  <c r="V39" i="60"/>
  <c r="BA39" i="60"/>
  <c r="W39" i="60"/>
  <c r="N39" i="60"/>
  <c r="L39" i="60"/>
  <c r="BB39" i="60"/>
  <c r="Y39" i="60"/>
  <c r="C39" i="60"/>
  <c r="G39" i="60"/>
  <c r="I39" i="60"/>
  <c r="AA39" i="60"/>
  <c r="BC39" i="60"/>
  <c r="BP39" i="60"/>
  <c r="BF39" i="60"/>
  <c r="Q39" i="60"/>
  <c r="BK39" i="60"/>
  <c r="BH39" i="60"/>
  <c r="AS39" i="60"/>
  <c r="AD39" i="60"/>
  <c r="X39" i="60"/>
  <c r="AB39" i="60"/>
  <c r="K39" i="60"/>
  <c r="BJ39" i="60"/>
  <c r="AF39" i="60"/>
  <c r="AR39" i="60"/>
  <c r="AZ39" i="60"/>
  <c r="AO39" i="60"/>
  <c r="T39" i="60"/>
  <c r="BO39" i="60"/>
  <c r="AN39" i="60"/>
  <c r="AQ39" i="60"/>
  <c r="AH39" i="60"/>
  <c r="AJ39" i="60"/>
  <c r="BQ39" i="60"/>
  <c r="M39" i="60"/>
  <c r="BS39" i="60"/>
  <c r="BE39" i="60"/>
  <c r="AU39" i="60"/>
  <c r="J39" i="60"/>
  <c r="H39" i="60"/>
  <c r="BT39" i="60"/>
  <c r="D39" i="60"/>
  <c r="AC39" i="60"/>
  <c r="BG39" i="60"/>
  <c r="Q291" i="52"/>
  <c r="S291" i="52" s="1"/>
  <c r="C292" i="52"/>
  <c r="C363" i="52"/>
  <c r="Q500" i="52"/>
  <c r="S500" i="52" s="1"/>
  <c r="C572" i="52"/>
  <c r="Q566" i="52"/>
  <c r="S566" i="52" s="1"/>
  <c r="C638" i="52"/>
  <c r="S334" i="46"/>
  <c r="U334" i="46"/>
  <c r="I91" i="50"/>
  <c r="S91" i="50"/>
  <c r="Q325" i="50"/>
  <c r="W331" i="50"/>
  <c r="C236" i="52"/>
  <c r="A237" i="52"/>
  <c r="Q259" i="50"/>
  <c r="W265" i="50"/>
  <c r="W271" i="50" s="1"/>
  <c r="C224" i="58"/>
  <c r="Q226" i="58" s="1"/>
  <c r="S224" i="58" s="1"/>
  <c r="H52" i="58"/>
  <c r="H226" i="58" s="1"/>
  <c r="U52" i="58"/>
  <c r="V224" i="58" s="1"/>
  <c r="U237" i="58" s="1"/>
  <c r="E52" i="58"/>
  <c r="H224" i="58" s="1"/>
  <c r="E232" i="58" s="1"/>
  <c r="G134" i="60"/>
  <c r="D134" i="60"/>
  <c r="E134" i="60"/>
  <c r="C134" i="60"/>
  <c r="F134" i="60"/>
  <c r="B135" i="60"/>
  <c r="Q653" i="52"/>
  <c r="S653" i="52" s="1"/>
  <c r="C725" i="52"/>
  <c r="Q725" i="52" s="1"/>
  <c r="S725" i="52" s="1"/>
  <c r="W165" i="58"/>
  <c r="U166" i="58"/>
  <c r="S267" i="52"/>
  <c r="G282" i="38"/>
  <c r="I282" i="38" s="1"/>
  <c r="Q615" i="52"/>
  <c r="S615" i="52" s="1"/>
  <c r="D687" i="52"/>
  <c r="Q448" i="52"/>
  <c r="S448" i="52" s="1"/>
  <c r="C520" i="52"/>
  <c r="BR15" i="60"/>
  <c r="BA15" i="60"/>
  <c r="BO15" i="60"/>
  <c r="AS15" i="60"/>
  <c r="AY15" i="60"/>
  <c r="AL15" i="60"/>
  <c r="AR15" i="60"/>
  <c r="AZ15" i="60"/>
  <c r="AT15" i="60"/>
  <c r="AO15" i="60"/>
  <c r="N15" i="60"/>
  <c r="AE15" i="60"/>
  <c r="BL15" i="60"/>
  <c r="BS15" i="60"/>
  <c r="P15" i="60"/>
  <c r="W15" i="60"/>
  <c r="J15" i="60"/>
  <c r="C15" i="60"/>
  <c r="AH15" i="60"/>
  <c r="BQ15" i="60"/>
  <c r="BD15" i="60"/>
  <c r="AQ15" i="60"/>
  <c r="Y15" i="60"/>
  <c r="AC15" i="60"/>
  <c r="BF15" i="60"/>
  <c r="F15" i="60"/>
  <c r="AA15" i="60"/>
  <c r="BK15" i="60"/>
  <c r="BJ15" i="60"/>
  <c r="U15" i="60"/>
  <c r="AM15" i="60"/>
  <c r="Q15" i="60"/>
  <c r="BE15" i="60"/>
  <c r="AJ15" i="60"/>
  <c r="BN15" i="60"/>
  <c r="M15" i="60"/>
  <c r="AB15" i="60"/>
  <c r="L15" i="60"/>
  <c r="V15" i="60"/>
  <c r="AU15" i="60"/>
  <c r="I15" i="60"/>
  <c r="BB15" i="60"/>
  <c r="T15" i="60"/>
  <c r="G15" i="60"/>
  <c r="BM15" i="60"/>
  <c r="AF15" i="60"/>
  <c r="AV15" i="60"/>
  <c r="D15" i="60"/>
  <c r="AX15" i="60"/>
  <c r="H15" i="60"/>
  <c r="BI15" i="60"/>
  <c r="BH15" i="60"/>
  <c r="R15" i="60"/>
  <c r="Z15" i="60"/>
  <c r="AN15" i="60"/>
  <c r="AW15" i="60"/>
  <c r="BT15" i="60"/>
  <c r="K15" i="60"/>
  <c r="AK15" i="60"/>
  <c r="AP15" i="60"/>
  <c r="BC15" i="60"/>
  <c r="AI15" i="60"/>
  <c r="AD15" i="60"/>
  <c r="AG15" i="60"/>
  <c r="S15" i="60"/>
  <c r="BP15" i="60"/>
  <c r="BG15" i="60"/>
  <c r="O15" i="60"/>
  <c r="X15" i="60"/>
  <c r="Q659" i="52"/>
  <c r="S659" i="52" s="1"/>
  <c r="D731" i="52"/>
  <c r="Q731" i="52" s="1"/>
  <c r="S731" i="52" s="1"/>
  <c r="C549" i="52"/>
  <c r="Q477" i="52"/>
  <c r="S477" i="52" s="1"/>
  <c r="C577" i="52"/>
  <c r="Q505" i="52"/>
  <c r="S505" i="52" s="1"/>
  <c r="D30" i="60"/>
  <c r="AA30" i="60"/>
  <c r="BQ30" i="60"/>
  <c r="T30" i="60"/>
  <c r="AX30" i="60"/>
  <c r="X30" i="60"/>
  <c r="BR30" i="60"/>
  <c r="AH30" i="60"/>
  <c r="P30" i="60"/>
  <c r="S30" i="60"/>
  <c r="AZ30" i="60"/>
  <c r="M30" i="60"/>
  <c r="O30" i="60"/>
  <c r="N30" i="60"/>
  <c r="C30" i="60"/>
  <c r="AB30" i="60"/>
  <c r="R30" i="60"/>
  <c r="AU30" i="60"/>
  <c r="BG30" i="60"/>
  <c r="BT30" i="60"/>
  <c r="AV30" i="60"/>
  <c r="BF30" i="60"/>
  <c r="BH30" i="60"/>
  <c r="U30" i="60"/>
  <c r="BA30" i="60"/>
  <c r="BK30" i="60"/>
  <c r="AL30" i="60"/>
  <c r="AO30" i="60"/>
  <c r="BS30" i="60"/>
  <c r="AR30" i="60"/>
  <c r="BI30" i="60"/>
  <c r="BP30" i="60"/>
  <c r="J30" i="60"/>
  <c r="AP30" i="60"/>
  <c r="AS30" i="60"/>
  <c r="BO30" i="60"/>
  <c r="W30" i="60"/>
  <c r="Z30" i="60"/>
  <c r="AN30" i="60"/>
  <c r="K30" i="60"/>
  <c r="AT30" i="60"/>
  <c r="BN30" i="60"/>
  <c r="G30" i="60"/>
  <c r="Q30" i="60"/>
  <c r="AG30" i="60"/>
  <c r="Y30" i="60"/>
  <c r="I30" i="60"/>
  <c r="AD30" i="60"/>
  <c r="BM30" i="60"/>
  <c r="AC30" i="60"/>
  <c r="BC30" i="60"/>
  <c r="V30" i="60"/>
  <c r="BD30" i="60"/>
  <c r="AQ30" i="60"/>
  <c r="BJ30" i="60"/>
  <c r="AJ30" i="60"/>
  <c r="BB30" i="60"/>
  <c r="AF30" i="60"/>
  <c r="AY30" i="60"/>
  <c r="AW30" i="60"/>
  <c r="L30" i="60"/>
  <c r="AK30" i="60"/>
  <c r="AI30" i="60"/>
  <c r="BL30" i="60"/>
  <c r="H30" i="60"/>
  <c r="F30" i="60"/>
  <c r="AE30" i="60"/>
  <c r="BE30" i="60"/>
  <c r="AM30" i="60"/>
  <c r="AZ54" i="60"/>
  <c r="AN54" i="60"/>
  <c r="BN54" i="60"/>
  <c r="BJ54" i="60"/>
  <c r="L54" i="60"/>
  <c r="AM54" i="60"/>
  <c r="X54" i="60"/>
  <c r="AA54" i="60"/>
  <c r="AL54" i="60"/>
  <c r="J54" i="60"/>
  <c r="Q54" i="60"/>
  <c r="BI54" i="60"/>
  <c r="AK54" i="60"/>
  <c r="BT54" i="60"/>
  <c r="V54" i="60"/>
  <c r="U54" i="60"/>
  <c r="T54" i="60"/>
  <c r="BH54" i="60"/>
  <c r="BG54" i="60"/>
  <c r="AF54" i="60"/>
  <c r="BF54" i="60"/>
  <c r="BK54" i="60"/>
  <c r="AB54" i="60"/>
  <c r="AG54" i="60"/>
  <c r="W54" i="60"/>
  <c r="AY54" i="60"/>
  <c r="I54" i="60"/>
  <c r="D54" i="60"/>
  <c r="O54" i="60"/>
  <c r="N54" i="60"/>
  <c r="AI54" i="60"/>
  <c r="BM54" i="60"/>
  <c r="BL54" i="60"/>
  <c r="AX54" i="60"/>
  <c r="AP54" i="60"/>
  <c r="AU54" i="60"/>
  <c r="AH54" i="60"/>
  <c r="H54" i="60"/>
  <c r="M54" i="60"/>
  <c r="BC54" i="60"/>
  <c r="BA54" i="60"/>
  <c r="BD54" i="60"/>
  <c r="AS54" i="60"/>
  <c r="P54" i="60"/>
  <c r="AO54" i="60"/>
  <c r="K54" i="60"/>
  <c r="BS54" i="60"/>
  <c r="F54" i="60"/>
  <c r="BB54" i="60"/>
  <c r="AD54" i="60"/>
  <c r="G54" i="60"/>
  <c r="AC54" i="60"/>
  <c r="BE54" i="60"/>
  <c r="AT54" i="60"/>
  <c r="AE54" i="60"/>
  <c r="R54" i="60"/>
  <c r="S54" i="60"/>
  <c r="AQ54" i="60"/>
  <c r="BP54" i="60"/>
  <c r="BQ54" i="60"/>
  <c r="BO54" i="60"/>
  <c r="C54" i="60"/>
  <c r="AW54" i="60"/>
  <c r="Z54" i="60"/>
  <c r="AJ54" i="60"/>
  <c r="AR54" i="60"/>
  <c r="AV54" i="60"/>
  <c r="BR54" i="60"/>
  <c r="Y54" i="60"/>
  <c r="H427" i="50"/>
  <c r="W427" i="50" s="1"/>
  <c r="Q430" i="50"/>
  <c r="H426" i="50"/>
  <c r="W426" i="50" s="1"/>
  <c r="H389" i="50"/>
  <c r="Q429" i="50"/>
  <c r="H428" i="50"/>
  <c r="W428" i="50" s="1"/>
  <c r="Q417" i="50"/>
  <c r="Q428" i="50"/>
  <c r="Q426" i="50"/>
  <c r="H416" i="50"/>
  <c r="Q427" i="50"/>
  <c r="H429" i="50"/>
  <c r="W429" i="50" s="1"/>
  <c r="Q425" i="50"/>
  <c r="Q416" i="50"/>
  <c r="H388" i="50"/>
  <c r="H425" i="50"/>
  <c r="W425" i="50" s="1"/>
  <c r="H430" i="50"/>
  <c r="W430" i="50" s="1"/>
  <c r="W267" i="50"/>
  <c r="B288" i="52"/>
  <c r="U54" i="58"/>
  <c r="V368" i="58" s="1"/>
  <c r="U381" i="58" s="1"/>
  <c r="H54" i="58"/>
  <c r="H370" i="58" s="1"/>
  <c r="C368" i="58"/>
  <c r="Q370" i="58" s="1"/>
  <c r="S368" i="58" s="1"/>
  <c r="E54" i="58"/>
  <c r="H368" i="58" s="1"/>
  <c r="E376" i="58" s="1"/>
  <c r="W90" i="58"/>
  <c r="U91" i="58"/>
  <c r="C340" i="52"/>
  <c r="Q268" i="52"/>
  <c r="W52" i="50"/>
  <c r="Q43" i="50"/>
  <c r="Q503" i="52" l="1"/>
  <c r="S503" i="52" s="1"/>
  <c r="C575" i="52"/>
  <c r="C730" i="52"/>
  <c r="Q730" i="52" s="1"/>
  <c r="S730" i="52" s="1"/>
  <c r="Q658" i="52"/>
  <c r="S658" i="52" s="1"/>
  <c r="Q688" i="52"/>
  <c r="S688" i="52" s="1"/>
  <c r="C760" i="52"/>
  <c r="Q760" i="52" s="1"/>
  <c r="S760" i="52" s="1"/>
  <c r="C430" i="52"/>
  <c r="Q358" i="52"/>
  <c r="S358" i="52" s="1"/>
  <c r="C413" i="52"/>
  <c r="Q341" i="52"/>
  <c r="S341" i="52" s="1"/>
  <c r="C474" i="52"/>
  <c r="Q402" i="52"/>
  <c r="S402" i="52" s="1"/>
  <c r="W405" i="50"/>
  <c r="E457" i="50"/>
  <c r="V471" i="50"/>
  <c r="V469" i="50"/>
  <c r="V465" i="50"/>
  <c r="V473" i="50"/>
  <c r="Q649" i="50"/>
  <c r="C583" i="50"/>
  <c r="D583" i="50"/>
  <c r="C678" i="52"/>
  <c r="Q606" i="52"/>
  <c r="S606" i="52" s="1"/>
  <c r="C657" i="52"/>
  <c r="Q585" i="52"/>
  <c r="S585" i="52" s="1"/>
  <c r="Q684" i="52"/>
  <c r="S684" i="52" s="1"/>
  <c r="C756" i="52"/>
  <c r="Q756" i="52" s="1"/>
  <c r="S756" i="52" s="1"/>
  <c r="V112" i="60"/>
  <c r="X112" i="60"/>
  <c r="Q112" i="60"/>
  <c r="AJ112" i="60"/>
  <c r="AD112" i="60"/>
  <c r="AB112" i="60"/>
  <c r="AQ112" i="60"/>
  <c r="AX112" i="60"/>
  <c r="AV112" i="60"/>
  <c r="T112" i="60"/>
  <c r="Y112" i="60"/>
  <c r="AA112" i="60"/>
  <c r="BA112" i="60"/>
  <c r="S112" i="60"/>
  <c r="K112" i="60"/>
  <c r="O112" i="60"/>
  <c r="AK112" i="60"/>
  <c r="AY112" i="60"/>
  <c r="AU112" i="60"/>
  <c r="AH112" i="60"/>
  <c r="AI112" i="60"/>
  <c r="BC112" i="60"/>
  <c r="W112" i="60"/>
  <c r="U112" i="60"/>
  <c r="R112" i="60"/>
  <c r="Z112" i="60"/>
  <c r="AR112" i="60"/>
  <c r="AM112" i="60"/>
  <c r="AF112" i="60"/>
  <c r="AT112" i="60"/>
  <c r="AP112" i="60"/>
  <c r="AS112" i="60"/>
  <c r="AG112" i="60"/>
  <c r="J112" i="60"/>
  <c r="AE112" i="60"/>
  <c r="AC112" i="60"/>
  <c r="AW112" i="60"/>
  <c r="M112" i="60"/>
  <c r="BD112" i="60"/>
  <c r="H112" i="60"/>
  <c r="L112" i="60"/>
  <c r="AL112" i="60"/>
  <c r="BB112" i="60"/>
  <c r="F112" i="60"/>
  <c r="N112" i="60"/>
  <c r="AO112" i="60"/>
  <c r="AN112" i="60"/>
  <c r="AZ112" i="60"/>
  <c r="P112" i="60"/>
  <c r="G112" i="60"/>
  <c r="C512" i="52"/>
  <c r="Q440" i="52"/>
  <c r="S440" i="52" s="1"/>
  <c r="D648" i="52"/>
  <c r="Q576" i="52"/>
  <c r="S576" i="52" s="1"/>
  <c r="Q391" i="50"/>
  <c r="W397" i="50"/>
  <c r="W401" i="50" s="1"/>
  <c r="D752" i="52"/>
  <c r="Q752" i="52" s="1"/>
  <c r="S752" i="52" s="1"/>
  <c r="Q680" i="52"/>
  <c r="S680" i="52" s="1"/>
  <c r="C681" i="52"/>
  <c r="Q609" i="52"/>
  <c r="S609" i="52" s="1"/>
  <c r="B284" i="52"/>
  <c r="B355" i="52"/>
  <c r="B427" i="52" s="1"/>
  <c r="B499" i="52" s="1"/>
  <c r="B571" i="52" s="1"/>
  <c r="B643" i="52" s="1"/>
  <c r="B715" i="52" s="1"/>
  <c r="B287" i="52"/>
  <c r="B359" i="52" s="1"/>
  <c r="B431" i="52" s="1"/>
  <c r="B503" i="52" s="1"/>
  <c r="B575" i="52" s="1"/>
  <c r="B647" i="52" s="1"/>
  <c r="B719" i="52" s="1"/>
  <c r="K233" i="52"/>
  <c r="C669" i="52"/>
  <c r="Q597" i="52"/>
  <c r="S597" i="52" s="1"/>
  <c r="AS80" i="60"/>
  <c r="AV80" i="60"/>
  <c r="AX80" i="60"/>
  <c r="K80" i="60"/>
  <c r="C80" i="60"/>
  <c r="H80" i="60"/>
  <c r="AR80" i="60"/>
  <c r="Z80" i="60"/>
  <c r="AP80" i="60"/>
  <c r="D80" i="60"/>
  <c r="BA80" i="60"/>
  <c r="AN80" i="60"/>
  <c r="BB80" i="60"/>
  <c r="J80" i="60"/>
  <c r="T80" i="60"/>
  <c r="BI80" i="60"/>
  <c r="BO80" i="60"/>
  <c r="R80" i="60"/>
  <c r="AE80" i="60"/>
  <c r="AK80" i="60"/>
  <c r="BL80" i="60"/>
  <c r="AA80" i="60"/>
  <c r="BD80" i="60"/>
  <c r="BM80" i="60"/>
  <c r="V80" i="60"/>
  <c r="AO80" i="60"/>
  <c r="N80" i="60"/>
  <c r="S80" i="60"/>
  <c r="AF80" i="60"/>
  <c r="Y80" i="60"/>
  <c r="BT80" i="60"/>
  <c r="AC80" i="60"/>
  <c r="AZ80" i="60"/>
  <c r="AY80" i="60"/>
  <c r="BJ80" i="60"/>
  <c r="AJ80" i="60"/>
  <c r="AQ80" i="60"/>
  <c r="W80" i="60"/>
  <c r="BG80" i="60"/>
  <c r="AD80" i="60"/>
  <c r="BK80" i="60"/>
  <c r="BN80" i="60"/>
  <c r="BH80" i="60"/>
  <c r="AB80" i="60"/>
  <c r="AM80" i="60"/>
  <c r="G80" i="60"/>
  <c r="U80" i="60"/>
  <c r="AH80" i="60"/>
  <c r="I80" i="60"/>
  <c r="Q80" i="60"/>
  <c r="BF80" i="60"/>
  <c r="AL80" i="60"/>
  <c r="BC80" i="60"/>
  <c r="F80" i="60"/>
  <c r="BR80" i="60"/>
  <c r="X80" i="60"/>
  <c r="AT80" i="60"/>
  <c r="O80" i="60"/>
  <c r="AG80" i="60"/>
  <c r="BP80" i="60"/>
  <c r="AI80" i="60"/>
  <c r="M80" i="60"/>
  <c r="L80" i="60"/>
  <c r="BS80" i="60"/>
  <c r="AU80" i="60"/>
  <c r="AW80" i="60"/>
  <c r="P80" i="60"/>
  <c r="BQ80" i="60"/>
  <c r="BE80" i="60"/>
  <c r="Q661" i="52"/>
  <c r="S661" i="52" s="1"/>
  <c r="C733" i="52"/>
  <c r="Q733" i="52" s="1"/>
  <c r="S733" i="52" s="1"/>
  <c r="W407" i="50"/>
  <c r="B114" i="60"/>
  <c r="I113" i="60"/>
  <c r="D113" i="60"/>
  <c r="CJ113" i="60"/>
  <c r="E113" i="60"/>
  <c r="C113" i="60"/>
  <c r="C583" i="52"/>
  <c r="Q511" i="52"/>
  <c r="S511" i="52" s="1"/>
  <c r="C486" i="52"/>
  <c r="Q414" i="52"/>
  <c r="S414" i="52" s="1"/>
  <c r="Q343" i="52"/>
  <c r="S343" i="52" s="1"/>
  <c r="C415" i="52"/>
  <c r="D743" i="52"/>
  <c r="Q743" i="52" s="1"/>
  <c r="S743" i="52" s="1"/>
  <c r="Q671" i="52"/>
  <c r="S671" i="52" s="1"/>
  <c r="BN51" i="60"/>
  <c r="BT51" i="60"/>
  <c r="L51" i="60"/>
  <c r="AX51" i="60"/>
  <c r="AN51" i="60"/>
  <c r="BJ51" i="60"/>
  <c r="BK51" i="60"/>
  <c r="BP51" i="60"/>
  <c r="AM51" i="60"/>
  <c r="Q51" i="60"/>
  <c r="BS51" i="60"/>
  <c r="AR51" i="60"/>
  <c r="T51" i="60"/>
  <c r="AG51" i="60"/>
  <c r="AS51" i="60"/>
  <c r="AB51" i="60"/>
  <c r="V51" i="60"/>
  <c r="H51" i="60"/>
  <c r="BL51" i="60"/>
  <c r="R51" i="60"/>
  <c r="F51" i="60"/>
  <c r="BI51" i="60"/>
  <c r="BG51" i="60"/>
  <c r="N51" i="60"/>
  <c r="AP51" i="60"/>
  <c r="BE51" i="60"/>
  <c r="BD51" i="60"/>
  <c r="X51" i="60"/>
  <c r="AI51" i="60"/>
  <c r="S51" i="60"/>
  <c r="AU51" i="60"/>
  <c r="BO51" i="60"/>
  <c r="AQ51" i="60"/>
  <c r="AT51" i="60"/>
  <c r="AV51" i="60"/>
  <c r="AY51" i="60"/>
  <c r="AO51" i="60"/>
  <c r="BM51" i="60"/>
  <c r="I51" i="60"/>
  <c r="P51" i="60"/>
  <c r="AL51" i="60"/>
  <c r="BQ51" i="60"/>
  <c r="AJ51" i="60"/>
  <c r="M51" i="60"/>
  <c r="BR51" i="60"/>
  <c r="AZ51" i="60"/>
  <c r="Y51" i="60"/>
  <c r="AE51" i="60"/>
  <c r="D51" i="60"/>
  <c r="BB51" i="60"/>
  <c r="AD51" i="60"/>
  <c r="BC51" i="60"/>
  <c r="O51" i="60"/>
  <c r="AF51" i="60"/>
  <c r="BF51" i="60"/>
  <c r="AW51" i="60"/>
  <c r="Z51" i="60"/>
  <c r="BA51" i="60"/>
  <c r="AC51" i="60"/>
  <c r="K51" i="60"/>
  <c r="C51" i="60"/>
  <c r="AK51" i="60"/>
  <c r="BH51" i="60"/>
  <c r="J51" i="60"/>
  <c r="W51" i="60"/>
  <c r="AH51" i="60"/>
  <c r="G51" i="60"/>
  <c r="U51" i="60"/>
  <c r="AA51" i="60"/>
  <c r="Q424" i="52"/>
  <c r="S424" i="52" s="1"/>
  <c r="C496" i="52"/>
  <c r="T451" i="50"/>
  <c r="M451" i="50"/>
  <c r="U451" i="50"/>
  <c r="C273" i="52"/>
  <c r="Q272" i="52"/>
  <c r="S272" i="52" s="1"/>
  <c r="C344" i="52"/>
  <c r="Q593" i="52"/>
  <c r="S593" i="52" s="1"/>
  <c r="C665" i="52"/>
  <c r="C573" i="52"/>
  <c r="Q501" i="52"/>
  <c r="S501" i="52" s="1"/>
  <c r="W403" i="50"/>
  <c r="Q482" i="50"/>
  <c r="H454" i="50"/>
  <c r="H494" i="50"/>
  <c r="W494" i="50" s="1"/>
  <c r="Q496" i="50"/>
  <c r="H493" i="50"/>
  <c r="W493" i="50" s="1"/>
  <c r="Q483" i="50"/>
  <c r="Q494" i="50"/>
  <c r="Q492" i="50"/>
  <c r="H492" i="50"/>
  <c r="W492" i="50" s="1"/>
  <c r="Q493" i="50"/>
  <c r="Q495" i="50"/>
  <c r="Q491" i="50"/>
  <c r="H482" i="50"/>
  <c r="H496" i="50"/>
  <c r="W496" i="50" s="1"/>
  <c r="H491" i="50"/>
  <c r="W491" i="50" s="1"/>
  <c r="H495" i="50"/>
  <c r="W495" i="50" s="1"/>
  <c r="H455" i="50"/>
  <c r="Q519" i="50"/>
  <c r="S517" i="50" s="1"/>
  <c r="H519" i="50"/>
  <c r="H517" i="50"/>
  <c r="Q626" i="52"/>
  <c r="S626" i="52" s="1"/>
  <c r="C698" i="52"/>
  <c r="Q698" i="52" s="1"/>
  <c r="S698" i="52" s="1"/>
  <c r="O234" i="52"/>
  <c r="W199" i="50"/>
  <c r="Q193" i="50"/>
  <c r="U92" i="58"/>
  <c r="W91" i="58"/>
  <c r="T368" i="58"/>
  <c r="M368" i="58"/>
  <c r="Q376" i="58" s="1"/>
  <c r="U368" i="58"/>
  <c r="B360" i="52"/>
  <c r="B432" i="52" s="1"/>
  <c r="B504" i="52" s="1"/>
  <c r="B576" i="52" s="1"/>
  <c r="B648" i="52" s="1"/>
  <c r="B720" i="52" s="1"/>
  <c r="B293" i="52"/>
  <c r="B365" i="52" s="1"/>
  <c r="B437" i="52" s="1"/>
  <c r="B509" i="52" s="1"/>
  <c r="B581" i="52" s="1"/>
  <c r="B653" i="52" s="1"/>
  <c r="B725" i="52" s="1"/>
  <c r="B289" i="52"/>
  <c r="C621" i="52"/>
  <c r="Q549" i="52"/>
  <c r="S549" i="52" s="1"/>
  <c r="Q520" i="52"/>
  <c r="S520" i="52" s="1"/>
  <c r="C592" i="52"/>
  <c r="U224" i="58"/>
  <c r="T224" i="58"/>
  <c r="M224" i="58"/>
  <c r="Q232" i="58" s="1"/>
  <c r="B317" i="52"/>
  <c r="Q292" i="52"/>
  <c r="S292" i="52" s="1"/>
  <c r="C364" i="52"/>
  <c r="C483" i="52"/>
  <c r="Q411" i="52"/>
  <c r="S411" i="52" s="1"/>
  <c r="C679" i="52"/>
  <c r="Q607" i="52"/>
  <c r="S607" i="52" s="1"/>
  <c r="C506" i="52"/>
  <c r="Q434" i="52"/>
  <c r="S434" i="52" s="1"/>
  <c r="I165" i="58"/>
  <c r="S165" i="58"/>
  <c r="U310" i="58"/>
  <c r="W309" i="58"/>
  <c r="Q410" i="58"/>
  <c r="Q417" i="58" s="1"/>
  <c r="Q409" i="58"/>
  <c r="Q416" i="58" s="1"/>
  <c r="Q397" i="58"/>
  <c r="Q381" i="58"/>
  <c r="Q387" i="58"/>
  <c r="H372" i="58"/>
  <c r="H411" i="58" s="1"/>
  <c r="Q392" i="58"/>
  <c r="H371" i="58"/>
  <c r="H410" i="58" s="1"/>
  <c r="H409" i="58"/>
  <c r="Q382" i="58"/>
  <c r="Q411" i="58"/>
  <c r="Q418" i="58" s="1"/>
  <c r="H381" i="58"/>
  <c r="Q402" i="58"/>
  <c r="I416" i="50"/>
  <c r="S416" i="50"/>
  <c r="W269" i="50"/>
  <c r="W273" i="50"/>
  <c r="W275" i="50"/>
  <c r="W335" i="50"/>
  <c r="W341" i="50"/>
  <c r="W339" i="50"/>
  <c r="W337" i="50"/>
  <c r="W333" i="50"/>
  <c r="V334" i="46"/>
  <c r="M334" i="46"/>
  <c r="Q572" i="52"/>
  <c r="S572" i="52" s="1"/>
  <c r="C644" i="52"/>
  <c r="H285" i="38"/>
  <c r="F286" i="38"/>
  <c r="G285" i="38"/>
  <c r="I90" i="58"/>
  <c r="S90" i="58"/>
  <c r="S268" i="52"/>
  <c r="G283" i="38"/>
  <c r="I283" i="38" s="1"/>
  <c r="U382" i="58"/>
  <c r="W381" i="58"/>
  <c r="Q577" i="52"/>
  <c r="S577" i="52" s="1"/>
  <c r="C649" i="52"/>
  <c r="W237" i="58"/>
  <c r="U238" i="58"/>
  <c r="M336" i="46"/>
  <c r="Q341" i="46" s="1"/>
  <c r="T334" i="46"/>
  <c r="Q481" i="52"/>
  <c r="S481" i="52" s="1"/>
  <c r="C553" i="52"/>
  <c r="H337" i="58"/>
  <c r="Q330" i="58"/>
  <c r="Q309" i="58"/>
  <c r="Q310" i="58"/>
  <c r="H309" i="58"/>
  <c r="Q338" i="58"/>
  <c r="Q345" i="58" s="1"/>
  <c r="Q339" i="58"/>
  <c r="Q346" i="58" s="1"/>
  <c r="Q325" i="58"/>
  <c r="H300" i="58"/>
  <c r="H339" i="58" s="1"/>
  <c r="Q337" i="58"/>
  <c r="Q344" i="58" s="1"/>
  <c r="Q320" i="58"/>
  <c r="H299" i="58"/>
  <c r="H338" i="58" s="1"/>
  <c r="Q315" i="58"/>
  <c r="W71" i="50"/>
  <c r="W66" i="50"/>
  <c r="W75" i="50"/>
  <c r="W61" i="50"/>
  <c r="W72" i="50" s="1"/>
  <c r="W56" i="50"/>
  <c r="W67" i="50" s="1"/>
  <c r="C412" i="52"/>
  <c r="Q340" i="52"/>
  <c r="S340" i="52" s="1"/>
  <c r="Q687" i="52"/>
  <c r="S687" i="52" s="1"/>
  <c r="D759" i="52"/>
  <c r="Q759" i="52" s="1"/>
  <c r="S759" i="52" s="1"/>
  <c r="U167" i="58"/>
  <c r="W166" i="58"/>
  <c r="F135" i="60"/>
  <c r="C135" i="60"/>
  <c r="E135" i="60"/>
  <c r="G135" i="60"/>
  <c r="D135" i="60"/>
  <c r="H228" i="58"/>
  <c r="H267" i="58" s="1"/>
  <c r="Q237" i="58"/>
  <c r="Q265" i="58"/>
  <c r="Q272" i="58" s="1"/>
  <c r="Q253" i="58"/>
  <c r="Q258" i="58"/>
  <c r="H265" i="58"/>
  <c r="H227" i="58"/>
  <c r="H266" i="58" s="1"/>
  <c r="Q267" i="58"/>
  <c r="Q274" i="58" s="1"/>
  <c r="Q243" i="58"/>
  <c r="Q238" i="58"/>
  <c r="Q248" i="58"/>
  <c r="H237" i="58"/>
  <c r="Q266" i="58"/>
  <c r="Q273" i="58" s="1"/>
  <c r="A238" i="52"/>
  <c r="C237" i="52"/>
  <c r="C710" i="52"/>
  <c r="Q710" i="52" s="1"/>
  <c r="S710" i="52" s="1"/>
  <c r="Q638" i="52"/>
  <c r="S638" i="52" s="1"/>
  <c r="C435" i="52"/>
  <c r="Q363" i="52"/>
  <c r="S363" i="52" s="1"/>
  <c r="C570" i="52"/>
  <c r="Q498" i="52"/>
  <c r="S498" i="52" s="1"/>
  <c r="S353" i="46"/>
  <c r="I353" i="46"/>
  <c r="Q673" i="52"/>
  <c r="S673" i="52" s="1"/>
  <c r="D745" i="52"/>
  <c r="Q745" i="52" s="1"/>
  <c r="S745" i="52" s="1"/>
  <c r="M296" i="58"/>
  <c r="Q304" i="58" s="1"/>
  <c r="T296" i="58"/>
  <c r="U296" i="58"/>
  <c r="Q635" i="52"/>
  <c r="S635" i="52" s="1"/>
  <c r="C707" i="52"/>
  <c r="Q707" i="52" s="1"/>
  <c r="S707" i="52" s="1"/>
  <c r="C738" i="52"/>
  <c r="Q738" i="52" s="1"/>
  <c r="S738" i="52" s="1"/>
  <c r="Q666" i="52"/>
  <c r="S666" i="52" s="1"/>
  <c r="Q528" i="52"/>
  <c r="S528" i="52" s="1"/>
  <c r="C600" i="52"/>
  <c r="T517" i="50" l="1"/>
  <c r="M517" i="50"/>
  <c r="U517" i="50"/>
  <c r="Q430" i="52"/>
  <c r="S430" i="52" s="1"/>
  <c r="C502" i="52"/>
  <c r="C345" i="52"/>
  <c r="Q273" i="52"/>
  <c r="S273" i="52" s="1"/>
  <c r="C558" i="52"/>
  <c r="Q486" i="52"/>
  <c r="S486" i="52" s="1"/>
  <c r="C114" i="60"/>
  <c r="D114" i="60"/>
  <c r="B115" i="60"/>
  <c r="I114" i="60"/>
  <c r="E114" i="60"/>
  <c r="CJ114" i="60"/>
  <c r="Q681" i="52"/>
  <c r="S681" i="52" s="1"/>
  <c r="C753" i="52"/>
  <c r="Q753" i="52" s="1"/>
  <c r="S753" i="52" s="1"/>
  <c r="C584" i="52"/>
  <c r="Q512" i="52"/>
  <c r="S512" i="52" s="1"/>
  <c r="C750" i="52"/>
  <c r="Q750" i="52" s="1"/>
  <c r="S750" i="52" s="1"/>
  <c r="Q678" i="52"/>
  <c r="S678" i="52" s="1"/>
  <c r="I234" i="52"/>
  <c r="E234" i="52"/>
  <c r="F234" i="52"/>
  <c r="Q457" i="50"/>
  <c r="W463" i="50"/>
  <c r="W467" i="50" s="1"/>
  <c r="Q583" i="52"/>
  <c r="S583" i="52" s="1"/>
  <c r="C655" i="52"/>
  <c r="Q669" i="52"/>
  <c r="S669" i="52" s="1"/>
  <c r="C741" i="52"/>
  <c r="Q741" i="52" s="1"/>
  <c r="S741" i="52" s="1"/>
  <c r="H585" i="50"/>
  <c r="H583" i="50"/>
  <c r="Q585" i="50"/>
  <c r="S583" i="50" s="1"/>
  <c r="Q573" i="52"/>
  <c r="S573" i="52" s="1"/>
  <c r="C645" i="52"/>
  <c r="Q715" i="50"/>
  <c r="C649" i="50"/>
  <c r="D649" i="50"/>
  <c r="C546" i="52"/>
  <c r="Q474" i="52"/>
  <c r="S474" i="52" s="1"/>
  <c r="I285" i="38"/>
  <c r="S482" i="50"/>
  <c r="I482" i="50"/>
  <c r="C737" i="52"/>
  <c r="Q737" i="52" s="1"/>
  <c r="S737" i="52" s="1"/>
  <c r="Q665" i="52"/>
  <c r="S665" i="52" s="1"/>
  <c r="Q496" i="52"/>
  <c r="S496" i="52" s="1"/>
  <c r="C568" i="52"/>
  <c r="AB113" i="60"/>
  <c r="AO113" i="60"/>
  <c r="AM113" i="60"/>
  <c r="V113" i="60"/>
  <c r="AJ113" i="60"/>
  <c r="AQ113" i="60"/>
  <c r="O113" i="60"/>
  <c r="AE113" i="60"/>
  <c r="AS113" i="60"/>
  <c r="N113" i="60"/>
  <c r="AF113" i="60"/>
  <c r="Q113" i="60"/>
  <c r="AU113" i="60"/>
  <c r="AC113" i="60"/>
  <c r="AL113" i="60"/>
  <c r="P113" i="60"/>
  <c r="S113" i="60"/>
  <c r="BC113" i="60"/>
  <c r="H113" i="60"/>
  <c r="AD113" i="60"/>
  <c r="AG113" i="60"/>
  <c r="W113" i="60"/>
  <c r="AA113" i="60"/>
  <c r="M113" i="60"/>
  <c r="Z113" i="60"/>
  <c r="AW113" i="60"/>
  <c r="AY113" i="60"/>
  <c r="F113" i="60"/>
  <c r="BA113" i="60"/>
  <c r="AT113" i="60"/>
  <c r="G113" i="60"/>
  <c r="K113" i="60"/>
  <c r="R113" i="60"/>
  <c r="AZ113" i="60"/>
  <c r="AI113" i="60"/>
  <c r="U113" i="60"/>
  <c r="BD113" i="60"/>
  <c r="T113" i="60"/>
  <c r="L113" i="60"/>
  <c r="AR113" i="60"/>
  <c r="AN113" i="60"/>
  <c r="BB113" i="60"/>
  <c r="AX113" i="60"/>
  <c r="X113" i="60"/>
  <c r="AH113" i="60"/>
  <c r="AP113" i="60"/>
  <c r="Y113" i="60"/>
  <c r="J113" i="60"/>
  <c r="AK113" i="60"/>
  <c r="AV113" i="60"/>
  <c r="W473" i="50"/>
  <c r="W399" i="50"/>
  <c r="V539" i="50"/>
  <c r="V531" i="50"/>
  <c r="V535" i="50"/>
  <c r="V537" i="50"/>
  <c r="E523" i="50"/>
  <c r="Q415" i="52"/>
  <c r="S415" i="52" s="1"/>
  <c r="C487" i="52"/>
  <c r="W465" i="50"/>
  <c r="C485" i="52"/>
  <c r="Q413" i="52"/>
  <c r="S413" i="52" s="1"/>
  <c r="C647" i="52"/>
  <c r="Q575" i="52"/>
  <c r="S575" i="52" s="1"/>
  <c r="J234" i="52"/>
  <c r="Q558" i="50"/>
  <c r="Q548" i="50"/>
  <c r="H559" i="50"/>
  <c r="W559" i="50" s="1"/>
  <c r="H520" i="50"/>
  <c r="Q559" i="50"/>
  <c r="H557" i="50"/>
  <c r="W557" i="50" s="1"/>
  <c r="H562" i="50"/>
  <c r="W562" i="50" s="1"/>
  <c r="Q560" i="50"/>
  <c r="H560" i="50"/>
  <c r="W560" i="50" s="1"/>
  <c r="H521" i="50"/>
  <c r="H561" i="50"/>
  <c r="W561" i="50" s="1"/>
  <c r="Q562" i="50"/>
  <c r="Q557" i="50"/>
  <c r="Q561" i="50"/>
  <c r="H558" i="50"/>
  <c r="W558" i="50" s="1"/>
  <c r="Q549" i="50"/>
  <c r="H548" i="50"/>
  <c r="C416" i="52"/>
  <c r="Q344" i="52"/>
  <c r="S344" i="52" s="1"/>
  <c r="B356" i="52"/>
  <c r="B428" i="52" s="1"/>
  <c r="B500" i="52" s="1"/>
  <c r="B572" i="52" s="1"/>
  <c r="B644" i="52" s="1"/>
  <c r="B716" i="52" s="1"/>
  <c r="B285" i="52"/>
  <c r="G234" i="52" s="1"/>
  <c r="D720" i="52"/>
  <c r="Q720" i="52" s="1"/>
  <c r="S720" i="52" s="1"/>
  <c r="Q648" i="52"/>
  <c r="S648" i="52" s="1"/>
  <c r="C729" i="52"/>
  <c r="Q729" i="52" s="1"/>
  <c r="S729" i="52" s="1"/>
  <c r="Q657" i="52"/>
  <c r="S657" i="52" s="1"/>
  <c r="W469" i="50"/>
  <c r="W205" i="50"/>
  <c r="W203" i="50"/>
  <c r="W207" i="50"/>
  <c r="W209" i="50"/>
  <c r="W201" i="50"/>
  <c r="Q600" i="52"/>
  <c r="S600" i="52" s="1"/>
  <c r="C672" i="52"/>
  <c r="B323" i="52"/>
  <c r="C625" i="52"/>
  <c r="Q553" i="52"/>
  <c r="S553" i="52" s="1"/>
  <c r="U383" i="58"/>
  <c r="W382" i="58"/>
  <c r="I381" i="58"/>
  <c r="S381" i="58"/>
  <c r="Q679" i="52"/>
  <c r="S679" i="52" s="1"/>
  <c r="C751" i="52"/>
  <c r="Q751" i="52" s="1"/>
  <c r="S751" i="52" s="1"/>
  <c r="C507" i="52"/>
  <c r="Q435" i="52"/>
  <c r="S435" i="52" s="1"/>
  <c r="W167" i="58"/>
  <c r="U170" i="58"/>
  <c r="C484" i="52"/>
  <c r="Q412" i="52"/>
  <c r="S412" i="52" s="1"/>
  <c r="Q649" i="52"/>
  <c r="S649" i="52" s="1"/>
  <c r="C721" i="52"/>
  <c r="Q721" i="52" s="1"/>
  <c r="S721" i="52" s="1"/>
  <c r="C716" i="52"/>
  <c r="Q716" i="52" s="1"/>
  <c r="S716" i="52" s="1"/>
  <c r="Q644" i="52"/>
  <c r="S644" i="52" s="1"/>
  <c r="B290" i="52"/>
  <c r="B361" i="52"/>
  <c r="B433" i="52" s="1"/>
  <c r="B505" i="52" s="1"/>
  <c r="B577" i="52" s="1"/>
  <c r="B649" i="52" s="1"/>
  <c r="B721" i="52" s="1"/>
  <c r="K234" i="52"/>
  <c r="U239" i="58"/>
  <c r="W238" i="58"/>
  <c r="W310" i="58"/>
  <c r="U311" i="58"/>
  <c r="Q506" i="52"/>
  <c r="S506" i="52" s="1"/>
  <c r="C578" i="52"/>
  <c r="C555" i="52"/>
  <c r="Q483" i="52"/>
  <c r="S483" i="52" s="1"/>
  <c r="B318" i="52"/>
  <c r="B389" i="52"/>
  <c r="B461" i="52" s="1"/>
  <c r="B533" i="52" s="1"/>
  <c r="B605" i="52" s="1"/>
  <c r="B677" i="52" s="1"/>
  <c r="B749" i="52" s="1"/>
  <c r="C693" i="52"/>
  <c r="Q621" i="52"/>
  <c r="S621" i="52" s="1"/>
  <c r="C238" i="52"/>
  <c r="A239" i="52"/>
  <c r="Q570" i="52"/>
  <c r="S570" i="52" s="1"/>
  <c r="C642" i="52"/>
  <c r="I237" i="58"/>
  <c r="S237" i="58"/>
  <c r="S309" i="58"/>
  <c r="I309" i="58"/>
  <c r="F287" i="38"/>
  <c r="H286" i="38"/>
  <c r="G286" i="38"/>
  <c r="C436" i="52"/>
  <c r="Q364" i="52"/>
  <c r="S364" i="52" s="1"/>
  <c r="Q592" i="52"/>
  <c r="S592" i="52" s="1"/>
  <c r="C664" i="52"/>
  <c r="W92" i="58"/>
  <c r="U95" i="58"/>
  <c r="Q485" i="52" l="1"/>
  <c r="S485" i="52" s="1"/>
  <c r="C557" i="52"/>
  <c r="C715" i="50"/>
  <c r="D715" i="50"/>
  <c r="Q655" i="52"/>
  <c r="S655" i="52" s="1"/>
  <c r="C727" i="52"/>
  <c r="Q727" i="52" s="1"/>
  <c r="S727" i="52" s="1"/>
  <c r="AH114" i="60"/>
  <c r="AV114" i="60"/>
  <c r="AI114" i="60"/>
  <c r="O114" i="60"/>
  <c r="BB114" i="60"/>
  <c r="X114" i="60"/>
  <c r="G114" i="60"/>
  <c r="Z114" i="60"/>
  <c r="AZ114" i="60"/>
  <c r="F114" i="60"/>
  <c r="AX114" i="60"/>
  <c r="U114" i="60"/>
  <c r="AG114" i="60"/>
  <c r="AJ114" i="60"/>
  <c r="AT114" i="60"/>
  <c r="BC114" i="60"/>
  <c r="BD114" i="60"/>
  <c r="AP114" i="60"/>
  <c r="AC114" i="60"/>
  <c r="L114" i="60"/>
  <c r="J114" i="60"/>
  <c r="H114" i="60"/>
  <c r="AE114" i="60"/>
  <c r="Q114" i="60"/>
  <c r="K114" i="60"/>
  <c r="AB114" i="60"/>
  <c r="V114" i="60"/>
  <c r="M114" i="60"/>
  <c r="T114" i="60"/>
  <c r="AS114" i="60"/>
  <c r="AA114" i="60"/>
  <c r="AK114" i="60"/>
  <c r="AD114" i="60"/>
  <c r="AQ114" i="60"/>
  <c r="W114" i="60"/>
  <c r="N114" i="60"/>
  <c r="BA114" i="60"/>
  <c r="AN114" i="60"/>
  <c r="AF114" i="60"/>
  <c r="S114" i="60"/>
  <c r="AR114" i="60"/>
  <c r="R114" i="60"/>
  <c r="AY114" i="60"/>
  <c r="AW114" i="60"/>
  <c r="AL114" i="60"/>
  <c r="AM114" i="60"/>
  <c r="AO114" i="60"/>
  <c r="AU114" i="60"/>
  <c r="P114" i="60"/>
  <c r="Y114" i="60"/>
  <c r="C417" i="52"/>
  <c r="Q345" i="52"/>
  <c r="S345" i="52" s="1"/>
  <c r="Q651" i="50"/>
  <c r="S649" i="50" s="1"/>
  <c r="H649" i="50"/>
  <c r="H651" i="50"/>
  <c r="Q645" i="52"/>
  <c r="S645" i="52" s="1"/>
  <c r="C717" i="52"/>
  <c r="Q717" i="52" s="1"/>
  <c r="S717" i="52" s="1"/>
  <c r="C574" i="52"/>
  <c r="Q502" i="52"/>
  <c r="S502" i="52" s="1"/>
  <c r="C488" i="52"/>
  <c r="Q416" i="52"/>
  <c r="S416" i="52" s="1"/>
  <c r="C559" i="52"/>
  <c r="Q487" i="52"/>
  <c r="S487" i="52" s="1"/>
  <c r="C115" i="60"/>
  <c r="I115" i="60"/>
  <c r="B116" i="60"/>
  <c r="E115" i="60"/>
  <c r="CJ115" i="60"/>
  <c r="D115" i="60"/>
  <c r="B357" i="52"/>
  <c r="B429" i="52" s="1"/>
  <c r="B501" i="52" s="1"/>
  <c r="B573" i="52" s="1"/>
  <c r="B645" i="52" s="1"/>
  <c r="B717" i="52" s="1"/>
  <c r="B286" i="52"/>
  <c r="S548" i="50"/>
  <c r="I548" i="50"/>
  <c r="M583" i="50"/>
  <c r="U583" i="50"/>
  <c r="T583" i="50"/>
  <c r="W471" i="50"/>
  <c r="V603" i="50"/>
  <c r="V601" i="50"/>
  <c r="V605" i="50"/>
  <c r="E589" i="50"/>
  <c r="V597" i="50"/>
  <c r="C656" i="52"/>
  <c r="Q584" i="52"/>
  <c r="S584" i="52" s="1"/>
  <c r="Q568" i="52"/>
  <c r="S568" i="52" s="1"/>
  <c r="C640" i="52"/>
  <c r="C618" i="52"/>
  <c r="Q546" i="52"/>
  <c r="S546" i="52" s="1"/>
  <c r="H586" i="50"/>
  <c r="Q615" i="50"/>
  <c r="H626" i="50"/>
  <c r="W626" i="50" s="1"/>
  <c r="H614" i="50"/>
  <c r="Q614" i="50"/>
  <c r="H627" i="50"/>
  <c r="W627" i="50" s="1"/>
  <c r="H623" i="50"/>
  <c r="W623" i="50" s="1"/>
  <c r="H587" i="50"/>
  <c r="Q627" i="50"/>
  <c r="Q624" i="50"/>
  <c r="H628" i="50"/>
  <c r="W628" i="50" s="1"/>
  <c r="H625" i="50"/>
  <c r="W625" i="50" s="1"/>
  <c r="Q628" i="50"/>
  <c r="Q625" i="50"/>
  <c r="Q626" i="50"/>
  <c r="Q623" i="50"/>
  <c r="H624" i="50"/>
  <c r="W624" i="50" s="1"/>
  <c r="W529" i="50"/>
  <c r="W533" i="50" s="1"/>
  <c r="Q523" i="50"/>
  <c r="O235" i="52"/>
  <c r="Q647" i="52"/>
  <c r="S647" i="52" s="1"/>
  <c r="C719" i="52"/>
  <c r="Q719" i="52" s="1"/>
  <c r="S719" i="52" s="1"/>
  <c r="W535" i="50"/>
  <c r="C630" i="52"/>
  <c r="Q558" i="52"/>
  <c r="S558" i="52" s="1"/>
  <c r="I286" i="38"/>
  <c r="W95" i="58"/>
  <c r="U96" i="58"/>
  <c r="C765" i="52"/>
  <c r="Q765" i="52" s="1"/>
  <c r="S765" i="52" s="1"/>
  <c r="Q693" i="52"/>
  <c r="S693" i="52" s="1"/>
  <c r="Q664" i="52"/>
  <c r="S664" i="52" s="1"/>
  <c r="C736" i="52"/>
  <c r="Q736" i="52" s="1"/>
  <c r="S736" i="52" s="1"/>
  <c r="Q555" i="52"/>
  <c r="S555" i="52" s="1"/>
  <c r="C627" i="52"/>
  <c r="C556" i="52"/>
  <c r="Q484" i="52"/>
  <c r="S484" i="52" s="1"/>
  <c r="Q642" i="52"/>
  <c r="S642" i="52" s="1"/>
  <c r="C714" i="52"/>
  <c r="Q714" i="52" s="1"/>
  <c r="S714" i="52" s="1"/>
  <c r="C650" i="52"/>
  <c r="Q578" i="52"/>
  <c r="S578" i="52" s="1"/>
  <c r="U242" i="58"/>
  <c r="W239" i="58"/>
  <c r="C579" i="52"/>
  <c r="Q507" i="52"/>
  <c r="S507" i="52" s="1"/>
  <c r="W383" i="58"/>
  <c r="U386" i="58"/>
  <c r="C697" i="52"/>
  <c r="Q697" i="52" s="1"/>
  <c r="S697" i="52" s="1"/>
  <c r="Q625" i="52"/>
  <c r="S625" i="52" s="1"/>
  <c r="B395" i="52"/>
  <c r="B467" i="52" s="1"/>
  <c r="B539" i="52" s="1"/>
  <c r="B611" i="52" s="1"/>
  <c r="B683" i="52" s="1"/>
  <c r="B755" i="52" s="1"/>
  <c r="B324" i="52"/>
  <c r="B291" i="52"/>
  <c r="B362" i="52"/>
  <c r="B434" i="52" s="1"/>
  <c r="B506" i="52" s="1"/>
  <c r="B578" i="52" s="1"/>
  <c r="B650" i="52" s="1"/>
  <c r="B722" i="52" s="1"/>
  <c r="G235" i="52"/>
  <c r="U171" i="58"/>
  <c r="W170" i="58"/>
  <c r="C744" i="52"/>
  <c r="Q744" i="52" s="1"/>
  <c r="S744" i="52" s="1"/>
  <c r="Q672" i="52"/>
  <c r="S672" i="52" s="1"/>
  <c r="B390" i="52"/>
  <c r="B462" i="52" s="1"/>
  <c r="B534" i="52" s="1"/>
  <c r="B606" i="52" s="1"/>
  <c r="B678" i="52" s="1"/>
  <c r="B750" i="52" s="1"/>
  <c r="B319" i="52"/>
  <c r="Q436" i="52"/>
  <c r="S436" i="52" s="1"/>
  <c r="C508" i="52"/>
  <c r="F288" i="38"/>
  <c r="H287" i="38"/>
  <c r="G287" i="38"/>
  <c r="C239" i="52"/>
  <c r="A240" i="52"/>
  <c r="U314" i="58"/>
  <c r="W311" i="58"/>
  <c r="Q618" i="52" l="1"/>
  <c r="S618" i="52" s="1"/>
  <c r="C690" i="52"/>
  <c r="Q640" i="52"/>
  <c r="S640" i="52" s="1"/>
  <c r="C712" i="52"/>
  <c r="Q712" i="52" s="1"/>
  <c r="S712" i="52" s="1"/>
  <c r="B358" i="52"/>
  <c r="B430" i="52" s="1"/>
  <c r="B502" i="52" s="1"/>
  <c r="B574" i="52" s="1"/>
  <c r="B646" i="52" s="1"/>
  <c r="B718" i="52" s="1"/>
  <c r="H234" i="52"/>
  <c r="Q680" i="50"/>
  <c r="H690" i="50"/>
  <c r="W690" i="50" s="1"/>
  <c r="Q690" i="50"/>
  <c r="Q694" i="50"/>
  <c r="H652" i="50"/>
  <c r="H694" i="50"/>
  <c r="W694" i="50" s="1"/>
  <c r="Q692" i="50"/>
  <c r="H691" i="50"/>
  <c r="W691" i="50" s="1"/>
  <c r="Q693" i="50"/>
  <c r="H693" i="50"/>
  <c r="W693" i="50" s="1"/>
  <c r="H680" i="50"/>
  <c r="Q689" i="50"/>
  <c r="H689" i="50"/>
  <c r="W689" i="50" s="1"/>
  <c r="H692" i="50"/>
  <c r="W692" i="50" s="1"/>
  <c r="Q691" i="50"/>
  <c r="Q681" i="50"/>
  <c r="H653" i="50"/>
  <c r="Q559" i="52"/>
  <c r="S559" i="52" s="1"/>
  <c r="C631" i="52"/>
  <c r="F235" i="52"/>
  <c r="J235" i="52"/>
  <c r="E235" i="52"/>
  <c r="I614" i="50"/>
  <c r="S614" i="50"/>
  <c r="W537" i="50"/>
  <c r="U649" i="50"/>
  <c r="T649" i="50"/>
  <c r="M649" i="50"/>
  <c r="V669" i="50"/>
  <c r="V663" i="50"/>
  <c r="V671" i="50"/>
  <c r="V667" i="50"/>
  <c r="E655" i="50"/>
  <c r="Q488" i="52"/>
  <c r="S488" i="52" s="1"/>
  <c r="C560" i="52"/>
  <c r="W531" i="50"/>
  <c r="H715" i="50"/>
  <c r="Q717" i="50"/>
  <c r="S715" i="50" s="1"/>
  <c r="H717" i="50"/>
  <c r="Q656" i="52"/>
  <c r="S656" i="52" s="1"/>
  <c r="C728" i="52"/>
  <c r="Q728" i="52" s="1"/>
  <c r="S728" i="52" s="1"/>
  <c r="AL115" i="60"/>
  <c r="AV115" i="60"/>
  <c r="U115" i="60"/>
  <c r="Y115" i="60"/>
  <c r="P115" i="60"/>
  <c r="AU115" i="60"/>
  <c r="AB115" i="60"/>
  <c r="AX115" i="60"/>
  <c r="AI115" i="60"/>
  <c r="AD115" i="60"/>
  <c r="S115" i="60"/>
  <c r="AM115" i="60"/>
  <c r="AE115" i="60"/>
  <c r="T115" i="60"/>
  <c r="F115" i="60"/>
  <c r="AA115" i="60"/>
  <c r="AN115" i="60"/>
  <c r="V115" i="60"/>
  <c r="AC115" i="60"/>
  <c r="BD115" i="60"/>
  <c r="X115" i="60"/>
  <c r="K115" i="60"/>
  <c r="AO115" i="60"/>
  <c r="L115" i="60"/>
  <c r="BC115" i="60"/>
  <c r="G115" i="60"/>
  <c r="AG115" i="60"/>
  <c r="N115" i="60"/>
  <c r="AW115" i="60"/>
  <c r="AF115" i="60"/>
  <c r="Q115" i="60"/>
  <c r="O115" i="60"/>
  <c r="AS115" i="60"/>
  <c r="R115" i="60"/>
  <c r="AK115" i="60"/>
  <c r="AT115" i="60"/>
  <c r="Z115" i="60"/>
  <c r="H115" i="60"/>
  <c r="AZ115" i="60"/>
  <c r="AQ115" i="60"/>
  <c r="AP115" i="60"/>
  <c r="BA115" i="60"/>
  <c r="AH115" i="60"/>
  <c r="AR115" i="60"/>
  <c r="AJ115" i="60"/>
  <c r="BB115" i="60"/>
  <c r="J115" i="60"/>
  <c r="M115" i="60"/>
  <c r="AY115" i="60"/>
  <c r="W115" i="60"/>
  <c r="W539" i="50"/>
  <c r="W595" i="50"/>
  <c r="Q589" i="50"/>
  <c r="E116" i="60"/>
  <c r="I116" i="60"/>
  <c r="CJ116" i="60"/>
  <c r="C116" i="60"/>
  <c r="B117" i="60"/>
  <c r="D116" i="60"/>
  <c r="Q574" i="52"/>
  <c r="S574" i="52" s="1"/>
  <c r="C646" i="52"/>
  <c r="Q417" i="52"/>
  <c r="S417" i="52" s="1"/>
  <c r="C489" i="52"/>
  <c r="C629" i="52"/>
  <c r="Q557" i="52"/>
  <c r="S557" i="52" s="1"/>
  <c r="C702" i="52"/>
  <c r="Q702" i="52" s="1"/>
  <c r="S702" i="52" s="1"/>
  <c r="Q630" i="52"/>
  <c r="S630" i="52" s="1"/>
  <c r="I287" i="38"/>
  <c r="C240" i="52"/>
  <c r="A241" i="52"/>
  <c r="B320" i="52"/>
  <c r="B391" i="52"/>
  <c r="B463" i="52" s="1"/>
  <c r="B535" i="52" s="1"/>
  <c r="B607" i="52" s="1"/>
  <c r="B679" i="52" s="1"/>
  <c r="B751" i="52" s="1"/>
  <c r="Q579" i="52"/>
  <c r="S579" i="52" s="1"/>
  <c r="C651" i="52"/>
  <c r="Q650" i="52"/>
  <c r="S650" i="52" s="1"/>
  <c r="C722" i="52"/>
  <c r="Q722" i="52" s="1"/>
  <c r="S722" i="52" s="1"/>
  <c r="F289" i="38"/>
  <c r="H288" i="38"/>
  <c r="G288" i="38"/>
  <c r="H170" i="58"/>
  <c r="I170" i="58"/>
  <c r="B396" i="52"/>
  <c r="B468" i="52" s="1"/>
  <c r="B540" i="52" s="1"/>
  <c r="B612" i="52" s="1"/>
  <c r="B684" i="52" s="1"/>
  <c r="B756" i="52" s="1"/>
  <c r="B325" i="52"/>
  <c r="B397" i="52" s="1"/>
  <c r="B469" i="52" s="1"/>
  <c r="B541" i="52" s="1"/>
  <c r="B613" i="52" s="1"/>
  <c r="B685" i="52" s="1"/>
  <c r="B757" i="52" s="1"/>
  <c r="W386" i="58"/>
  <c r="U387" i="58"/>
  <c r="U97" i="58"/>
  <c r="W96" i="58"/>
  <c r="W314" i="58"/>
  <c r="U315" i="58"/>
  <c r="Q508" i="52"/>
  <c r="S508" i="52" s="1"/>
  <c r="C580" i="52"/>
  <c r="U172" i="58"/>
  <c r="W171" i="58"/>
  <c r="B292" i="52"/>
  <c r="B363" i="52"/>
  <c r="B435" i="52" s="1"/>
  <c r="B507" i="52" s="1"/>
  <c r="B579" i="52" s="1"/>
  <c r="B651" i="52" s="1"/>
  <c r="B723" i="52" s="1"/>
  <c r="H235" i="52"/>
  <c r="W242" i="58"/>
  <c r="U243" i="58"/>
  <c r="C628" i="52"/>
  <c r="Q556" i="52"/>
  <c r="S556" i="52" s="1"/>
  <c r="H95" i="58"/>
  <c r="I95" i="58"/>
  <c r="Q627" i="52"/>
  <c r="S627" i="52" s="1"/>
  <c r="C699" i="52"/>
  <c r="Q699" i="52" s="1"/>
  <c r="S699" i="52" s="1"/>
  <c r="J116" i="60" l="1"/>
  <c r="BB116" i="60"/>
  <c r="AC116" i="60"/>
  <c r="AV116" i="60"/>
  <c r="S116" i="60"/>
  <c r="AY116" i="60"/>
  <c r="U116" i="60"/>
  <c r="Z116" i="60"/>
  <c r="AM116" i="60"/>
  <c r="AQ116" i="60"/>
  <c r="AH116" i="60"/>
  <c r="AR116" i="60"/>
  <c r="V116" i="60"/>
  <c r="F116" i="60"/>
  <c r="R116" i="60"/>
  <c r="K116" i="60"/>
  <c r="AT116" i="60"/>
  <c r="AS116" i="60"/>
  <c r="L116" i="60"/>
  <c r="AX116" i="60"/>
  <c r="H116" i="60"/>
  <c r="AP116" i="60"/>
  <c r="AK116" i="60"/>
  <c r="AL116" i="60"/>
  <c r="N116" i="60"/>
  <c r="Q116" i="60"/>
  <c r="G116" i="60"/>
  <c r="X116" i="60"/>
  <c r="AG116" i="60"/>
  <c r="BA116" i="60"/>
  <c r="AB116" i="60"/>
  <c r="M116" i="60"/>
  <c r="AO116" i="60"/>
  <c r="AE116" i="60"/>
  <c r="BC116" i="60"/>
  <c r="O116" i="60"/>
  <c r="T116" i="60"/>
  <c r="AA116" i="60"/>
  <c r="AI116" i="60"/>
  <c r="BD116" i="60"/>
  <c r="AW116" i="60"/>
  <c r="AZ116" i="60"/>
  <c r="W116" i="60"/>
  <c r="AD116" i="60"/>
  <c r="P116" i="60"/>
  <c r="Y116" i="60"/>
  <c r="AJ116" i="60"/>
  <c r="AU116" i="60"/>
  <c r="AF116" i="60"/>
  <c r="AN116" i="60"/>
  <c r="C718" i="52"/>
  <c r="Q718" i="52" s="1"/>
  <c r="S718" i="52" s="1"/>
  <c r="Q646" i="52"/>
  <c r="S646" i="52" s="1"/>
  <c r="H759" i="50"/>
  <c r="W759" i="50" s="1"/>
  <c r="Q760" i="50"/>
  <c r="Q746" i="50"/>
  <c r="H755" i="50"/>
  <c r="W755" i="50" s="1"/>
  <c r="Q759" i="50"/>
  <c r="H746" i="50"/>
  <c r="H719" i="50"/>
  <c r="Q756" i="50"/>
  <c r="H758" i="50"/>
  <c r="W758" i="50" s="1"/>
  <c r="Q758" i="50"/>
  <c r="Q757" i="50"/>
  <c r="H760" i="50"/>
  <c r="W760" i="50" s="1"/>
  <c r="H756" i="50"/>
  <c r="W756" i="50" s="1"/>
  <c r="H757" i="50"/>
  <c r="W757" i="50" s="1"/>
  <c r="H718" i="50"/>
  <c r="Q747" i="50"/>
  <c r="Q755" i="50"/>
  <c r="W599" i="50"/>
  <c r="W605" i="50"/>
  <c r="W603" i="50"/>
  <c r="M715" i="50"/>
  <c r="T715" i="50"/>
  <c r="U715" i="50"/>
  <c r="W663" i="50"/>
  <c r="W601" i="50"/>
  <c r="W597" i="50"/>
  <c r="V737" i="50"/>
  <c r="V733" i="50"/>
  <c r="V729" i="50"/>
  <c r="V735" i="50"/>
  <c r="E721" i="50"/>
  <c r="W669" i="50"/>
  <c r="C561" i="52"/>
  <c r="Q489" i="52"/>
  <c r="S489" i="52" s="1"/>
  <c r="E117" i="60"/>
  <c r="D117" i="60"/>
  <c r="B118" i="60"/>
  <c r="CJ117" i="60"/>
  <c r="C117" i="60"/>
  <c r="I117" i="60"/>
  <c r="W661" i="50"/>
  <c r="W665" i="50" s="1"/>
  <c r="Q655" i="50"/>
  <c r="C632" i="52"/>
  <c r="Q560" i="52"/>
  <c r="S560" i="52" s="1"/>
  <c r="C703" i="52"/>
  <c r="Q703" i="52" s="1"/>
  <c r="S703" i="52" s="1"/>
  <c r="Q631" i="52"/>
  <c r="S631" i="52" s="1"/>
  <c r="S680" i="50"/>
  <c r="I680" i="50"/>
  <c r="Q690" i="52"/>
  <c r="S690" i="52" s="1"/>
  <c r="C762" i="52"/>
  <c r="Q762" i="52" s="1"/>
  <c r="S762" i="52" s="1"/>
  <c r="Q629" i="52"/>
  <c r="S629" i="52" s="1"/>
  <c r="C701" i="52"/>
  <c r="Q701" i="52" s="1"/>
  <c r="S701" i="52" s="1"/>
  <c r="I288" i="38"/>
  <c r="U244" i="58"/>
  <c r="W243" i="58"/>
  <c r="C652" i="52"/>
  <c r="Q580" i="52"/>
  <c r="S580" i="52" s="1"/>
  <c r="H386" i="58"/>
  <c r="I386" i="58"/>
  <c r="F290" i="38"/>
  <c r="G289" i="38"/>
  <c r="H289" i="38" s="1"/>
  <c r="C723" i="52"/>
  <c r="Q723" i="52" s="1"/>
  <c r="S723" i="52" s="1"/>
  <c r="Q651" i="52"/>
  <c r="S651" i="52" s="1"/>
  <c r="I242" i="58"/>
  <c r="H242" i="58"/>
  <c r="B364" i="52"/>
  <c r="B436" i="52" s="1"/>
  <c r="B508" i="52" s="1"/>
  <c r="B580" i="52" s="1"/>
  <c r="B652" i="52" s="1"/>
  <c r="B724" i="52" s="1"/>
  <c r="I235" i="52"/>
  <c r="A242" i="52"/>
  <c r="C241" i="52"/>
  <c r="U316" i="58"/>
  <c r="W315" i="58"/>
  <c r="U100" i="58"/>
  <c r="W97" i="58"/>
  <c r="B294" i="52"/>
  <c r="O240" i="52" s="1"/>
  <c r="C700" i="52"/>
  <c r="Q700" i="52" s="1"/>
  <c r="S700" i="52" s="1"/>
  <c r="Q628" i="52"/>
  <c r="S628" i="52" s="1"/>
  <c r="W172" i="58"/>
  <c r="U175" i="58"/>
  <c r="H314" i="58"/>
  <c r="I314" i="58"/>
  <c r="W387" i="58"/>
  <c r="U388" i="58"/>
  <c r="B392" i="52"/>
  <c r="B464" i="52" s="1"/>
  <c r="B536" i="52" s="1"/>
  <c r="B608" i="52" s="1"/>
  <c r="B680" i="52" s="1"/>
  <c r="B752" i="52" s="1"/>
  <c r="B321" i="52"/>
  <c r="B393" i="52" s="1"/>
  <c r="B465" i="52" s="1"/>
  <c r="B537" i="52" s="1"/>
  <c r="B609" i="52" s="1"/>
  <c r="B681" i="52" s="1"/>
  <c r="B753" i="52" s="1"/>
  <c r="Q561" i="52" l="1"/>
  <c r="S561" i="52" s="1"/>
  <c r="C633" i="52"/>
  <c r="W671" i="50"/>
  <c r="I118" i="60"/>
  <c r="D118" i="60"/>
  <c r="CJ118" i="60"/>
  <c r="B119" i="60"/>
  <c r="C118" i="60"/>
  <c r="E118" i="60"/>
  <c r="W727" i="50"/>
  <c r="W731" i="50" s="1"/>
  <c r="Q721" i="50"/>
  <c r="I746" i="50"/>
  <c r="S746" i="50"/>
  <c r="W667" i="50"/>
  <c r="C704" i="52"/>
  <c r="Q704" i="52" s="1"/>
  <c r="S704" i="52" s="1"/>
  <c r="Q632" i="52"/>
  <c r="S632" i="52" s="1"/>
  <c r="AP117" i="60"/>
  <c r="AB117" i="60"/>
  <c r="AE117" i="60"/>
  <c r="W117" i="60"/>
  <c r="O117" i="60"/>
  <c r="AA117" i="60"/>
  <c r="AL117" i="60"/>
  <c r="P117" i="60"/>
  <c r="BC117" i="60"/>
  <c r="AU117" i="60"/>
  <c r="V117" i="60"/>
  <c r="T117" i="60"/>
  <c r="Q117" i="60"/>
  <c r="AI117" i="60"/>
  <c r="N117" i="60"/>
  <c r="AV117" i="60"/>
  <c r="G117" i="60"/>
  <c r="AX117" i="60"/>
  <c r="M117" i="60"/>
  <c r="J117" i="60"/>
  <c r="AO117" i="60"/>
  <c r="BB117" i="60"/>
  <c r="AS117" i="60"/>
  <c r="AN117" i="60"/>
  <c r="AM117" i="60"/>
  <c r="AY117" i="60"/>
  <c r="Y117" i="60"/>
  <c r="S117" i="60"/>
  <c r="X117" i="60"/>
  <c r="AG117" i="60"/>
  <c r="AW117" i="60"/>
  <c r="Z117" i="60"/>
  <c r="BA117" i="60"/>
  <c r="U117" i="60"/>
  <c r="F117" i="60"/>
  <c r="BD117" i="60"/>
  <c r="AZ117" i="60"/>
  <c r="L117" i="60"/>
  <c r="AJ117" i="60"/>
  <c r="R117" i="60"/>
  <c r="AT117" i="60"/>
  <c r="AF117" i="60"/>
  <c r="AD117" i="60"/>
  <c r="K117" i="60"/>
  <c r="AH117" i="60"/>
  <c r="AR117" i="60"/>
  <c r="H117" i="60"/>
  <c r="AC117" i="60"/>
  <c r="AQ117" i="60"/>
  <c r="AK117" i="60"/>
  <c r="W737" i="50"/>
  <c r="W388" i="58"/>
  <c r="U391" i="58"/>
  <c r="U176" i="58"/>
  <c r="W175" i="58"/>
  <c r="B295" i="52"/>
  <c r="B366" i="52"/>
  <c r="B438" i="52" s="1"/>
  <c r="B510" i="52" s="1"/>
  <c r="B582" i="52" s="1"/>
  <c r="B654" i="52" s="1"/>
  <c r="B726" i="52" s="1"/>
  <c r="K235" i="52"/>
  <c r="U319" i="58"/>
  <c r="W316" i="58"/>
  <c r="F291" i="38"/>
  <c r="G290" i="38"/>
  <c r="H290" i="38" s="1"/>
  <c r="Q652" i="52"/>
  <c r="S652" i="52" s="1"/>
  <c r="C724" i="52"/>
  <c r="Q724" i="52" s="1"/>
  <c r="S724" i="52" s="1"/>
  <c r="F240" i="52"/>
  <c r="E240" i="52"/>
  <c r="B298" i="52"/>
  <c r="I240" i="52" s="1"/>
  <c r="U101" i="58"/>
  <c r="W100" i="58"/>
  <c r="C242" i="52"/>
  <c r="A243" i="52"/>
  <c r="U247" i="58"/>
  <c r="W244" i="58"/>
  <c r="E119" i="60" l="1"/>
  <c r="D119" i="60"/>
  <c r="CJ119" i="60"/>
  <c r="B120" i="60"/>
  <c r="I119" i="60"/>
  <c r="C119" i="60"/>
  <c r="W735" i="50"/>
  <c r="W729" i="50"/>
  <c r="AC118" i="60"/>
  <c r="P118" i="60"/>
  <c r="H118" i="60"/>
  <c r="AM118" i="60"/>
  <c r="V118" i="60"/>
  <c r="AW118" i="60"/>
  <c r="AE118" i="60"/>
  <c r="W118" i="60"/>
  <c r="AA118" i="60"/>
  <c r="AD118" i="60"/>
  <c r="AL118" i="60"/>
  <c r="AS118" i="60"/>
  <c r="M118" i="60"/>
  <c r="AO118" i="60"/>
  <c r="Z118" i="60"/>
  <c r="AX118" i="60"/>
  <c r="AB118" i="60"/>
  <c r="R118" i="60"/>
  <c r="BC118" i="60"/>
  <c r="BA118" i="60"/>
  <c r="Q118" i="60"/>
  <c r="X118" i="60"/>
  <c r="T118" i="60"/>
  <c r="U118" i="60"/>
  <c r="AT118" i="60"/>
  <c r="AN118" i="60"/>
  <c r="S118" i="60"/>
  <c r="AP118" i="60"/>
  <c r="AJ118" i="60"/>
  <c r="AK118" i="60"/>
  <c r="O118" i="60"/>
  <c r="AI118" i="60"/>
  <c r="L118" i="60"/>
  <c r="AH118" i="60"/>
  <c r="BB118" i="60"/>
  <c r="AF118" i="60"/>
  <c r="K118" i="60"/>
  <c r="AG118" i="60"/>
  <c r="N118" i="60"/>
  <c r="Y118" i="60"/>
  <c r="AQ118" i="60"/>
  <c r="AV118" i="60"/>
  <c r="AU118" i="60"/>
  <c r="F118" i="60"/>
  <c r="G118" i="60"/>
  <c r="J118" i="60"/>
  <c r="AZ118" i="60"/>
  <c r="BD118" i="60"/>
  <c r="AY118" i="60"/>
  <c r="AR118" i="60"/>
  <c r="C705" i="52"/>
  <c r="Q705" i="52" s="1"/>
  <c r="S705" i="52" s="1"/>
  <c r="Q633" i="52"/>
  <c r="S633" i="52" s="1"/>
  <c r="W733" i="50"/>
  <c r="I100" i="58"/>
  <c r="H100" i="58"/>
  <c r="U177" i="58"/>
  <c r="W176" i="58"/>
  <c r="W247" i="58"/>
  <c r="U248" i="58"/>
  <c r="U102" i="58"/>
  <c r="W101" i="58"/>
  <c r="W319" i="58"/>
  <c r="U320" i="58"/>
  <c r="W391" i="58"/>
  <c r="U392" i="58"/>
  <c r="B367" i="52"/>
  <c r="B439" i="52" s="1"/>
  <c r="B511" i="52" s="1"/>
  <c r="B583" i="52" s="1"/>
  <c r="B655" i="52" s="1"/>
  <c r="B727" i="52" s="1"/>
  <c r="B296" i="52"/>
  <c r="C243" i="52"/>
  <c r="A244" i="52"/>
  <c r="B304" i="52"/>
  <c r="B303" i="52"/>
  <c r="B375" i="52" s="1"/>
  <c r="B447" i="52" s="1"/>
  <c r="B519" i="52" s="1"/>
  <c r="B591" i="52" s="1"/>
  <c r="B663" i="52" s="1"/>
  <c r="B735" i="52" s="1"/>
  <c r="B370" i="52"/>
  <c r="B442" i="52" s="1"/>
  <c r="B514" i="52" s="1"/>
  <c r="B586" i="52" s="1"/>
  <c r="B658" i="52" s="1"/>
  <c r="B730" i="52" s="1"/>
  <c r="B299" i="52"/>
  <c r="B301" i="52"/>
  <c r="F292" i="38"/>
  <c r="G291" i="38"/>
  <c r="H291" i="38" s="1"/>
  <c r="I175" i="58"/>
  <c r="H175" i="58"/>
  <c r="I120" i="60" l="1"/>
  <c r="C120" i="60"/>
  <c r="E120" i="60"/>
  <c r="D120" i="60"/>
  <c r="CJ120" i="60"/>
  <c r="AZ119" i="60"/>
  <c r="J119" i="60"/>
  <c r="X119" i="60"/>
  <c r="AJ119" i="60"/>
  <c r="Y119" i="60"/>
  <c r="BA119" i="60"/>
  <c r="AG119" i="60"/>
  <c r="AL119" i="60"/>
  <c r="G119" i="60"/>
  <c r="AB119" i="60"/>
  <c r="AF119" i="60"/>
  <c r="AS119" i="60"/>
  <c r="AR119" i="60"/>
  <c r="U119" i="60"/>
  <c r="AN119" i="60"/>
  <c r="AV119" i="60"/>
  <c r="S119" i="60"/>
  <c r="K119" i="60"/>
  <c r="AP119" i="60"/>
  <c r="AI119" i="60"/>
  <c r="M119" i="60"/>
  <c r="R119" i="60"/>
  <c r="AU119" i="60"/>
  <c r="AC119" i="60"/>
  <c r="V119" i="60"/>
  <c r="AT119" i="60"/>
  <c r="P119" i="60"/>
  <c r="H119" i="60"/>
  <c r="BB119" i="60"/>
  <c r="AM119" i="60"/>
  <c r="O119" i="60"/>
  <c r="Q119" i="60"/>
  <c r="AY119" i="60"/>
  <c r="F119" i="60"/>
  <c r="AW119" i="60"/>
  <c r="W119" i="60"/>
  <c r="AH119" i="60"/>
  <c r="AO119" i="60"/>
  <c r="Z119" i="60"/>
  <c r="N119" i="60"/>
  <c r="AD119" i="60"/>
  <c r="T119" i="60"/>
  <c r="AA119" i="60"/>
  <c r="AE119" i="60"/>
  <c r="AX119" i="60"/>
  <c r="L119" i="60"/>
  <c r="BD119" i="60"/>
  <c r="AK119" i="60"/>
  <c r="AQ119" i="60"/>
  <c r="BC119" i="60"/>
  <c r="B300" i="52"/>
  <c r="O243" i="52" s="1"/>
  <c r="B371" i="52"/>
  <c r="B443" i="52" s="1"/>
  <c r="B515" i="52" s="1"/>
  <c r="B587" i="52" s="1"/>
  <c r="B659" i="52" s="1"/>
  <c r="B731" i="52" s="1"/>
  <c r="J240" i="52"/>
  <c r="B376" i="52"/>
  <c r="B448" i="52" s="1"/>
  <c r="B520" i="52" s="1"/>
  <c r="B592" i="52" s="1"/>
  <c r="B664" i="52" s="1"/>
  <c r="B736" i="52" s="1"/>
  <c r="B305" i="52"/>
  <c r="B377" i="52" s="1"/>
  <c r="B449" i="52" s="1"/>
  <c r="B521" i="52" s="1"/>
  <c r="B593" i="52" s="1"/>
  <c r="B665" i="52" s="1"/>
  <c r="B737" i="52" s="1"/>
  <c r="B297" i="52"/>
  <c r="B368" i="52"/>
  <c r="B440" i="52" s="1"/>
  <c r="B512" i="52" s="1"/>
  <c r="B584" i="52" s="1"/>
  <c r="B656" i="52" s="1"/>
  <c r="B728" i="52" s="1"/>
  <c r="G240" i="52"/>
  <c r="O241" i="52"/>
  <c r="U321" i="58"/>
  <c r="W320" i="58"/>
  <c r="U105" i="58"/>
  <c r="W102" i="58"/>
  <c r="U180" i="58"/>
  <c r="W177" i="58"/>
  <c r="C244" i="52"/>
  <c r="A245" i="52"/>
  <c r="I319" i="58"/>
  <c r="H319" i="58"/>
  <c r="U249" i="58"/>
  <c r="W248" i="58"/>
  <c r="F293" i="38"/>
  <c r="G292" i="38"/>
  <c r="H292" i="38" s="1"/>
  <c r="B306" i="52"/>
  <c r="U393" i="58"/>
  <c r="W392" i="58"/>
  <c r="I247" i="58"/>
  <c r="H247" i="58"/>
  <c r="B302" i="52"/>
  <c r="B374" i="52" s="1"/>
  <c r="B446" i="52" s="1"/>
  <c r="B518" i="52" s="1"/>
  <c r="B590" i="52" s="1"/>
  <c r="B662" i="52" s="1"/>
  <c r="B734" i="52" s="1"/>
  <c r="B373" i="52"/>
  <c r="B445" i="52" s="1"/>
  <c r="B517" i="52" s="1"/>
  <c r="B589" i="52" s="1"/>
  <c r="B661" i="52" s="1"/>
  <c r="B733" i="52" s="1"/>
  <c r="H391" i="58"/>
  <c r="I391" i="58"/>
  <c r="AP120" i="60" l="1"/>
  <c r="AQ120" i="60"/>
  <c r="V120" i="60"/>
  <c r="AU120" i="60"/>
  <c r="R120" i="60"/>
  <c r="AD120" i="60"/>
  <c r="Q120" i="60"/>
  <c r="BB120" i="60"/>
  <c r="J120" i="60"/>
  <c r="U120" i="60"/>
  <c r="AB120" i="60"/>
  <c r="AM120" i="60"/>
  <c r="AV120" i="60"/>
  <c r="BC120" i="60"/>
  <c r="M120" i="60"/>
  <c r="AR120" i="60"/>
  <c r="AY120" i="60"/>
  <c r="S120" i="60"/>
  <c r="AX120" i="60"/>
  <c r="AF120" i="60"/>
  <c r="T120" i="60"/>
  <c r="AO120" i="60"/>
  <c r="AG120" i="60"/>
  <c r="AC120" i="60"/>
  <c r="AS120" i="60"/>
  <c r="Y120" i="60"/>
  <c r="N120" i="60"/>
  <c r="AZ120" i="60"/>
  <c r="BA120" i="60"/>
  <c r="AA120" i="60"/>
  <c r="AI120" i="60"/>
  <c r="K120" i="60"/>
  <c r="H120" i="60"/>
  <c r="Z120" i="60"/>
  <c r="O120" i="60"/>
  <c r="F120" i="60"/>
  <c r="AJ120" i="60"/>
  <c r="AL120" i="60"/>
  <c r="AW120" i="60"/>
  <c r="L120" i="60"/>
  <c r="W120" i="60"/>
  <c r="AK120" i="60"/>
  <c r="P120" i="60"/>
  <c r="AE120" i="60"/>
  <c r="AH120" i="60"/>
  <c r="AT120" i="60"/>
  <c r="X120" i="60"/>
  <c r="BD120" i="60"/>
  <c r="AN120" i="60"/>
  <c r="G120" i="60"/>
  <c r="E243" i="52"/>
  <c r="C245" i="52"/>
  <c r="A246" i="52"/>
  <c r="W180" i="58"/>
  <c r="U181" i="58"/>
  <c r="U324" i="58"/>
  <c r="W321" i="58"/>
  <c r="K241" i="52"/>
  <c r="H241" i="52"/>
  <c r="E241" i="52"/>
  <c r="F241" i="52"/>
  <c r="J241" i="52"/>
  <c r="I241" i="52"/>
  <c r="G241" i="52"/>
  <c r="B369" i="52"/>
  <c r="B441" i="52" s="1"/>
  <c r="B513" i="52" s="1"/>
  <c r="B585" i="52" s="1"/>
  <c r="B657" i="52" s="1"/>
  <c r="B729" i="52" s="1"/>
  <c r="H240" i="52"/>
  <c r="O242" i="52"/>
  <c r="U396" i="58"/>
  <c r="W393" i="58"/>
  <c r="U106" i="58"/>
  <c r="W105" i="58"/>
  <c r="B372" i="52"/>
  <c r="B444" i="52" s="1"/>
  <c r="B516" i="52" s="1"/>
  <c r="B588" i="52" s="1"/>
  <c r="B660" i="52" s="1"/>
  <c r="B732" i="52" s="1"/>
  <c r="K240" i="52"/>
  <c r="W249" i="58"/>
  <c r="U252" i="58"/>
  <c r="B307" i="52"/>
  <c r="B378" i="52"/>
  <c r="B450" i="52" s="1"/>
  <c r="B522" i="52" s="1"/>
  <c r="B594" i="52" s="1"/>
  <c r="B666" i="52" s="1"/>
  <c r="B738" i="52" s="1"/>
  <c r="F294" i="38"/>
  <c r="G293" i="38"/>
  <c r="H293" i="38" s="1"/>
  <c r="B379" i="52" l="1"/>
  <c r="B451" i="52" s="1"/>
  <c r="B523" i="52" s="1"/>
  <c r="B595" i="52" s="1"/>
  <c r="B667" i="52" s="1"/>
  <c r="B739" i="52" s="1"/>
  <c r="B308" i="52"/>
  <c r="W252" i="58"/>
  <c r="U253" i="58"/>
  <c r="H105" i="58"/>
  <c r="I105" i="58"/>
  <c r="U182" i="58"/>
  <c r="W181" i="58"/>
  <c r="F295" i="38"/>
  <c r="G294" i="38"/>
  <c r="H294" i="38" s="1"/>
  <c r="U107" i="58"/>
  <c r="W106" i="58"/>
  <c r="W396" i="58"/>
  <c r="U397" i="58"/>
  <c r="I180" i="58"/>
  <c r="H180" i="58"/>
  <c r="I242" i="52"/>
  <c r="I244" i="52" s="1"/>
  <c r="H242" i="52"/>
  <c r="H244" i="52" s="1"/>
  <c r="F242" i="52"/>
  <c r="F244" i="52" s="1"/>
  <c r="J242" i="52"/>
  <c r="J244" i="52" s="1"/>
  <c r="E242" i="52"/>
  <c r="E244" i="52" s="1"/>
  <c r="G242" i="52"/>
  <c r="G244" i="52" s="1"/>
  <c r="A247" i="52"/>
  <c r="C246" i="52"/>
  <c r="U325" i="58"/>
  <c r="W324" i="58"/>
  <c r="F243" i="52"/>
  <c r="B311" i="52" l="1"/>
  <c r="A248" i="52"/>
  <c r="C247" i="52"/>
  <c r="W397" i="58"/>
  <c r="U398" i="58"/>
  <c r="U185" i="58"/>
  <c r="W182" i="58"/>
  <c r="H252" i="58"/>
  <c r="I252" i="58"/>
  <c r="H324" i="58"/>
  <c r="I324" i="58"/>
  <c r="B309" i="52"/>
  <c r="B380" i="52"/>
  <c r="B452" i="52" s="1"/>
  <c r="B524" i="52" s="1"/>
  <c r="B596" i="52" s="1"/>
  <c r="B668" i="52" s="1"/>
  <c r="B740" i="52" s="1"/>
  <c r="G243" i="52"/>
  <c r="H396" i="58"/>
  <c r="I396" i="58"/>
  <c r="W325" i="58"/>
  <c r="U326" i="58"/>
  <c r="F296" i="38"/>
  <c r="G295" i="38"/>
  <c r="H295" i="38" s="1"/>
  <c r="W107" i="58"/>
  <c r="U110" i="58"/>
  <c r="U254" i="58"/>
  <c r="W253" i="58"/>
  <c r="U111" i="58" l="1"/>
  <c r="W110" i="58"/>
  <c r="W185" i="58"/>
  <c r="U186" i="58"/>
  <c r="U257" i="58"/>
  <c r="W254" i="58"/>
  <c r="F297" i="38"/>
  <c r="G296" i="38"/>
  <c r="H296" i="38" s="1"/>
  <c r="B310" i="52"/>
  <c r="B381" i="52"/>
  <c r="B453" i="52" s="1"/>
  <c r="B525" i="52" s="1"/>
  <c r="B597" i="52" s="1"/>
  <c r="B669" i="52" s="1"/>
  <c r="B741" i="52" s="1"/>
  <c r="H243" i="52"/>
  <c r="K242" i="52"/>
  <c r="K244" i="52" s="1"/>
  <c r="U401" i="58"/>
  <c r="W398" i="58"/>
  <c r="A249" i="52"/>
  <c r="C248" i="52"/>
  <c r="W326" i="58"/>
  <c r="U329" i="58"/>
  <c r="B383" i="52"/>
  <c r="B455" i="52" s="1"/>
  <c r="B527" i="52" s="1"/>
  <c r="B599" i="52" s="1"/>
  <c r="B671" i="52" s="1"/>
  <c r="B743" i="52" s="1"/>
  <c r="J243" i="52"/>
  <c r="O248" i="52" l="1"/>
  <c r="B312" i="52"/>
  <c r="W329" i="58"/>
  <c r="U330" i="58"/>
  <c r="A250" i="52"/>
  <c r="C249" i="52"/>
  <c r="B382" i="52"/>
  <c r="B454" i="52" s="1"/>
  <c r="B526" i="52" s="1"/>
  <c r="B598" i="52" s="1"/>
  <c r="B670" i="52" s="1"/>
  <c r="B742" i="52" s="1"/>
  <c r="I243" i="52"/>
  <c r="O246" i="52"/>
  <c r="U258" i="58"/>
  <c r="W257" i="58"/>
  <c r="H110" i="58"/>
  <c r="I110" i="58"/>
  <c r="U402" i="58"/>
  <c r="W401" i="58"/>
  <c r="G297" i="38"/>
  <c r="H297" i="38" s="1"/>
  <c r="F298" i="38"/>
  <c r="W186" i="58"/>
  <c r="U187" i="58"/>
  <c r="W111" i="58"/>
  <c r="U112" i="58"/>
  <c r="I185" i="58"/>
  <c r="H185" i="58"/>
  <c r="U193" i="58" l="1"/>
  <c r="W187" i="58"/>
  <c r="U259" i="58"/>
  <c r="W258" i="58"/>
  <c r="H329" i="58"/>
  <c r="I329" i="58"/>
  <c r="B384" i="52"/>
  <c r="B456" i="52" s="1"/>
  <c r="B528" i="52" s="1"/>
  <c r="B600" i="52" s="1"/>
  <c r="B672" i="52" s="1"/>
  <c r="B744" i="52" s="1"/>
  <c r="K243" i="52"/>
  <c r="H401" i="58"/>
  <c r="I401" i="58"/>
  <c r="C250" i="52"/>
  <c r="A251" i="52"/>
  <c r="K248" i="52"/>
  <c r="E248" i="52"/>
  <c r="J248" i="52"/>
  <c r="K246" i="52"/>
  <c r="K247" i="52" s="1"/>
  <c r="E246" i="52"/>
  <c r="E247" i="52" s="1"/>
  <c r="F246" i="52"/>
  <c r="F247" i="52" s="1"/>
  <c r="U118" i="58"/>
  <c r="W112" i="58"/>
  <c r="G298" i="38"/>
  <c r="H298" i="38" s="1"/>
  <c r="F299" i="38"/>
  <c r="W402" i="58"/>
  <c r="U403" i="58"/>
  <c r="H257" i="58"/>
  <c r="I257" i="58"/>
  <c r="U331" i="58"/>
  <c r="W330" i="58"/>
  <c r="W403" i="58" l="1"/>
  <c r="U409" i="58"/>
  <c r="U337" i="58"/>
  <c r="W331" i="58"/>
  <c r="A252" i="52"/>
  <c r="C251" i="52"/>
  <c r="U119" i="58"/>
  <c r="W118" i="58"/>
  <c r="W259" i="58"/>
  <c r="U265" i="58"/>
  <c r="U194" i="58"/>
  <c r="W193" i="58"/>
  <c r="F300" i="38"/>
  <c r="G299" i="38"/>
  <c r="H299" i="38" s="1"/>
  <c r="W409" i="58" l="1"/>
  <c r="U410" i="58"/>
  <c r="A253" i="52"/>
  <c r="C252" i="52"/>
  <c r="F301" i="38"/>
  <c r="G300" i="38"/>
  <c r="H300" i="38" s="1"/>
  <c r="W265" i="58"/>
  <c r="U266" i="58"/>
  <c r="U195" i="58"/>
  <c r="W194" i="58"/>
  <c r="U120" i="58"/>
  <c r="W119" i="58"/>
  <c r="U338" i="58"/>
  <c r="W337" i="58"/>
  <c r="U411" i="58" l="1"/>
  <c r="W410" i="58"/>
  <c r="W120" i="58"/>
  <c r="U125" i="58"/>
  <c r="U267" i="58"/>
  <c r="W266" i="58"/>
  <c r="F302" i="38"/>
  <c r="G301" i="38"/>
  <c r="H301" i="38" s="1"/>
  <c r="U339" i="58"/>
  <c r="W338" i="58"/>
  <c r="O252" i="52"/>
  <c r="B313" i="52"/>
  <c r="U200" i="58"/>
  <c r="W195" i="58"/>
  <c r="C253" i="52"/>
  <c r="A254" i="52"/>
  <c r="A255" i="52" l="1"/>
  <c r="C254" i="52"/>
  <c r="U201" i="58"/>
  <c r="W200" i="58"/>
  <c r="B385" i="52"/>
  <c r="B457" i="52" s="1"/>
  <c r="B529" i="52" s="1"/>
  <c r="B601" i="52" s="1"/>
  <c r="B673" i="52" s="1"/>
  <c r="B745" i="52" s="1"/>
  <c r="G246" i="52"/>
  <c r="G247" i="52" s="1"/>
  <c r="F248" i="52"/>
  <c r="B316" i="52"/>
  <c r="U344" i="58"/>
  <c r="W339" i="58"/>
  <c r="U272" i="58"/>
  <c r="W267" i="58"/>
  <c r="W411" i="58"/>
  <c r="U416" i="58"/>
  <c r="K252" i="52"/>
  <c r="H252" i="52"/>
  <c r="I252" i="52"/>
  <c r="J252" i="52"/>
  <c r="E252" i="52"/>
  <c r="G302" i="38"/>
  <c r="H302" i="38" s="1"/>
  <c r="F303" i="38"/>
  <c r="U126" i="58"/>
  <c r="W125" i="58"/>
  <c r="U417" i="58" l="1"/>
  <c r="W416" i="58"/>
  <c r="B388" i="52"/>
  <c r="B460" i="52" s="1"/>
  <c r="B532" i="52" s="1"/>
  <c r="B604" i="52" s="1"/>
  <c r="B676" i="52" s="1"/>
  <c r="B748" i="52" s="1"/>
  <c r="I248" i="52"/>
  <c r="J246" i="52"/>
  <c r="J247" i="52" s="1"/>
  <c r="O254" i="52"/>
  <c r="B314" i="52"/>
  <c r="W126" i="58"/>
  <c r="U127" i="58"/>
  <c r="W344" i="58"/>
  <c r="U345" i="58"/>
  <c r="A256" i="52"/>
  <c r="C255" i="52"/>
  <c r="G303" i="38"/>
  <c r="H303" i="38" s="1"/>
  <c r="F304" i="38"/>
  <c r="W272" i="58"/>
  <c r="U273" i="58"/>
  <c r="U202" i="58"/>
  <c r="W201" i="58"/>
  <c r="W345" i="58" l="1"/>
  <c r="U346" i="58"/>
  <c r="B386" i="52"/>
  <c r="B458" i="52" s="1"/>
  <c r="B530" i="52" s="1"/>
  <c r="B602" i="52" s="1"/>
  <c r="B674" i="52" s="1"/>
  <c r="B746" i="52" s="1"/>
  <c r="B315" i="52"/>
  <c r="H246" i="52"/>
  <c r="H247" i="52" s="1"/>
  <c r="G248" i="52"/>
  <c r="O253" i="52"/>
  <c r="F252" i="52"/>
  <c r="G254" i="52"/>
  <c r="K254" i="52"/>
  <c r="I254" i="52"/>
  <c r="J254" i="52"/>
  <c r="F254" i="52"/>
  <c r="H254" i="52"/>
  <c r="E254" i="52"/>
  <c r="B322" i="52"/>
  <c r="O255" i="52"/>
  <c r="U208" i="58"/>
  <c r="W202" i="58"/>
  <c r="G304" i="38"/>
  <c r="H304" i="38" s="1"/>
  <c r="F305" i="38"/>
  <c r="C256" i="52"/>
  <c r="A257" i="52"/>
  <c r="U133" i="58"/>
  <c r="W127" i="58"/>
  <c r="W417" i="58"/>
  <c r="U418" i="58"/>
  <c r="U274" i="58"/>
  <c r="W273" i="58"/>
  <c r="E253" i="52" l="1"/>
  <c r="G253" i="52"/>
  <c r="F253" i="52"/>
  <c r="H253" i="52"/>
  <c r="I253" i="52"/>
  <c r="J253" i="52"/>
  <c r="K253" i="52"/>
  <c r="U280" i="58"/>
  <c r="W274" i="58"/>
  <c r="B326" i="52"/>
  <c r="O256" i="52"/>
  <c r="F306" i="38"/>
  <c r="G305" i="38"/>
  <c r="H305" i="38" s="1"/>
  <c r="U213" i="58"/>
  <c r="W208" i="58"/>
  <c r="U352" i="58"/>
  <c r="W346" i="58"/>
  <c r="E255" i="52"/>
  <c r="G255" i="52"/>
  <c r="F255" i="52"/>
  <c r="H255" i="52"/>
  <c r="I255" i="52"/>
  <c r="W133" i="58"/>
  <c r="U139" i="58"/>
  <c r="U424" i="58"/>
  <c r="W418" i="58"/>
  <c r="C257" i="52"/>
  <c r="A258" i="52"/>
  <c r="C258" i="52" s="1"/>
  <c r="B394" i="52"/>
  <c r="B466" i="52" s="1"/>
  <c r="B538" i="52" s="1"/>
  <c r="B610" i="52" s="1"/>
  <c r="B682" i="52" s="1"/>
  <c r="B754" i="52" s="1"/>
  <c r="O231" i="52"/>
  <c r="B387" i="52"/>
  <c r="B459" i="52" s="1"/>
  <c r="B531" i="52" s="1"/>
  <c r="B603" i="52" s="1"/>
  <c r="B675" i="52" s="1"/>
  <c r="B747" i="52" s="1"/>
  <c r="I246" i="52"/>
  <c r="I247" i="52" s="1"/>
  <c r="H248" i="52"/>
  <c r="G252" i="52"/>
  <c r="U429" i="58" l="1"/>
  <c r="W424" i="58"/>
  <c r="G306" i="38"/>
  <c r="H306" i="38" s="1"/>
  <c r="F307" i="38"/>
  <c r="U285" i="58"/>
  <c r="W280" i="58"/>
  <c r="B331" i="52"/>
  <c r="W139" i="58"/>
  <c r="U140" i="58"/>
  <c r="U214" i="58"/>
  <c r="W213" i="58"/>
  <c r="E256" i="52"/>
  <c r="J256" i="52"/>
  <c r="O257" i="52"/>
  <c r="B327" i="52"/>
  <c r="F256" i="52" s="1"/>
  <c r="B398" i="52"/>
  <c r="B470" i="52" s="1"/>
  <c r="B542" i="52" s="1"/>
  <c r="B614" i="52" s="1"/>
  <c r="B686" i="52" s="1"/>
  <c r="B758" i="52" s="1"/>
  <c r="U357" i="58"/>
  <c r="W352" i="58"/>
  <c r="U141" i="58" l="1"/>
  <c r="W140" i="58"/>
  <c r="I257" i="52"/>
  <c r="E257" i="52"/>
  <c r="W357" i="58"/>
  <c r="U358" i="58"/>
  <c r="B328" i="52"/>
  <c r="B399" i="52"/>
  <c r="B471" i="52" s="1"/>
  <c r="B543" i="52" s="1"/>
  <c r="B615" i="52" s="1"/>
  <c r="B687" i="52" s="1"/>
  <c r="B759" i="52" s="1"/>
  <c r="J255" i="52"/>
  <c r="U286" i="58"/>
  <c r="W285" i="58"/>
  <c r="U430" i="58"/>
  <c r="W429" i="58"/>
  <c r="W214" i="58"/>
  <c r="U215" i="58"/>
  <c r="B403" i="52"/>
  <c r="B475" i="52" s="1"/>
  <c r="B547" i="52" s="1"/>
  <c r="B619" i="52" s="1"/>
  <c r="B691" i="52" s="1"/>
  <c r="B763" i="52" s="1"/>
  <c r="B332" i="52"/>
  <c r="G307" i="38"/>
  <c r="H307" i="38" s="1"/>
  <c r="F308" i="38"/>
  <c r="G308" i="38" l="1"/>
  <c r="H308" i="38" s="1"/>
  <c r="F309" i="38"/>
  <c r="B333" i="52"/>
  <c r="B404" i="52"/>
  <c r="B476" i="52" s="1"/>
  <c r="B548" i="52" s="1"/>
  <c r="B620" i="52" s="1"/>
  <c r="B692" i="52" s="1"/>
  <c r="B764" i="52" s="1"/>
  <c r="K256" i="52"/>
  <c r="J257" i="52"/>
  <c r="U431" i="58"/>
  <c r="W430" i="58"/>
  <c r="W215" i="58"/>
  <c r="U219" i="58"/>
  <c r="B329" i="52"/>
  <c r="B400" i="52"/>
  <c r="B472" i="52" s="1"/>
  <c r="B544" i="52" s="1"/>
  <c r="B616" i="52" s="1"/>
  <c r="B688" i="52" s="1"/>
  <c r="B760" i="52" s="1"/>
  <c r="K255" i="52"/>
  <c r="G256" i="52"/>
  <c r="W141" i="58"/>
  <c r="U147" i="58"/>
  <c r="W286" i="58"/>
  <c r="U287" i="58"/>
  <c r="U359" i="58"/>
  <c r="W358" i="58"/>
  <c r="F257" i="52"/>
  <c r="B330" i="52" l="1"/>
  <c r="B401" i="52"/>
  <c r="B473" i="52" s="1"/>
  <c r="B545" i="52" s="1"/>
  <c r="B617" i="52" s="1"/>
  <c r="B689" i="52" s="1"/>
  <c r="B761" i="52" s="1"/>
  <c r="H256" i="52"/>
  <c r="G257" i="52"/>
  <c r="U363" i="58"/>
  <c r="W359" i="58"/>
  <c r="W287" i="58"/>
  <c r="U291" i="58"/>
  <c r="W147" i="58"/>
  <c r="U148" i="58"/>
  <c r="F310" i="38"/>
  <c r="G309" i="38"/>
  <c r="H309" i="38" s="1"/>
  <c r="W431" i="58"/>
  <c r="U435" i="58"/>
  <c r="B334" i="52"/>
  <c r="B405" i="52"/>
  <c r="B477" i="52" s="1"/>
  <c r="B549" i="52" s="1"/>
  <c r="B621" i="52" s="1"/>
  <c r="B693" i="52" s="1"/>
  <c r="B765" i="52" s="1"/>
  <c r="K257" i="52"/>
  <c r="W219" i="58"/>
  <c r="U220" i="58"/>
  <c r="U436" i="58" l="1"/>
  <c r="W435" i="58"/>
  <c r="F311" i="38"/>
  <c r="G310" i="38"/>
  <c r="H310" i="38" s="1"/>
  <c r="U149" i="58"/>
  <c r="W149" i="58" s="1"/>
  <c r="W148" i="58"/>
  <c r="U221" i="58"/>
  <c r="W221" i="58" s="1"/>
  <c r="W220" i="58"/>
  <c r="B406" i="52"/>
  <c r="B478" i="52" s="1"/>
  <c r="B550" i="52" s="1"/>
  <c r="B622" i="52" s="1"/>
  <c r="B694" i="52" s="1"/>
  <c r="B766" i="52" s="1"/>
  <c r="O238" i="52"/>
  <c r="O237" i="52"/>
  <c r="O239" i="52"/>
  <c r="O236" i="52"/>
  <c r="O244" i="52"/>
  <c r="O245" i="52"/>
  <c r="O247" i="52"/>
  <c r="O251" i="52"/>
  <c r="O249" i="52"/>
  <c r="O250" i="52"/>
  <c r="U364" i="58"/>
  <c r="W363" i="58"/>
  <c r="B402" i="52"/>
  <c r="B474" i="52" s="1"/>
  <c r="B546" i="52" s="1"/>
  <c r="B618" i="52" s="1"/>
  <c r="B690" i="52" s="1"/>
  <c r="B762" i="52" s="1"/>
  <c r="I256" i="52"/>
  <c r="H257" i="52"/>
  <c r="O258" i="52"/>
  <c r="W291" i="58"/>
  <c r="U292" i="58"/>
  <c r="U293" i="58" l="1"/>
  <c r="W293" i="58" s="1"/>
  <c r="W292" i="58"/>
  <c r="I236" i="52"/>
  <c r="I238" i="52" s="1"/>
  <c r="I239" i="52" s="1"/>
  <c r="F236" i="52"/>
  <c r="F238" i="52" s="1"/>
  <c r="F239" i="52" s="1"/>
  <c r="H236" i="52"/>
  <c r="H238" i="52" s="1"/>
  <c r="H239" i="52" s="1"/>
  <c r="E236" i="52"/>
  <c r="E238" i="52" s="1"/>
  <c r="E239" i="52" s="1"/>
  <c r="J236" i="52"/>
  <c r="J238" i="52" s="1"/>
  <c r="J239" i="52" s="1"/>
  <c r="G236" i="52"/>
  <c r="G238" i="52" s="1"/>
  <c r="G239" i="52" s="1"/>
  <c r="K236" i="52"/>
  <c r="K238" i="52" s="1"/>
  <c r="K239" i="52" s="1"/>
  <c r="G311" i="38"/>
  <c r="H311" i="38" s="1"/>
  <c r="F312" i="38"/>
  <c r="H258" i="52"/>
  <c r="I258" i="52"/>
  <c r="F258" i="52"/>
  <c r="J258" i="52"/>
  <c r="G258" i="52"/>
  <c r="K258" i="52"/>
  <c r="E258" i="52"/>
  <c r="U365" i="58"/>
  <c r="W365" i="58" s="1"/>
  <c r="W364" i="58"/>
  <c r="I237" i="52"/>
  <c r="G237" i="52"/>
  <c r="F237" i="52"/>
  <c r="J237" i="52"/>
  <c r="K237" i="52"/>
  <c r="H237" i="52"/>
  <c r="E237" i="52"/>
  <c r="U437" i="58"/>
  <c r="W437" i="58" s="1"/>
  <c r="W436" i="58"/>
  <c r="G312" i="38" l="1"/>
  <c r="H312" i="38" s="1"/>
  <c r="F313" i="38"/>
  <c r="G313" i="38" l="1"/>
  <c r="H313" i="38" s="1"/>
  <c r="F314" i="38"/>
  <c r="G314" i="38" l="1"/>
  <c r="H314" i="38" s="1"/>
  <c r="F315" i="38"/>
  <c r="F316" i="38" l="1"/>
  <c r="G315" i="38"/>
  <c r="H315" i="38" s="1"/>
  <c r="F317" i="38" l="1"/>
  <c r="G316" i="38"/>
  <c r="H316" i="38" s="1"/>
  <c r="F318" i="38" l="1"/>
  <c r="G317" i="38"/>
  <c r="H317" i="38" s="1"/>
  <c r="G318" i="38" l="1"/>
  <c r="H318" i="38" s="1"/>
  <c r="F319" i="38"/>
  <c r="F320" i="38" l="1"/>
  <c r="G319" i="38"/>
  <c r="H319" i="38" s="1"/>
  <c r="G320" i="38" l="1"/>
  <c r="H320" i="38" s="1"/>
  <c r="F321" i="38"/>
  <c r="F322" i="38" l="1"/>
  <c r="G321" i="38"/>
  <c r="H321" i="38" s="1"/>
  <c r="G322" i="38" l="1"/>
  <c r="H322" i="38" s="1"/>
  <c r="F323" i="38"/>
  <c r="F324" i="38" l="1"/>
  <c r="G323" i="38"/>
  <c r="H323" i="38" s="1"/>
  <c r="F325" i="38" l="1"/>
  <c r="G324" i="38"/>
  <c r="H324" i="38" s="1"/>
  <c r="F326" i="38" l="1"/>
  <c r="G325" i="38"/>
  <c r="H325" i="38" s="1"/>
  <c r="G326" i="38" l="1"/>
  <c r="H326" i="38" s="1"/>
  <c r="F327" i="38"/>
  <c r="F328" i="38" l="1"/>
  <c r="G327" i="38"/>
  <c r="H327" i="38" s="1"/>
  <c r="G328" i="38" l="1"/>
  <c r="H328" i="38" s="1"/>
  <c r="F329" i="38"/>
  <c r="G329" i="38" l="1"/>
  <c r="H329" i="38" s="1"/>
  <c r="F330" i="38"/>
  <c r="G330" i="38" l="1"/>
  <c r="H330" i="38" s="1"/>
  <c r="F331" i="38"/>
  <c r="F332" i="38" l="1"/>
  <c r="G331" i="38"/>
  <c r="H331" i="38" s="1"/>
  <c r="G332" i="38" l="1"/>
  <c r="H332" i="38" s="1"/>
  <c r="F333" i="38"/>
  <c r="G333" i="38" l="1"/>
  <c r="H333" i="38" s="1"/>
  <c r="F334" i="38"/>
  <c r="G334" i="38" l="1"/>
  <c r="H334" i="38" s="1"/>
  <c r="F335" i="38"/>
  <c r="F336" i="38" l="1"/>
  <c r="G335" i="38"/>
  <c r="H335" i="38" s="1"/>
  <c r="G336" i="38" l="1"/>
  <c r="H336" i="38" s="1"/>
  <c r="F337" i="38"/>
  <c r="G337" i="38" l="1"/>
  <c r="H337" i="38" s="1"/>
  <c r="F338" i="38"/>
  <c r="G338" i="38" l="1"/>
  <c r="H338" i="38" s="1"/>
  <c r="F339" i="38"/>
  <c r="F340" i="38" l="1"/>
  <c r="G339" i="38"/>
  <c r="H339" i="38" s="1"/>
  <c r="G340" i="38" l="1"/>
  <c r="H340" i="38" s="1"/>
  <c r="F341" i="38"/>
  <c r="F342" i="38" l="1"/>
  <c r="G341" i="38"/>
  <c r="H341" i="38" s="1"/>
  <c r="G342" i="38" l="1"/>
  <c r="H342" i="38" s="1"/>
  <c r="F343" i="38"/>
  <c r="F344" i="38" l="1"/>
  <c r="G343" i="38"/>
  <c r="H343" i="38" s="1"/>
  <c r="G344" i="38" l="1"/>
  <c r="H344" i="38" s="1"/>
  <c r="F345" i="38"/>
  <c r="F346" i="38" l="1"/>
  <c r="G345" i="38"/>
  <c r="H345" i="38" s="1"/>
  <c r="G346" i="38" l="1"/>
  <c r="H346" i="38" s="1"/>
  <c r="F347" i="38"/>
  <c r="F348" i="38" l="1"/>
  <c r="G347" i="38"/>
  <c r="H347" i="38" s="1"/>
  <c r="F349" i="38" l="1"/>
  <c r="G348" i="38"/>
  <c r="H348" i="38" s="1"/>
  <c r="F350" i="38" l="1"/>
  <c r="G349" i="38"/>
  <c r="H349" i="38" s="1"/>
  <c r="I348" i="38" s="1"/>
  <c r="I349" i="38" l="1"/>
  <c r="I350" i="38"/>
  <c r="I347" i="38"/>
  <c r="I289" i="38"/>
  <c r="I290" i="38"/>
  <c r="I291" i="38"/>
  <c r="I292" i="38"/>
  <c r="I294" i="38"/>
  <c r="I293" i="38"/>
  <c r="I296" i="38"/>
  <c r="I295" i="38"/>
  <c r="I297" i="38"/>
  <c r="I300" i="38"/>
  <c r="I298" i="38"/>
  <c r="I299" i="38"/>
  <c r="I302" i="38"/>
  <c r="I301" i="38"/>
  <c r="I305" i="38"/>
  <c r="I303" i="38"/>
  <c r="I307" i="38"/>
  <c r="I309" i="38"/>
  <c r="I304" i="38"/>
  <c r="I308" i="38"/>
  <c r="I306" i="38"/>
  <c r="I311" i="38"/>
  <c r="I313" i="38"/>
  <c r="I310" i="38"/>
  <c r="I312" i="38"/>
  <c r="I315" i="38"/>
  <c r="I314" i="38"/>
  <c r="I317" i="38"/>
  <c r="I316" i="38"/>
  <c r="I318" i="38"/>
  <c r="I321" i="38"/>
  <c r="I319" i="38"/>
  <c r="I320" i="38"/>
  <c r="I322" i="38"/>
  <c r="I324" i="38"/>
  <c r="I323" i="38"/>
  <c r="I325" i="38"/>
  <c r="I327" i="38"/>
  <c r="I326" i="38"/>
  <c r="I328" i="38"/>
  <c r="I329" i="38"/>
  <c r="I330" i="38"/>
  <c r="I332" i="38"/>
  <c r="I331" i="38"/>
  <c r="I333" i="38"/>
  <c r="I334" i="38"/>
  <c r="I336" i="38"/>
  <c r="I335" i="38"/>
  <c r="I337" i="38"/>
  <c r="I338" i="38"/>
  <c r="I341" i="38"/>
  <c r="I339" i="38"/>
  <c r="I340" i="38"/>
  <c r="I342" i="38"/>
  <c r="I345" i="38"/>
  <c r="I343" i="38"/>
  <c r="I344" i="38"/>
  <c r="I346"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Q541" authorId="0" shapeId="0" xr:uid="{00000000-0006-0000-1200-000001000000}">
      <text>
        <r>
          <rPr>
            <sz val="9"/>
            <color indexed="81"/>
            <rFont val="Segoe UI"/>
            <family val="2"/>
          </rPr>
          <t>CNTR_PFCSourceStreams</t>
        </r>
        <r>
          <rPr>
            <b/>
            <sz val="9"/>
            <color indexed="81"/>
            <rFont val="Segoe U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B70" authorId="0" shapeId="0" xr:uid="{00000000-0006-0000-1300-000001000000}">
      <text>
        <r>
          <rPr>
            <b/>
            <sz val="8"/>
            <color indexed="81"/>
            <rFont val="Tahoma"/>
            <family val="2"/>
          </rPr>
          <t>Final link to be added as soon as available in the OJ.</t>
        </r>
      </text>
    </comment>
    <comment ref="B81" authorId="0" shapeId="0" xr:uid="{00000000-0006-0000-1300-000002000000}">
      <text>
        <r>
          <rPr>
            <b/>
            <sz val="8"/>
            <color indexed="81"/>
            <rFont val="Tahoma"/>
            <family val="2"/>
          </rPr>
          <t>Final link to be added as soon as available.</t>
        </r>
      </text>
    </comment>
  </commentList>
</comments>
</file>

<file path=xl/sharedStrings.xml><?xml version="1.0" encoding="utf-8"?>
<sst xmlns="http://schemas.openxmlformats.org/spreadsheetml/2006/main" count="4891" uniqueCount="1897">
  <si>
    <t>Please also provide the capacity of each Annex I activity relevant at your installation.</t>
  </si>
  <si>
    <t>Please note that ‘capacity’ in this context means:</t>
  </si>
  <si>
    <t>ADD_ActivitiesExcluded</t>
  </si>
  <si>
    <t>ADD_Laboratories</t>
  </si>
  <si>
    <t>ADD_InformationSources</t>
  </si>
  <si>
    <t>ADD_Procedure</t>
  </si>
  <si>
    <t>ADD_CompleteMeasurementPoint</t>
  </si>
  <si>
    <t>ADD_MeasurementInstrument</t>
  </si>
  <si>
    <t>Click "+" to add more emissions sources</t>
  </si>
  <si>
    <t>Click "+" to add more emission points</t>
  </si>
  <si>
    <t>Click "+" to add more measurement points</t>
  </si>
  <si>
    <t>Click "+" to add more source streams</t>
  </si>
  <si>
    <t>Click "+" to add more information sources</t>
  </si>
  <si>
    <t>Click "+" to add more procedures</t>
  </si>
  <si>
    <t>Activity Data:</t>
  </si>
  <si>
    <t>Note: this section is to be completed where transfer of inherent CO2 as part of a fuel in accordance with Article 48 of the MRR or transfer of CO2 in accordance with Article 49 of the MRR are carried out.</t>
  </si>
  <si>
    <t>Furthermore this sheet is relevant for information to be provided where activities of CO2 capture, transport in pipelines or geological storage of CO2 as covered by Annex I of the EU ETS Directive are carried out.</t>
  </si>
  <si>
    <t>Information regarding the measurement points and measuring instruments are to be provided in sheet F_MeasurementBasedApproaches.</t>
  </si>
  <si>
    <t>This should cover in particular the amounts of CO2 to be added due to receiving transferred CO2, or for subtracting CO2 due to transfer out of the installation, as appropriate. Please make sure that this calculation is in line with Articles 48 and 49 of the MRR.</t>
  </si>
  <si>
    <t>If the description is too complex, e.g. complex formulas are applied or a diagram is needed for facilitating the description, you may provide the description in a separate document using a file format acceptable for the CA. In this case please reference this file here, by using the file name and date.</t>
  </si>
  <si>
    <t>Receiving inherent CO2</t>
  </si>
  <si>
    <t>Exporting inherent CO2 to ETS installation</t>
  </si>
  <si>
    <t>Exporting inherent CO2 to non-ETS consumer</t>
  </si>
  <si>
    <t>Receiving transferred CO2</t>
  </si>
  <si>
    <t>Exporting transferred CO2</t>
  </si>
  <si>
    <t>Use of own instruments</t>
  </si>
  <si>
    <t>use of other installation's instruments</t>
  </si>
  <si>
    <t>EUconst_CO2TransferTypes</t>
  </si>
  <si>
    <t>EUconst_TransCO2Approach</t>
  </si>
  <si>
    <t>TR1</t>
  </si>
  <si>
    <t>TR2</t>
  </si>
  <si>
    <t>TR3</t>
  </si>
  <si>
    <t>TR4</t>
  </si>
  <si>
    <t>TR5</t>
  </si>
  <si>
    <t>ADD_TransferCO2Installations</t>
  </si>
  <si>
    <t>Transfer Ref.</t>
  </si>
  <si>
    <t>Unique ID of Installation</t>
  </si>
  <si>
    <t>Type of transfer</t>
  </si>
  <si>
    <t>Measurement approach</t>
  </si>
  <si>
    <t>Use both partners' instruments</t>
  </si>
  <si>
    <t>Click "+" to add more installations</t>
  </si>
  <si>
    <t>Please provide details of the receiving and transferring installations</t>
  </si>
  <si>
    <t>Please give here for each installation (or other entity) from which you receive or to which you transfer inherent or transferred CO2 the following information:</t>
  </si>
  <si>
    <t>Unique ID</t>
  </si>
  <si>
    <t>Installation name</t>
  </si>
  <si>
    <t>Give here the name of the installation or non-ETS entity, from which or to which CO2 is transferred. To the extent feasible use the same name as the competent authority and the Registry use.</t>
  </si>
  <si>
    <t>Name of the operator of that installation or non-ETS entity.</t>
  </si>
  <si>
    <t>For EU ETS installations, give the unique ID of the installation as used by the Registry system. In case of doubt contact the competent authority for the correct format of the ID.</t>
  </si>
  <si>
    <t>Note: Details about the continuous measurement approach, the measurement points and measuring instruments have to be entered in sheet F_MeasurementBasedApproaches.</t>
  </si>
  <si>
    <t>Information relevant for installations for the geological storage of CO2</t>
  </si>
  <si>
    <t>Information relevant for pipeline systems used for transport of CO2</t>
  </si>
  <si>
    <t>Please indicate the monitoring approach selected for your transport network:</t>
  </si>
  <si>
    <t>Method A</t>
  </si>
  <si>
    <t>Method B</t>
  </si>
  <si>
    <t>Where applicable, please give a reference to the uncertainty analysis:</t>
  </si>
  <si>
    <t>Reference to the device</t>
  </si>
  <si>
    <t>Reference</t>
  </si>
  <si>
    <t>ND1</t>
  </si>
  <si>
    <t>ND2</t>
  </si>
  <si>
    <t>ND3</t>
  </si>
  <si>
    <t>ND4</t>
  </si>
  <si>
    <t>ND5</t>
  </si>
  <si>
    <t>ND6</t>
  </si>
  <si>
    <t>ND7</t>
  </si>
  <si>
    <t>ND8</t>
  </si>
  <si>
    <t>ND9</t>
  </si>
  <si>
    <t>ND10</t>
  </si>
  <si>
    <t>ADD_PipelineDevice</t>
  </si>
  <si>
    <t>Click "+" to add more measurement devices</t>
  </si>
  <si>
    <t>Reference to more detailed description, if relevant:</t>
  </si>
  <si>
    <t>If necessary, you may provide the list of point (c) and a more detailed description in a separate document using a file format acceptable for the CA. In this case please reference this file here, by using the file name and date.</t>
  </si>
  <si>
    <t>Natural gas (passed through the installation to external consumer)</t>
  </si>
  <si>
    <t>If Method B is applied for pipeline systems, please provide here the description of the procedure used for validating the result of method B with method A at least annually:</t>
  </si>
  <si>
    <t>If method B is applied, provide here a description of the procedure used for determining fugitive emissions:</t>
  </si>
  <si>
    <t>If method B is applied, provide here a description of the procedure used for determining vented emissions:</t>
  </si>
  <si>
    <t xml:space="preserve">Note: In case of the geological storage of CO2, emissions from the storage complex as well as release of CO2 to the water column have to be monitored only where a leakage is detected. Where no leakage is detected, the monitoring plan may have no particular provisions for monitoring. </t>
  </si>
  <si>
    <t>Therefore it is of utmost importance that a procedure is in place for immediate reaction if a leakage is detected. In such case the monitoring plan must be updated without undue delay.</t>
  </si>
  <si>
    <t>Please provide details about the procedure used for regular evaluation of the monitoring plan's appropriateness. For this purpose, please use point 19(c) in sheet K_ManagementControl.</t>
  </si>
  <si>
    <t>Please provide here a description of the methodology and procedure used to determine any fugitive or vented emissions, including from sites where enhanced hydrocarbon recovery is carried out. If measurement based methods in Accordance with Articles 41 to 46 are not applied, a justification regarding unreasonable costs must be enclosed.</t>
  </si>
  <si>
    <t>Provide here a description of the procedure used to determine the uncertainty of emissions from leakages, if applicable, for the purpose of correcting the emissions figure in accordance with subsection B.3 of section 23 of Annex IV of the MRR.</t>
  </si>
  <si>
    <t>Click "+" to add more monitoring plan versions</t>
  </si>
  <si>
    <t>b.
Guide-lines</t>
  </si>
  <si>
    <t>The monitoring plan shall consist of a detailed, complete and transparent documentation of the monitoring methodology of a specific installation [or aircraft operator] and shall contain at least the elements laid down in Annex I.</t>
  </si>
  <si>
    <t>Furthermore, Article 74(1) states:</t>
  </si>
  <si>
    <t>Member States may require the operator and aircraft operator to use electronic templates or specific file formats for submission of monitoring plans and changes to the monitoring plan, as well as for submission of annual emissions reports, tonne-kilometre data reports, verification reports and improvement reports. 
Those templates or file format specifications established by the Member States shall, at least, contain the information contained in electronic templates or file format specifications published by the Commission.</t>
  </si>
  <si>
    <t xml:space="preserve">Furthermore the MRR (Article 13) allows the Member States to develop simplified and standardised monitoring plans for "simple" installations. </t>
  </si>
  <si>
    <t>According to the Commission's guidance document No. 1 ("General guidance for installations"), such standardised templates should be provided by adding standard texts where appropriate in this template here.</t>
  </si>
  <si>
    <t>All Commission guidance documents on the Monitoring and Reporting Regulation can be found at:</t>
  </si>
  <si>
    <t>Read carefully the instructions below for filling this template.</t>
  </si>
  <si>
    <t>Identify the Competent Authority (CA) responsible for your installation in the Member State where the installation is situated (there may be more than one CA per Member State). Note that "Member State" here means all States which are participating in the EU ETS, not only EU Member States.</t>
  </si>
  <si>
    <t>Check the CA's webpage or directly contact the CA in order to find out if you have the correct version of the template. The template version (in particular the reference file name) is clearly indicated on the cover page of this file.</t>
  </si>
  <si>
    <r>
      <t xml:space="preserve">Confidentiality statement- </t>
    </r>
    <r>
      <rPr>
        <sz val="10"/>
        <color indexed="62"/>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t>
    </r>
  </si>
  <si>
    <t>This template has been developed to accommodate the minimum content of a monitoring plan required by the MRR. Operators should therefore refer to the MRR and additional Member State requirements (if any) when completing.</t>
  </si>
  <si>
    <t>LC15</t>
  </si>
  <si>
    <t>LC01</t>
  </si>
  <si>
    <t>LC02</t>
  </si>
  <si>
    <t>QAL procedures</t>
  </si>
  <si>
    <t>EN 14181</t>
  </si>
  <si>
    <t>CO2 concentration</t>
  </si>
  <si>
    <t>ISO 12039</t>
  </si>
  <si>
    <t>This list will be available as a drop-down below in section 10 for referencing the analytical methods to the relevant measurement points.</t>
  </si>
  <si>
    <t>cond. Format?</t>
  </si>
  <si>
    <t>Please select here if this measurement point is an emission/measurement point during typical operation or non-typical operation (during restrictive and transition phases, including breakdown periods or commissioning phases).</t>
  </si>
  <si>
    <t>The information in the green fields is taken automatically from point 6(d) in sheet C_InstallationDescription.</t>
  </si>
  <si>
    <t>Relevant sections: 6 (except e), 9, 10, 11, 13</t>
  </si>
  <si>
    <t>Relevant sections: 6 (except d), 7, 14, 15, 16</t>
  </si>
  <si>
    <t>Relevant sections: 6 (except e), 9, 10, 11, 17, 18, 19</t>
  </si>
  <si>
    <t>Please ensure you have completed the rest of this sheet, the relevant sections for each approach selected above, before you continue to sheet "K_ManagementControl" (sections 20 to 25), which is mandatory for all installations.</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</si>
  <si>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EU ETS installation) to ensure that correct data is reported to the competent authority.</t>
  </si>
  <si>
    <t>If your installation is eligible for such simplified and/or standardised monitoring plan in accordance with the requirements laid down in guidance document 1, please check with your competent authority or its website whether your Member State provides such simplified templates.</t>
  </si>
  <si>
    <t>This monitoring plan must be submitted to your competent authority at the following address:</t>
  </si>
  <si>
    <t>Some Member States may require you to use an alternative system, such as internet-based form instead of a spreadsheet. Check your Member State requirements. In this case the CA will provide further information to you.</t>
  </si>
  <si>
    <t>You must notify any proposals for significant modifications to the monitoring plan to the CA without undue delay. Any significant change in your monitoring methodology shall be subject to approval by the CA, as set in Article 14 and 15 of the MRR. Where you can assume reasonably (in accordance with Article 15) that necessary updates of the monitoring plan are not significant, you may notify the CA of those updates jointly once per year in accordance with the deadline specified in that Article (subject to competent authority agreement).</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</si>
  <si>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t>
  </si>
  <si>
    <t>In many cases in this template you are required to fill in descriptions of the installation, its functioning, and specific methods which you apply for monitoring. In such situations text fields are provided for your input, which may be sometimes insufficient for the information you want to enter.</t>
  </si>
  <si>
    <t>The competent authority may restrict the acceptable file formats. Please ensure that you use only standard office file types such as .doc, .xls, .pdf. For further acceptable file types contact your competent authority or its website.</t>
  </si>
  <si>
    <t>Please note that monitoring of the emissions of your installation must always be carried out in accordance with the latest approved version of the monitoring plan, except in cases where an update of the MP has already been submitted to the CA and/or is pending approval. In accordance with Article 16(1), in such situations the monitoring must be carried out in parallel using the latest approved as well as the latest MP submitted for approval.</t>
  </si>
  <si>
    <t>AddEmissionPoint</t>
  </si>
  <si>
    <t>ADD_CompleteAluSourceStream</t>
  </si>
  <si>
    <t># of lines</t>
  </si>
  <si>
    <t>D</t>
  </si>
  <si>
    <t>AddMeasuringInstrSheetD</t>
  </si>
  <si>
    <t>AddMeasuringInstrSheetF</t>
  </si>
  <si>
    <t>E</t>
  </si>
  <si>
    <t>R</t>
  </si>
  <si>
    <t>S</t>
  </si>
  <si>
    <t>T</t>
  </si>
  <si>
    <t>V</t>
  </si>
  <si>
    <t>RefColumn</t>
  </si>
  <si>
    <t>ColumnStart</t>
  </si>
  <si>
    <t>Column</t>
  </si>
  <si>
    <t>ColumnEnd</t>
  </si>
  <si>
    <t>Further macros attached</t>
  </si>
  <si>
    <t>HelpAreaColumn</t>
  </si>
  <si>
    <t>ID</t>
  </si>
  <si>
    <t>W</t>
  </si>
  <si>
    <t>Anchor name</t>
  </si>
  <si>
    <t>AddEmissionSource</t>
  </si>
  <si>
    <t>AddMeasurementPoint</t>
  </si>
  <si>
    <t>AddInformationSources</t>
  </si>
  <si>
    <t>AddLaboratories</t>
  </si>
  <si>
    <t>AddMPVersion</t>
  </si>
  <si>
    <t>AddActivitiesExcluded</t>
  </si>
  <si>
    <t>AddAluSourceStream</t>
  </si>
  <si>
    <t>AddSourceStream</t>
  </si>
  <si>
    <t>AddTransferCO2Installations</t>
  </si>
  <si>
    <t>AddPipelineDevices</t>
  </si>
  <si>
    <t>EFUnits</t>
  </si>
  <si>
    <t>NCVUnits</t>
  </si>
  <si>
    <t>PctUnits</t>
  </si>
  <si>
    <t>GJ/t</t>
  </si>
  <si>
    <t>GJ/1000Nm³</t>
  </si>
  <si>
    <t>tCO2/TJ</t>
  </si>
  <si>
    <t>tCO2/t</t>
  </si>
  <si>
    <t>tCO2/1000Nm³</t>
  </si>
  <si>
    <t>MS are free to use this sheet</t>
  </si>
  <si>
    <t>Please be aware that these parameters are used by the macros. Do NOT make any changes to this page!</t>
  </si>
  <si>
    <t>This is the final version of the monitoring plan template for installations, as endorsed by the Climate Change Committee in its meeting 7 June 2012.</t>
  </si>
  <si>
    <t xml:space="preserve">This monitoring plan template represents the views of the Commission services at the time of publication. </t>
  </si>
  <si>
    <t xml:space="preserve">This file constitutes the said template for monitoring plans of installations developed by the Commission services and includes the requirements defined in Annex I as well as further requirements to assist the operator in demonstrating compliance with the MRR. Under certain conditions as described below, it may have been amended to a limited extent by a Member State's competent authority. </t>
  </si>
  <si>
    <t>Directive 2003/87/EC (the "ETS Directive") requires operators of installations which are included in the Union Emission Trading Scheme (the EU ETS) to hold a valid GHG emission permit issued by the relevant Competent Authority and to monitor and report their emissions, and have the reports verified by an independent and accredited verifier.</t>
  </si>
  <si>
    <t>Please list here all source streams (fuels, materials, products,…) which are to be monitored at your installation using calculation based approaches (i.e. standard methodology or mass balance). For definition of the term "source stream" please see guidance document No. 1 ("General guidance for installations"). For definition of source streams for PFC, please see point 14(c) in sheet "I_PFC".</t>
  </si>
  <si>
    <t>Grid reference (map co-ordinates) of site main entrance (optional):</t>
  </si>
  <si>
    <t>This list will be available as a drop-down in sheet E_SourceStreams (table (g) to reference the information sources to the relevant calculation factors of each source stream.</t>
  </si>
  <si>
    <t>National GHG Inventory, annually updated (see http:/Dummy.address.test). Most recent value published in 2011 is used.</t>
  </si>
  <si>
    <t>Solid fuels: ANA 1-1/UBA; Liquid fuels: ANA 1-2/UBA;  Comparison by external (accredited) laboratory: ANA 1-3/ext</t>
  </si>
  <si>
    <t>You may use the maximum permissible errors specified for the measuring instrument in service, or where lower, the uncertainty obtained by calibration, multiplied by a conservative adjustment factor for taking into account the effect of uncertainty in service, provided that measuring instruments are installed in an environment appropriate for their use specifications, or</t>
  </si>
  <si>
    <t>These are methods based on empirical correlations as determined at least once per year in accordance with the requirements applicable for laboratory analyses. However, these analyses are only carried out once per year, therefore this tier is considered a lower level than full analyses. The proxy correlations may be based on:</t>
  </si>
  <si>
    <t xml:space="preserve">Your description should include the type of instrument(s) used, whether measurements are carried out under wet or dry conditions; the formulae for applying correction factors (p, T, O2 and H2O). Where EN 14181 is applied, the calibration factors required for QAL2 procedures should be given. If flue gas volume is calculated, please describe briefly the method for determination of the flue gas volume. </t>
  </si>
  <si>
    <t>Please describe how annual emissions are determined based on concentration and flue gas flow data, taking into account the frequency of determination of concentration and flue gas flow. Include also how data is substituted where no valid hour of data can be determined.</t>
  </si>
  <si>
    <t>Justification if required tier is not applied:</t>
  </si>
  <si>
    <t>If the tier required pursuant to Article 41 is not applied for this measurement point, please give a justification here.</t>
  </si>
  <si>
    <t>All instruments used must be clearly identifiable using a unique ID (such as the serial number of the instrument). However, exchange of instruments (e.g. necessary as consequence of a damage) will not constitute a significant change of the monitoring plan within the meaning of Article 15(3). The unique identification should therefore be documented separately from the monitoring plan. Please make sure that you establish an appropriate written procedure for this purpose.</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</si>
  <si>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</si>
  <si>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Management and procedures for measurement based approaches</t>
  </si>
  <si>
    <t>Management and procedures for monitoring N2O emissions</t>
  </si>
  <si>
    <t>The CA may contact you to discuss modifications to your monitoring plan to ensure the accurate and verifiable monitoring and reporting of annual emissions, according to the general and specific requirements of the MRR. Notwithstanding Article 16(1) of the MRR, upon notification of approval from the CA you will use the latest approved version of the monitoring plan as the methodology to determine annual emissions and implement your data acquisition and handling activities and control activities. It will serve also as a reference for verification of your annual emissions report.</t>
  </si>
  <si>
    <t>a conservative estimate shows that emissions for the next 5 years will be less than 25 000 tonnes CO2(e) per year, where the verified emissions are not available or inappropriate.</t>
  </si>
  <si>
    <t>Fall-back approach (Article 22):</t>
  </si>
  <si>
    <t>Please also select the Annex I activities, the emission sources and the GHGs emitted from the drop-down lists (relating to data entered in section 5(c) above). If more than one activity or emission source in concerned, please enter e.g. "A1, A2".</t>
  </si>
  <si>
    <t>For allowing the competent authority to fully understand the functioning of your installation, please select from the respective drop-down lists the Annex I activities, the emission sources and the emission points, which correspond which each source stream. If more than one activity or emission source in concerned, please enter e.g. "A1, A2".</t>
  </si>
  <si>
    <t>Click "+" to add more activities excluded from EU ETS</t>
  </si>
  <si>
    <t>All details on source streams (determination of activity data, determination of calculation factors) are outlined in other sections of this monitoring plan.</t>
  </si>
  <si>
    <t>In case of gas flow meters please refer to Nm³/h if the p/T compensation is implemented into the instrument and relate to m³ in operating state if the p/T compensation is done by a separate instrument. In the latter case please also list those separate instruments.</t>
  </si>
  <si>
    <t>Where online gas chromatographs or extractive or non-extractive gas analysers are used, the requirements of Article 32 shall be met.</t>
  </si>
  <si>
    <t>Activity data tier level required:</t>
  </si>
  <si>
    <t>In general, this value should be the result of an uncertainty assessment (see section 7(c)). However, Articles 28(2), (3) and 29(2) allow to apply several simplifications:</t>
  </si>
  <si>
    <t>In this case the requirements of Article 32 to 35 on analyses are fully applicable.</t>
  </si>
  <si>
    <t>Where a default value is used, please enter the value, the unit and the literature source by reference to table 7(d) on the previous sheet. The value should reflect the constant value at the time of notification of the monitoring plan.</t>
  </si>
  <si>
    <t>The measurement frequency should indicate the frequency of data points produced by the instrument before the data is aggregated to give hourly averages or averages of shorter periods.</t>
  </si>
  <si>
    <t>Laboratories and methods used for application of continuous measurement methods:</t>
  </si>
  <si>
    <t xml:space="preserve">In general, this value should be the result of an uncertainty assessment (see section 7(c)). </t>
  </si>
  <si>
    <t>In order to describe the applied approaches in full, the following information has to be provided. Please provide references to the appropriate written procedures. The procedures are to be outlined in section 11 below in this sheet.</t>
  </si>
  <si>
    <t>You must be able to demonstrate that the overall uncertainty for the annual level of greenhouse gas emissions for the whole installation does not exceed 7.5% for category A, 5.0% for category B and 2.5 % for category C installations. Note: Your competent authority may request full details of your justification to demonstrate that application of a tiered calculation based method or measurement approach is technically not feasible or would lead to unreasonable costs.</t>
  </si>
  <si>
    <t>Note: this section is to be completed for determination of N2O emissions from specified production activities at an installation. N2O emissions from combustion of fuels are not covered.  Please make sure that the information on your measurement system is entered in sheet F_MeasurementBasedApproaches as appropriate.</t>
  </si>
  <si>
    <t>Please provide any relevant comments below. Explanations may in particular be required for how the calculation factors are determined, which measuring instruments and process control equipment are used for determining the activity data, etc.</t>
  </si>
  <si>
    <t>Select here from the drop-down list whether it is a transfer from or to an installation or non-ETS entity, and whether this deals with inherent CO2 (Article 48) or transferred CO2 (Article 49) as defined by the MRR.</t>
  </si>
  <si>
    <t>According to Article 48(3), you can determine transferred or inherent CO2 either by your own instruments, or using the measurement by the other installation, or you can use both and determine the result as the average of the measurements. Please indicate here, which of these approaches are used.</t>
  </si>
  <si>
    <t>In accordance with section 22.B of Annex IV of the MRR, you may choose either of two methods. Method A involves a measurement based mass balance of all CO2 emitted, entering and leaving the network, while Method B is based on determining fugitive and vented emissions, as well as leakages and installation based emissions.</t>
  </si>
  <si>
    <t>This procedure should identify how the monitoring and reporting responsibilities for the roles identified above are assigned and how training and reviews are undertaken and how duties are segregated such that all relevant data is confirmed by a person not involved with the recording and collection of the data.</t>
  </si>
  <si>
    <t>The brief description should identify that the review and validation process includes a check on whether data is complete, comparisons with data over previous years, comparison of fuel consumption reported with purchase records and factor obtained for fuel suppliers with international reference factors, if applicable, and criteria for rejecting data.</t>
  </si>
  <si>
    <t>The brief description should identify the process of document retention, specifically in relation to the data and information stipulated in Annex IX of the MRR and to how the data is stored such that information is made readily available upon request of the competent authority or verifier.</t>
  </si>
  <si>
    <t xml:space="preserve">The determination of the amount of relevant carbonates in each relevant input material shall be carried out according Articles 32 to 35. Stoichiometric ratios as listed in section 2 of Annex VI shall be used to convert composition data into emission factors. </t>
  </si>
  <si>
    <t>The operator shall use installation-specific emission factors for CF4 and C2F6
established through continuous or intermittent field measurements. For the determination of
those emission factors the operator shall use the most recent version of the guidance
mentioned under Tier 3 of section 4.4.2.4 of the 2006 IPCC Guidelines. The operator shall
determine each emission factor with a maximum uncertainty of ±15%.</t>
  </si>
  <si>
    <t>For each measurement point, please also enter an estimate for the respective annual emissions. This information is required for determining the applicable tier.</t>
  </si>
  <si>
    <t>Please list and describe here all measurements points at which GHGs are measured by continuous emission measuring systems (CEMS). This includes measurement points in pipeline systems used for the transfer of CO2 with the aim of geological storage of CO2.</t>
  </si>
  <si>
    <t>NCV and EF analysis of source stream "heavy fuel oil" from August 2011</t>
  </si>
  <si>
    <t>Where a tier 2 emission factor is applied, please provide details about the written procedure setting out the schedule for repetitions of the measurements to be carried out in accordance with Section 8 of Annex IV of the MRR (emission factors and collection efficiency).</t>
  </si>
  <si>
    <t>The brief description should outline what appropriate actions are undertaken if data flow activities and control activities are found not to function effectively. The procedure should outline how the validity of the outputs is assessed, the process of determining the cause of the error and of correcting it.</t>
  </si>
  <si>
    <t xml:space="preserve">Detailed instructions for data entries in this tool can be found at  the first  occurrence of this entry section. </t>
  </si>
  <si>
    <t xml:space="preserve">The operator shall apply technology-specific emission factors from Table 2 of section 8 of Annex IV
</t>
  </si>
  <si>
    <t>The operator shall use technology-specific emission factors from Table 1 of section 8 of Annex IV.</t>
  </si>
  <si>
    <t>Installations with low emissions (section 5(e)) are not required to include the stocks determination in their uncertainty assessment (Article 47(5)).</t>
  </si>
  <si>
    <t>The Monitoring and Reporting Regulation (Commission Regulation (EU) No 601/2012 of 21 June 2012, hereinafter the "MRR"), defines further requirements for monitoring and reporting. The MRR can be downloaded from:</t>
  </si>
  <si>
    <t>http://eur-lex.europa.eu/LexUriServ/LexUriServ.do?uri=OJ:L:2012:181:0030:0104:EN:PDF</t>
  </si>
  <si>
    <t>Note in some cases this may be specifically requested by the competent authority as mandatory.</t>
  </si>
  <si>
    <t>Please provide the following technical details for each activity pursuant to Annex I of the EU ETS Directive carried out at your installation.</t>
  </si>
  <si>
    <t>The list entered here will be available as a drop-down list in the tables below where a reference to the activity is required for the installation description.</t>
  </si>
  <si>
    <t>A01</t>
  </si>
  <si>
    <t>A02</t>
  </si>
  <si>
    <t>Installation category in accordance with Article 19</t>
  </si>
  <si>
    <t>the average verified annual emissions of the installation during the previous trading period were less than 25 000 tonnes CO2(e) per year, or</t>
  </si>
  <si>
    <t>If your installation is an installation with low emissions as defined by Article 47, several simplifications for the monitoring plan apply.</t>
  </si>
  <si>
    <t xml:space="preserve">According to that Article, the operator may submit a simplified monitoring plan for an installation where no nitrous oxide emitting activities are carried out and it can be demonstrated that: </t>
  </si>
  <si>
    <t>Relevant sections: 6 (except d), 7, 8</t>
  </si>
  <si>
    <t>Relevant sections: 12</t>
  </si>
  <si>
    <t>EUConst_RelSectionCalc</t>
  </si>
  <si>
    <t>EUConst_RelSectionMeasure</t>
  </si>
  <si>
    <t>EUConst_RelSectionFallback</t>
  </si>
  <si>
    <t>EUConst_RelSectionN2O</t>
  </si>
  <si>
    <t>EUConst_RelSectionPFC</t>
  </si>
  <si>
    <t>EUConst_RelSectionCCS</t>
  </si>
  <si>
    <t>Monitoring of N2O emissions:</t>
  </si>
  <si>
    <t>Monitoring of PFC emissions:</t>
  </si>
  <si>
    <t>Monitoring of transferred/inherent CO2 and CCS:</t>
  </si>
  <si>
    <t>Annex I requires that monitoring plans include a description of the installation and activities to be carried out and monitored, including a list of emission sources and source streams.  The information you provide in this template should relate to the Annex I activity(ies) comprised in the installation in question, and should relate to a single installation. Include in this section any activities carried out at your installation and exclude related activities carried out by other operators.</t>
  </si>
  <si>
    <t>Coal fired boiler (combustion of fuels)</t>
  </si>
  <si>
    <t>Coal fired boiler (decomposition of limestone for flue gas scrubbing)</t>
  </si>
  <si>
    <t>S01</t>
  </si>
  <si>
    <t>S02</t>
  </si>
  <si>
    <t>S03</t>
  </si>
  <si>
    <t>Cement clinker kiln (decarbonatisation of raw meal, combustion of fuels)</t>
  </si>
  <si>
    <t>Stack 2 (cement kiln)</t>
  </si>
  <si>
    <t>S102, S03</t>
  </si>
  <si>
    <t>Relevant sections: 6 (except e), 9, 10, 11</t>
  </si>
  <si>
    <t>Pursuant to Article 41(1) a lower tier requirement may be allowed for each emission source which emits less than 5 000 tonnes of CO2(e) per year, or which contributes less than 10% of the total annual emissions of the installation, whichever is higher in terms of absolute emissions ("minor" emission source).</t>
  </si>
  <si>
    <t>In order to allow this template to automatically propose emission source categories, it is necessary to define first any emission sources for which measurement based methods are applied.</t>
  </si>
  <si>
    <t>EP01</t>
  </si>
  <si>
    <t>EP02</t>
  </si>
  <si>
    <t>M01</t>
  </si>
  <si>
    <t>Stack of coal fired boiler, measurement platform A</t>
  </si>
  <si>
    <t xml:space="preserve">Those estimated emissions are also relevant to categorise the calculated-based source streams under point (f) below, if calculation based approaches are applied. </t>
  </si>
  <si>
    <t>F01</t>
  </si>
  <si>
    <t>F02</t>
  </si>
  <si>
    <t>Raw meal</t>
  </si>
  <si>
    <t>Cement clinker: Kiln input based (Method A)</t>
  </si>
  <si>
    <t>A1: Production of cement clinker</t>
  </si>
  <si>
    <t>S1: Cement clinker kiln (decarbonatisation of raw meal, combustion of fuels)</t>
  </si>
  <si>
    <t>EP2: Stack 2 (cement kiln)</t>
  </si>
  <si>
    <t>Data for the source stream references and the source stream full name (source stream name and source stream type) will be taken from point (d) above automatically.</t>
  </si>
  <si>
    <t>In case of source streams going out of a mass balance, the emissions must be entered as negative values.</t>
  </si>
  <si>
    <t>Background: Pursuant to Article 19(3) you can categorise each source stream as "major", "minor" or "de-minimis".</t>
  </si>
  <si>
    <t>Please enter for each source stream (calculation-based method, including PFC)  the estimated emissions, and select an appropriate source stream category.</t>
  </si>
  <si>
    <t>To help you selecting an appropriate category, the possible category will be displayed automatically for each source stream in the green field.</t>
  </si>
  <si>
    <t>Installation parts and activities not included in the EU ETS, if relevant:</t>
  </si>
  <si>
    <t>Please provide details for any installation parts or activities not included in the EU ETS where fuel or materials used by these activities are accounted for by measurement devices that also supply Annex I activities.</t>
  </si>
  <si>
    <t>Stack of connected installation (Heating of adjacent hospital)</t>
  </si>
  <si>
    <t>S011</t>
  </si>
  <si>
    <t>several boilers (&lt; 3MWth each)</t>
  </si>
  <si>
    <t>http://eur-lex.europa.eu/LexUriServ/LexUriServ.do?uri=CONSLEG:2003L0087:20090625:EN:PDF</t>
  </si>
  <si>
    <t>Yellow fields indicate mandatory inputs. However, if the topic is not relevant for the installation, no input is required.</t>
  </si>
  <si>
    <t>Light yellow fields indicate that an input is optional.</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</si>
  <si>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</si>
  <si>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</si>
  <si>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</si>
  <si>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Light grey areas are dedicated for navigation and hyperlinks.</t>
  </si>
  <si>
    <t>L. Member State specific content</t>
  </si>
  <si>
    <t>Please enter data in this section</t>
  </si>
  <si>
    <t>CNTR_CheckPFC</t>
  </si>
  <si>
    <t>If the description is too complex, e.g. complex formulas are applied, you may provide the description in a separate document using a file format acceptable for the CA. In this case please reference this file here, by using the file name and date.</t>
  </si>
  <si>
    <t>Further procedure added by the operator</t>
  </si>
  <si>
    <t>Make grey?</t>
  </si>
  <si>
    <t>In particular, the list of measuring instruments is required for the monitoring of activity data, the list of information sources is required for default values for calculation factors in accordance with Article 31, and the analytical methods will be referenced in case analyses are required for calculation factors.</t>
  </si>
  <si>
    <t>Specification and location of measurement systems for determining the activity data for source streams:</t>
  </si>
  <si>
    <t>For each measuring instrument please enter the specified uncertainty, including the range this uncertainty is related to, as given in the manufacturer's specification. In some cases an uncertainty may be specified for two different ranges. In that case please enter both of them.</t>
  </si>
  <si>
    <t>A description should be provided for all measurement devices which are relevant for emissions monitoring, including sub-meters and meters used to deduct quantities which are used outside the installation boundaries. Measurement devices used for continuous emissions measurement (CEMS) are to be specified in sheet F_MeasurementBasedApproaches, section 9.c.</t>
  </si>
  <si>
    <t>"Type of measuring instrument": Please select the appropriate type from the drop-down list, or enter a more appropriate type.</t>
  </si>
  <si>
    <t>The list of instruments entered here will be available as a drop-down list for each source stream in sheet E_SourceStreams (point b), where the relevant measuring instruments used are to be referenced.</t>
  </si>
  <si>
    <t>This procedure is only relevant where the operator uses measuring instruments under his own control.</t>
  </si>
  <si>
    <t>MI01</t>
  </si>
  <si>
    <t>MI02</t>
  </si>
  <si>
    <t>Kg</t>
  </si>
  <si>
    <t>WB-342</t>
  </si>
  <si>
    <t>IS01</t>
  </si>
  <si>
    <t>IS02</t>
  </si>
  <si>
    <t>IS03</t>
  </si>
  <si>
    <t>Handbook of Chemistry and Physics, 92nd ed., http://www.hbcpnetbase.com/</t>
  </si>
  <si>
    <t>Laboratories and methods used for analyses for calculation factors:</t>
  </si>
  <si>
    <t>Please list the methods to be used for analysing fuels and materials for the determination of all calculation factors where applicable due to the selected tier. Where the laboratory is not accredited according to EN ISO/IEC 17025, you have to provide evidence that the laboratory is technically competent in accordance with Article 34. For this purpose please provide reference to an attached document.</t>
  </si>
  <si>
    <t>This list will be available as a drop-down in sheet E_SourceStreams (table (g)) to reference the analytical methods to the relevant calculation factors of each source stream.</t>
  </si>
  <si>
    <t>Lab_competence.pdf, 2/3/2012</t>
  </si>
  <si>
    <t>L01</t>
  </si>
  <si>
    <t>L02</t>
  </si>
  <si>
    <r>
      <t>Where applicable, please provide details of the written procedure which describe the quantification methodologies for emissions or CO</t>
    </r>
    <r>
      <rPr>
        <b/>
        <vertAlign val="subscript"/>
        <sz val="10"/>
        <rFont val="Arial"/>
        <family val="2"/>
      </rPr>
      <t>2</t>
    </r>
    <r>
      <rPr>
        <b/>
        <sz val="10"/>
        <rFont val="Arial"/>
        <family val="2"/>
      </rPr>
      <t xml:space="preserve"> released to the water column from potential leakages as well as the applied and possibly adapted quantification methodologies for actual emissions or CO</t>
    </r>
    <r>
      <rPr>
        <b/>
        <vertAlign val="subscript"/>
        <sz val="10"/>
        <rFont val="Arial"/>
        <family val="2"/>
      </rPr>
      <t>2</t>
    </r>
    <r>
      <rPr>
        <b/>
        <sz val="10"/>
        <rFont val="Arial"/>
        <family val="2"/>
      </rPr>
      <t xml:space="preserve"> released to the water column from leakages, as specified in section 23 of Annex IV.</t>
    </r>
  </si>
  <si>
    <t>Please provide details about the written procedure detailing the calculation method used to determine N2O emissions from periodic, unabated sources in nitric acid, adipic acid, caprolactam, glyoxal and glyoxylic acid production.</t>
  </si>
  <si>
    <t>Management &amp; Procedures</t>
  </si>
  <si>
    <t>I. PFC emissions</t>
  </si>
  <si>
    <t>I. Determination of PFC emissions from production of primary aluminium</t>
  </si>
  <si>
    <r>
      <t xml:space="preserve">Please provide the reference to the documented results of a risk assessment that demonstrates that the control activities and procedures are commensurate with the risks identified in accordance with Article 12(1)(b) of the MRR.  (Note: The requirement to </t>
    </r>
    <r>
      <rPr>
        <b/>
        <u/>
        <sz val="10"/>
        <rFont val="Arial"/>
        <family val="2"/>
      </rPr>
      <t>submit</t>
    </r>
    <r>
      <rPr>
        <b/>
        <sz val="10"/>
        <rFont val="Arial"/>
        <family val="2"/>
      </rPr>
      <t xml:space="preserve"> the risk assessment to the CA does not apply to installations with low emissions, in accordance with Article 47(3) of the MRR)</t>
    </r>
  </si>
  <si>
    <t>Please provide details about the procedure used to ensure regular reviews are carried out to identify any planned or effective changes to the capacity, activity level and operation of the installation that have an impact on the installation's allocation.</t>
  </si>
  <si>
    <t>± 7,5%</t>
  </si>
  <si>
    <t>± 5,0%</t>
  </si>
  <si>
    <t>± 2,5%</t>
  </si>
  <si>
    <t>± 1,5%</t>
  </si>
  <si>
    <t>± 17,5%</t>
  </si>
  <si>
    <t>± 12,5%</t>
  </si>
  <si>
    <t>± 15,0%</t>
  </si>
  <si>
    <t>Commercial standard fuels</t>
  </si>
  <si>
    <t>Other gaseous &amp; liquid fuels</t>
  </si>
  <si>
    <t>Solid fuels</t>
  </si>
  <si>
    <t>Flares</t>
  </si>
  <si>
    <t>Scrubbing (carbonate)</t>
  </si>
  <si>
    <t>Scrubbing (gypsum)</t>
  </si>
  <si>
    <t>Catalytic cracker regeneration</t>
  </si>
  <si>
    <t>Hydrogen production</t>
  </si>
  <si>
    <t>Mass balance</t>
  </si>
  <si>
    <t>Fuel as process input</t>
  </si>
  <si>
    <t>Metal ore roasting &amp; sintering</t>
  </si>
  <si>
    <t>Carbonate input</t>
  </si>
  <si>
    <t>Production of iron &amp; steel</t>
  </si>
  <si>
    <t>Production or processing of ferrous and non-ferrous metals, including secondary aluminium</t>
  </si>
  <si>
    <t>Process emissions</t>
  </si>
  <si>
    <t>Primary aluminium production</t>
  </si>
  <si>
    <t>PFC emissions (slope method)</t>
  </si>
  <si>
    <t>PFC emissions (overvoltage method)</t>
  </si>
  <si>
    <t>CKD</t>
  </si>
  <si>
    <t>Non-carbonate carbon</t>
  </si>
  <si>
    <t>Highest</t>
  </si>
  <si>
    <t>Navigation area:</t>
  </si>
  <si>
    <t>Table of contents</t>
  </si>
  <si>
    <t>Previous sheet</t>
  </si>
  <si>
    <t>Next sheet</t>
  </si>
  <si>
    <t>Top of sheet</t>
  </si>
  <si>
    <t>End of sheet</t>
  </si>
  <si>
    <t>E.
Source streams</t>
  </si>
  <si>
    <t>MM1</t>
  </si>
  <si>
    <t>MM2</t>
  </si>
  <si>
    <t>MM3</t>
  </si>
  <si>
    <t>MM4</t>
  </si>
  <si>
    <t>MM5</t>
  </si>
  <si>
    <t>Please provide details about the written procedure which describes the method and parameters used to determine the quantity of materials used in the production process and the maximum quantity of material used at full capacity.</t>
  </si>
  <si>
    <t>(k)</t>
  </si>
  <si>
    <t>Please provide details about the written procedure which describes the method and parameters used to determine the quantity of product produced as an hourly load expressed as nitric acid (100%), adipic acid (100%), glyoxal and glyoxylic acid and caprolactam per hour.</t>
  </si>
  <si>
    <t>(l)</t>
  </si>
  <si>
    <t>(m)</t>
  </si>
  <si>
    <t>(n)</t>
  </si>
  <si>
    <t>Organisation name (if different from the operator):</t>
  </si>
  <si>
    <t>Source stream type</t>
  </si>
  <si>
    <t>Source stream type:</t>
  </si>
  <si>
    <t>IS1</t>
  </si>
  <si>
    <t>IS2</t>
  </si>
  <si>
    <t>IS3</t>
  </si>
  <si>
    <t>IS4</t>
  </si>
  <si>
    <t>IS5</t>
  </si>
  <si>
    <t>IS6</t>
  </si>
  <si>
    <t>IS7</t>
  </si>
  <si>
    <t>IS8</t>
  </si>
  <si>
    <t>IS9</t>
  </si>
  <si>
    <t>IS10</t>
  </si>
  <si>
    <t>IS11</t>
  </si>
  <si>
    <t>IS12</t>
  </si>
  <si>
    <t>IS13</t>
  </si>
  <si>
    <t>IS14</t>
  </si>
  <si>
    <t>IS15</t>
  </si>
  <si>
    <t>The drop-down list for selection of the Source stream type is based upon the activities selected in section 5(c) above. The entry there is required for determining the applicable minimum tier in sheet "E_SourceStreams".</t>
  </si>
  <si>
    <t>Note that in accordance with Article 47(3), installation with low emissions do not have to submit this document to the CA.</t>
  </si>
  <si>
    <t>For showing/hiding examples, press the "Examples" button in the navigation area.</t>
  </si>
  <si>
    <t>Article 41: The minimum tier displayed below shall apply.
Only where you can demonstrate to the satisfaction of the competent authority that application of the tier required is technically not feasible or incurs unreasonable costs, and application of a calculation methodology using the tier levels required by Article 26 is technically not feasible or incurs unreasonable costs, a next lower tier may be used, with a minimum of tier 1.</t>
  </si>
  <si>
    <t>Article 41: One tier lower than the tier displayed below shall apply as a minimum.
Only where you can demonstrate to the satisfaction of the competent authority that application of the tier required is technically not feasible or incurs unreasonable costs, and application of a calculation methodology using the tier levels required by Article 26 is technically not feasible or incurs unreasonable costs, a next lower tier may be used, with a minimum of tier 1.</t>
  </si>
  <si>
    <t>G. Fall-back approaches</t>
  </si>
  <si>
    <t>H. N2O emissions</t>
  </si>
  <si>
    <t>In accordance with Article 21, emissions may be determined using either a calculation based methodology ("calculation") or measurement based methodology ("measurement") except where the use of a specific methodology is mandatory according to the provisions of the MRR.</t>
  </si>
  <si>
    <t>has entry?</t>
  </si>
  <si>
    <t>default value?</t>
  </si>
  <si>
    <t>default value or lab</t>
  </si>
  <si>
    <t>The procedures below should cover the elements of a sampling plan as required by Article 33.  A copy of the procedure should be submitted to the competent authority with the monitoring plan.</t>
  </si>
  <si>
    <t>The source streams may be named like e.g. "natural gas", "heavy fuel oil", "cement raw meal",..</t>
  </si>
  <si>
    <t>EUconst_ERR_CheckEstimatedEmissions</t>
  </si>
  <si>
    <t>Number</t>
  </si>
  <si>
    <t>TEXT (Language Version)</t>
  </si>
  <si>
    <t>English Version (Original)</t>
  </si>
  <si>
    <t>MP P3 Aircraft</t>
  </si>
  <si>
    <t>MP P3 TKM</t>
  </si>
  <si>
    <t>Use by Competent Authority only</t>
  </si>
  <si>
    <t>Euconst_VersionTracking</t>
  </si>
  <si>
    <t>EN 15440:2011 - some deviations regarding sample size and treatment. See procedure ANA-1234/UBA</t>
  </si>
  <si>
    <t>EN 15104:2011. See procedure ANA-1233/UBA</t>
  </si>
  <si>
    <t>Click "+" to add more methods &amp; laboratories</t>
  </si>
  <si>
    <t>You may then either give here references to individual "sub-procedures", or you may provide details of each relevant procedure separately. For the latter, please use the "add procedure" button at the end of this sheet. However, please ensure that clear reference to the appropriate (sub-)procedure can be given in section 8, table g.</t>
  </si>
  <si>
    <t>Analysis of NCV of solid and liquid fuels.</t>
  </si>
  <si>
    <t>Bomb calorimeter method is used. Appropriate amount of sample is based on experience from earlier measurements of similar materials.
Samples are used in dry state (dried at 120°C for at least 6h). NCV is corrected for moisture content by calculation.</t>
  </si>
  <si>
    <t>Solid fuels: as in standard. Liquid fuels: Only slightly adapted from standard; samples are not dried.</t>
  </si>
  <si>
    <t>Company's Laboratory - Head of department. Deputy: HSEQ manager.</t>
  </si>
  <si>
    <t xml:space="preserve">Hardcopy: Laboratory Office, shelf 27/9, Folder identified “ETS 01-ANA-yyyy” (where yyyy is the current year).
Electronically: “P:\ETS_MRV\labs\ETS_01-ANA-yyyy.xls”
</t>
  </si>
  <si>
    <t>Internal log of the lab (MS Access database): sample numbers and origin/name of sample are tracked together with the results.</t>
  </si>
  <si>
    <t>EN 14918:2009 with modifications for using also for non-biomass and liquid fuels.</t>
  </si>
  <si>
    <t>Where a number of procedures are used for a similar purpose but for different source streams or parameters, please provide details of an overarching procedure which covers the common elements and quality assurance of the applied methods.</t>
  </si>
  <si>
    <t>Description of the procedure used to keep track of instruments installed in the installation used for determining activity data.</t>
  </si>
  <si>
    <t>MI03</t>
  </si>
  <si>
    <t>Example data:</t>
  </si>
  <si>
    <t>Uncertainty shall not be more than ± 2.5%</t>
  </si>
  <si>
    <t>Uncertainty shall not be more than ± 5.0%</t>
  </si>
  <si>
    <t>Please note that the guiding text is only displayed for the first measurement point.</t>
  </si>
  <si>
    <t>If you want to display data for further measurement points, please click on the "+" signs at the left (data grouping function).</t>
  </si>
  <si>
    <t>For adding further measurement points, please go to section 6.d in sheet C_InstallationDescription, and use the macro there.</t>
  </si>
  <si>
    <t>The example is integrated in the first measurement point.</t>
  </si>
  <si>
    <t>EUconst_CEMSType</t>
  </si>
  <si>
    <t>MM2: Flow</t>
  </si>
  <si>
    <t>MM1: CO2</t>
  </si>
  <si>
    <t>Tier def.</t>
  </si>
  <si>
    <t>xxx</t>
  </si>
  <si>
    <t>LC1</t>
  </si>
  <si>
    <t>LC2</t>
  </si>
  <si>
    <t>LC3</t>
  </si>
  <si>
    <t>LC4</t>
  </si>
  <si>
    <t>LC5</t>
  </si>
  <si>
    <t>LC6</t>
  </si>
  <si>
    <t>LC7</t>
  </si>
  <si>
    <t>LC8</t>
  </si>
  <si>
    <t>LC9</t>
  </si>
  <si>
    <t>LC10</t>
  </si>
  <si>
    <t>LC11</t>
  </si>
  <si>
    <t>LC12</t>
  </si>
  <si>
    <t>LC13</t>
  </si>
  <si>
    <t>LC14</t>
  </si>
  <si>
    <t>EUconst_FurtherGuidancePoint1</t>
  </si>
  <si>
    <t>If your competent authority requires you to hand in a signed paper copy of the monitoring plan, please use the space below for signature:</t>
  </si>
  <si>
    <t>Date</t>
  </si>
  <si>
    <t>Name and Signature of 
legally responsible person</t>
  </si>
  <si>
    <t>Who can we contact about your monitoring plan?</t>
  </si>
  <si>
    <t>Please list any abbreviations, acronyms or definitions that you have used in completing this monitoring plan.</t>
  </si>
  <si>
    <t>Abbreviation</t>
  </si>
  <si>
    <t>Definition</t>
  </si>
  <si>
    <t>Additional information</t>
  </si>
  <si>
    <t>Please provide details about the written procedures in accordance with Article 44 of the MRR.</t>
  </si>
  <si>
    <t>Where a number of procedures are used for a similar purpose but for different emission sources or measurement points, please provide details of an overarching procedure which covers the common elements and quality assurance of the applied methods.</t>
  </si>
  <si>
    <t>You may then either give here references to individual "sub-procedures", or you may provide details of each relevant procedure separately. For the latter, please use the "add procedure" button at the end of this sheet. However, please ensure that clear reference to the appropriate (sub-)procedure can be given.</t>
  </si>
  <si>
    <t>Please provide details about the written procedures which describe the methods used for determining the valid hours (or shorter reference periods) for each parameter and for substitution of missing data.</t>
  </si>
  <si>
    <t>If you want to display data for further source streams, please click on the "+" signs at the left (data grouping function).</t>
  </si>
  <si>
    <t>For adding further source streams, please go to section 6.e in sheet C_InstallationDescription, and use the macro there.</t>
  </si>
  <si>
    <t>The example is integrated in the first source stream.</t>
  </si>
  <si>
    <t>The following categories of tiers are used for your guidance (in accordance with guidance document 1):</t>
  </si>
  <si>
    <t>Depending on the tier selected (default values or laboratory analysis), you are required to enter the following information for each calculation factor as applicable:</t>
  </si>
  <si>
    <t>Please provide any relevant comments below. Explanations may in particular be required for e.g. the biomass estimation method, the proxy method (correlation), etc.</t>
  </si>
  <si>
    <t>List of information sources for default values of calculation factors:</t>
  </si>
  <si>
    <t xml:space="preserve">Please list all relevant information sources, from which you derive default values for calculation factors according to Article 31. </t>
  </si>
  <si>
    <t>These are usually static sources such as e.g. National Inventory, IPCC, MRR Annex VI, Handbook of Chemistry &amp; Physics...).</t>
  </si>
  <si>
    <t>Only where the default values change on an annual basis, the operator shall specify the authoritative applicable source of that value by means of a dynamic source, such as the CA's Website.</t>
  </si>
  <si>
    <t>L6</t>
  </si>
  <si>
    <t>L7</t>
  </si>
  <si>
    <t>L8</t>
  </si>
  <si>
    <t>L9</t>
  </si>
  <si>
    <t>L10</t>
  </si>
  <si>
    <t>L11</t>
  </si>
  <si>
    <t>L12</t>
  </si>
  <si>
    <t>L13</t>
  </si>
  <si>
    <t>L14</t>
  </si>
  <si>
    <t>L15</t>
  </si>
  <si>
    <r>
      <t>Brief description</t>
    </r>
    <r>
      <rPr>
        <sz val="8"/>
        <rFont val="Arial"/>
        <family val="2"/>
      </rPr>
      <t xml:space="preserve"> of procedure    </t>
    </r>
  </si>
  <si>
    <t>end</t>
  </si>
  <si>
    <t>Check source stream category</t>
  </si>
  <si>
    <t>auto</t>
  </si>
  <si>
    <t>manual</t>
  </si>
  <si>
    <t>Trade partner</t>
  </si>
  <si>
    <t>Description of the written procedures for analyses:</t>
  </si>
  <si>
    <t>Description of the procedure for the sampling plans for the analyses:</t>
  </si>
  <si>
    <t>Description of the procedure to be used to revise the appropriateness of the sampling plan:</t>
  </si>
  <si>
    <t>Description of the procedure to be used to estimate stocks at the beginning/end of the reporting year (if applicable):</t>
  </si>
  <si>
    <t>Emission sources</t>
  </si>
  <si>
    <t>Source streams (fuels/materials)</t>
  </si>
  <si>
    <t xml:space="preserve">For further guidance please consult points (b), (c) and (e) above. </t>
  </si>
  <si>
    <t>MW(th)</t>
  </si>
  <si>
    <t>Capacity units</t>
  </si>
  <si>
    <t>For further guidance please consult Articles 28 and 29 of the MRR and section 5.3 of Guidance Document 1.</t>
  </si>
  <si>
    <t>Please choose "operator" if the measurement instrument is under your own control and "Trade partner" if it is outside your own control.</t>
  </si>
  <si>
    <t>ETS personnel management</t>
  </si>
  <si>
    <t>HSEQ deputy head of unit</t>
  </si>
  <si>
    <t xml:space="preserve">Hardcopy: HSEQ Office, shelf 27/9, Folder identified “ETS 01-P”. Electronically: “P:\ETS_MRV\manag\ETS_01-P.xls”
</t>
  </si>
  <si>
    <t>N.A. (Normal network drives)</t>
  </si>
  <si>
    <t xml:space="preserve">• Responsible person maintains a list of personnel involved in ETS data management
</t>
  </si>
  <si>
    <t>• Responsible person manages internal and external training according to identified needs.</t>
  </si>
  <si>
    <t xml:space="preserve">• Responsible person holds at least one meeting per year with each involved person, at least 4 meetings with key staff as defined in the annex of the procedure; Aim: Identification of training needs </t>
  </si>
  <si>
    <t>N.A.</t>
  </si>
  <si>
    <t>Carbonate input material [t]</t>
  </si>
  <si>
    <t>Oxide output [t]</t>
  </si>
  <si>
    <t>Emission source ref</t>
  </si>
  <si>
    <t>Emission points</t>
  </si>
  <si>
    <t>If the data flow (and audit trail) is complete, all responsibilities should be found in descriptions of procedures and no further persons need to be added.</t>
  </si>
  <si>
    <t>K.
Management Control</t>
  </si>
  <si>
    <t>Note: this section is to be completed for determination of emissions of perfluorocarbons from production or processing of primary aluminium at an installation.  As a "calculation based approach" is used here, make sure you have entered all appropriate data (except the source stream details and procedures to be provided in this sheet) in section 7 (sheet D_CalculationBasedApproaches).</t>
  </si>
  <si>
    <t>Netherlands</t>
  </si>
  <si>
    <t>Poland</t>
  </si>
  <si>
    <t>Portugal</t>
  </si>
  <si>
    <t>Romania</t>
  </si>
  <si>
    <t>Slovakia</t>
  </si>
  <si>
    <t>Slovenia</t>
  </si>
  <si>
    <t>Definitions and abbreviations</t>
  </si>
  <si>
    <t>Measurement of emissions</t>
  </si>
  <si>
    <t>Measurement points</t>
  </si>
  <si>
    <t>Please confirm which of the following monitoring approaches you propose to apply:</t>
  </si>
  <si>
    <t>Art. 26(1): The minimum tiers displayed below shall at least apply. 
However, you may apply a tier up to two levels lower, with a minimum of tier 1, where you can show to the satisfaction of the competent authority that the tier required in accordance with the first subparagraph is technically not feasible or incurs unreasonable costs.</t>
  </si>
  <si>
    <t>Art. 26(1): The minimum tiers displayed below shall at least apply.
However, you may apply a tier up to two levels lower, with a minimum of tier 1, where you can show to the satisfaction of the competent authority that the tier required in accordance with the first subparagraph is technically not feasible or incurs unreasonable costs.</t>
  </si>
  <si>
    <t>Art. 26(1): The minimum tiers displayed below shall at least apply.
However, you may apply a tier one level lower, with a minimum of tier 1, where you can show to the satisfaction of the competent authority that the tier required in accordance with the first subparagraph is technically not feasible or incurs unreasonable costs.</t>
  </si>
  <si>
    <t>GHG measured</t>
  </si>
  <si>
    <t>This message on applicable tiers is relevant for the activity data and for all calculation factors.</t>
  </si>
  <si>
    <t>Typical use range</t>
  </si>
  <si>
    <t>Combustion of fuels</t>
  </si>
  <si>
    <t>BiomassTiers</t>
  </si>
  <si>
    <t>Ref</t>
  </si>
  <si>
    <t>Lab Ref</t>
  </si>
  <si>
    <t>L4</t>
  </si>
  <si>
    <t>L5</t>
  </si>
  <si>
    <r>
      <t>Note: the above data shall include transferred CO</t>
    </r>
    <r>
      <rPr>
        <i/>
        <vertAlign val="subscript"/>
        <sz val="8"/>
        <color indexed="18"/>
        <rFont val="Arial"/>
        <family val="2"/>
      </rPr>
      <t>2</t>
    </r>
    <r>
      <rPr>
        <i/>
        <sz val="8"/>
        <color indexed="18"/>
        <rFont val="Arial"/>
        <family val="2"/>
      </rPr>
      <t>, but exclude CO</t>
    </r>
    <r>
      <rPr>
        <i/>
        <vertAlign val="subscript"/>
        <sz val="8"/>
        <color indexed="18"/>
        <rFont val="Arial"/>
        <family val="2"/>
      </rPr>
      <t>2</t>
    </r>
    <r>
      <rPr>
        <i/>
        <sz val="8"/>
        <color indexed="18"/>
        <rFont val="Arial"/>
        <family val="2"/>
      </rPr>
      <t xml:space="preserve"> stemming from biomass.</t>
    </r>
  </si>
  <si>
    <t>Justification if required tiers are not applied:</t>
  </si>
  <si>
    <t>Relevant source streams:</t>
  </si>
  <si>
    <t>Emission points and emitted GHGs:</t>
  </si>
  <si>
    <t>Emissions sources:</t>
  </si>
  <si>
    <t>Estimated emissions and source stream categories:</t>
  </si>
  <si>
    <t>Net calorific value (NCV)</t>
  </si>
  <si>
    <t>calculation factor</t>
  </si>
  <si>
    <t>Type I default value</t>
  </si>
  <si>
    <t>Established proxies (if applicable)</t>
  </si>
  <si>
    <t>Laboratory analyses</t>
  </si>
  <si>
    <t>Laboratory analyses &amp; stoichiometric values</t>
  </si>
  <si>
    <t>Type I default values</t>
  </si>
  <si>
    <t>Type II default values</t>
  </si>
  <si>
    <t>Monitoring approaches</t>
  </si>
  <si>
    <t>Source streams</t>
  </si>
  <si>
    <t>Activities excluded</t>
  </si>
  <si>
    <t>Emission sources&amp;points</t>
  </si>
  <si>
    <t>Furthermore some of the information required for the monitoring of transferred CO2 and inherent CO2 is to be reported here.</t>
  </si>
  <si>
    <r>
      <t>Note: This section is to be completed for continuous measurement of CO</t>
    </r>
    <r>
      <rPr>
        <b/>
        <i/>
        <vertAlign val="subscript"/>
        <sz val="8"/>
        <color indexed="18"/>
        <rFont val="Arial"/>
        <family val="2"/>
      </rPr>
      <t>2</t>
    </r>
    <r>
      <rPr>
        <b/>
        <i/>
        <sz val="8"/>
        <color indexed="18"/>
        <rFont val="Arial"/>
        <family val="2"/>
      </rPr>
      <t xml:space="preserve"> emissions as well as N</t>
    </r>
    <r>
      <rPr>
        <b/>
        <i/>
        <vertAlign val="subscript"/>
        <sz val="8"/>
        <color indexed="18"/>
        <rFont val="Arial"/>
        <family val="2"/>
      </rPr>
      <t>2</t>
    </r>
    <r>
      <rPr>
        <b/>
        <i/>
        <sz val="8"/>
        <color indexed="18"/>
        <rFont val="Arial"/>
        <family val="2"/>
      </rPr>
      <t>O emissions.</t>
    </r>
  </si>
  <si>
    <t>This sheet is relevant for all types of installations</t>
  </si>
  <si>
    <t>Please provide a process diagram containing all relevant emission points during typical operation and during 'non-typical' operations, i.e. restrictive and transition phases, including breakdown periods or commissioning phases.</t>
  </si>
  <si>
    <t>Process diagram where requested by the Competent Authority:</t>
  </si>
  <si>
    <t>Type I default values: Either standard factors listed in Annex VI (i.e. in principle IPCC values) or other constant values in accordance with points (d) or (e) of Article 31(1), i.e. values guaranteed by the supplier or analyses carried out in the past but still valid.</t>
  </si>
  <si>
    <t>http://ec.europa.eu/clima/policies/ets/index_en.htm</t>
  </si>
  <si>
    <t xml:space="preserve">Contact details </t>
  </si>
  <si>
    <t>- planning and carrying out regular checks to determine whether any planned or effective changes to the capacity, activity level and operation of an installation are relevant under Commission Decision 2011/278/EC; and</t>
  </si>
  <si>
    <t>Where CO2 stemming from biomass is included in the emissions measurement, please provide details about the written procedure detailing how the biomass CO2 is to be determined and subtracted from the measured CO2 emissions, where applicable, in accordance with Article 43(4) of the MRR.</t>
  </si>
  <si>
    <t>(p)</t>
  </si>
  <si>
    <t>Please provide details about the written procedure describing the method and parameters used to determine the N2O concentration in the flue gas from each emission source, its operating range, and its uncertainty, and details of any alternative methods to be applied if concentrations fall outside the operating range and the situations when this may occur.</t>
  </si>
  <si>
    <t>The brief description should identify how information technology is tested and controlled, including access control, back-up, recovery and security.</t>
  </si>
  <si>
    <t>These could be outlined in a tree diagram or organisational chart attached to your submission</t>
  </si>
  <si>
    <t>(c)</t>
  </si>
  <si>
    <t>(o)</t>
  </si>
  <si>
    <t>The brief description should identify how the assessments of inherent risks and control risks are undertaken when establishing an effective control system.</t>
  </si>
  <si>
    <t>EP6</t>
  </si>
  <si>
    <t>EP7</t>
  </si>
  <si>
    <t>EP8</t>
  </si>
  <si>
    <t>EP9</t>
  </si>
  <si>
    <t>EP10</t>
  </si>
  <si>
    <t>F6</t>
  </si>
  <si>
    <t>F7</t>
  </si>
  <si>
    <t>F8</t>
  </si>
  <si>
    <t>F9</t>
  </si>
  <si>
    <t>F10</t>
  </si>
  <si>
    <t>M3</t>
  </si>
  <si>
    <t>M4</t>
  </si>
  <si>
    <t>M5</t>
  </si>
  <si>
    <t>error?</t>
  </si>
  <si>
    <t>Calculation approach for CO2:</t>
  </si>
  <si>
    <t>Measurement approach for CO2:</t>
  </si>
  <si>
    <t>Description of the calculation based approach for monitoring CO2 emissions at your installation, if applicable:</t>
  </si>
  <si>
    <t>MI9</t>
  </si>
  <si>
    <t>MI10</t>
  </si>
  <si>
    <t>LT</t>
  </si>
  <si>
    <t>LU</t>
  </si>
  <si>
    <t>MT</t>
  </si>
  <si>
    <t>NL</t>
  </si>
  <si>
    <t>PL</t>
  </si>
  <si>
    <t>PT</t>
  </si>
  <si>
    <t>RO</t>
  </si>
  <si>
    <t>SK</t>
  </si>
  <si>
    <t>SI</t>
  </si>
  <si>
    <t>ES</t>
  </si>
  <si>
    <t>SE</t>
  </si>
  <si>
    <t>UK</t>
  </si>
  <si>
    <t>Template provided by:</t>
  </si>
  <si>
    <t>Language version:</t>
  </si>
  <si>
    <t>Reference filename:</t>
  </si>
  <si>
    <t>Publication date:</t>
  </si>
  <si>
    <t>Template version information:</t>
  </si>
  <si>
    <t>Information about this file:</t>
  </si>
  <si>
    <t>NO</t>
  </si>
  <si>
    <t xml:space="preserve">(b) </t>
  </si>
  <si>
    <r>
      <t>Please provide a detailed description of the monitoring methodology used to determine inherent or transferred CO</t>
    </r>
    <r>
      <rPr>
        <b/>
        <vertAlign val="subscript"/>
        <sz val="10"/>
        <rFont val="Arial"/>
        <family val="2"/>
      </rPr>
      <t>2</t>
    </r>
    <r>
      <rPr>
        <b/>
        <sz val="10"/>
        <rFont val="Arial"/>
        <family val="2"/>
      </rPr>
      <t xml:space="preserve">. </t>
    </r>
  </si>
  <si>
    <t>Operator</t>
  </si>
  <si>
    <t>Installation Name</t>
  </si>
  <si>
    <t>Version list</t>
  </si>
  <si>
    <t>Languages list</t>
  </si>
  <si>
    <t>Before you use this file, please carry out the following steps:</t>
  </si>
  <si>
    <t>Please describe the procedure to be used to estimate stock changes of any source streams which are monitored using batch metering, e.g. where invoices are used.</t>
  </si>
  <si>
    <t xml:space="preserve">&lt;&lt;&lt; Click here to proceed to next sheet &gt;&gt;&gt; </t>
  </si>
  <si>
    <t xml:space="preserve">Please select here one or more from the instruments which you have defined in section 7(b). </t>
  </si>
  <si>
    <t>Please note that the guiding text is only displayed for the first source stream.</t>
  </si>
  <si>
    <t>For mass balance source streams the absolute values will be taken into account for the classification.</t>
  </si>
  <si>
    <t>Please note that this automatic display only provides information about the possible category for each source stream as a stand-alone. If any of the thresholds explained above are exceeded, the possible categories will not change but an error message will occur. In that case please select at least a category one level higher.</t>
  </si>
  <si>
    <t>Error message (sum of minor source streams):</t>
  </si>
  <si>
    <t>Error message (sum of de-minimis source streams):</t>
  </si>
  <si>
    <t>Please provide details about the written procedures for the analyses listed above in table 7(e). The description should cover the essential parameters and operations performed.</t>
  </si>
  <si>
    <t>Parameter to which uncertainty applies:</t>
  </si>
  <si>
    <t>If any of the tiers required pursuant to Article 26 is not applied for activity data or any of the applicable calculation factors, please give a justification here.</t>
  </si>
  <si>
    <t>B. Operator &amp; Installation Identification</t>
  </si>
  <si>
    <t>The list here will be available as a drop-down list at the following points below (d and e) where a reference to the relevant emission point is needed.</t>
  </si>
  <si>
    <t>The list here will be available as a drop-down list at the following points below (c, d and e) where a reference to the relevant emission sources is needed.</t>
  </si>
  <si>
    <t>Measurement frequency</t>
  </si>
  <si>
    <t>If applicable, please describe also the methodology by which emissions from biomass are determined (using a calculation approach) for subtraction from the total emissions.</t>
  </si>
  <si>
    <t>This section is optional for Member States</t>
  </si>
  <si>
    <r>
      <t>Description</t>
    </r>
    <r>
      <rPr>
        <sz val="8"/>
        <rFont val="Arial"/>
        <family val="2"/>
      </rPr>
      <t xml:space="preserve"> of the relevant </t>
    </r>
    <r>
      <rPr>
        <u/>
        <sz val="8"/>
        <rFont val="Arial"/>
        <family val="2"/>
      </rPr>
      <t>processing steps</t>
    </r>
    <r>
      <rPr>
        <sz val="8"/>
        <rFont val="Arial"/>
        <family val="2"/>
      </rPr>
      <t xml:space="preserve"> for each specific data flow activity</t>
    </r>
    <r>
      <rPr>
        <i/>
        <sz val="8"/>
        <rFont val="Arial"/>
        <family val="2"/>
      </rPr>
      <t xml:space="preserve"> </t>
    </r>
  </si>
  <si>
    <t>Under "Description of the relevant processing steps", please identify each step in the data flow from primary data to annual emissions which reflect the sequence and interaction between data flow activities and include the formulas and data used to determine emissions from the primary data.  Include details of any relevant electronic data processing and storage systems and other inputs (including manual inputs) and confirm how outputs of data flow activities are recorded.</t>
  </si>
  <si>
    <t>Does your organisation have a documented environmental management system?</t>
  </si>
  <si>
    <t>a_Contents</t>
  </si>
  <si>
    <t>b_Guidelines and conditions</t>
  </si>
  <si>
    <t>Member States may allow operators and aircraft operators to use standardised or simplified monitoring plans, without prejudice to Article 12(3). 
For that purpose, Member States may publish templates for those monitoring plans, including the description of data flow and control procedures referred to in Article 57 and Article 58, based on the templates and guidelines published by the Commission.</t>
  </si>
  <si>
    <t>± 10,0%</t>
  </si>
  <si>
    <t>EUconst_CNTR_CEMS</t>
  </si>
  <si>
    <t>CEMS_</t>
  </si>
  <si>
    <t>Calculation - applicable tiers</t>
  </si>
  <si>
    <t>Measurement - applicable tiers</t>
  </si>
  <si>
    <t>source stream cat.</t>
  </si>
  <si>
    <t>Emission source cat.</t>
  </si>
  <si>
    <t>EUconst_Relevant</t>
  </si>
  <si>
    <t>EUconst_NotRelevant</t>
  </si>
  <si>
    <t>not relevant</t>
  </si>
  <si>
    <t>relevant</t>
  </si>
  <si>
    <t>The brief description should identify how all relevant measurement equipment is calibrated and checked at regular intervals, if applicable, and how non-compliance with the required performance is dealt with.</t>
  </si>
  <si>
    <t>Please provide details about the procedures used to ensure quality assurance of information technology used for data flow activities in accordance with Article 58 and 60 of the MRR.</t>
  </si>
  <si>
    <t>Please provide details about the procedures used to ensure regular internal reviews and validation of data in accordance with Articles 58 and 62 of the MRR.</t>
  </si>
  <si>
    <t>Please provide details about the procedures used to handle corrections and corrective actions in accordance with Articles 58 and 63 of the MRR.</t>
  </si>
  <si>
    <t>Method applicable according to MRR:</t>
  </si>
  <si>
    <t>Automatic guidance on applicable tiers:</t>
  </si>
  <si>
    <t xml:space="preserve">(c) </t>
  </si>
  <si>
    <t>Emission source ref.</t>
  </si>
  <si>
    <t>Location</t>
  </si>
  <si>
    <t>Turbine meter</t>
  </si>
  <si>
    <t>Rotary meter</t>
  </si>
  <si>
    <t>Bellows meter</t>
  </si>
  <si>
    <t>Type of measurement device</t>
  </si>
  <si>
    <t>Specified
uncertainty
(+/-%)</t>
  </si>
  <si>
    <t>Emission factor</t>
  </si>
  <si>
    <t>Oxidation factor</t>
  </si>
  <si>
    <t>Conversion factor</t>
  </si>
  <si>
    <t>Orifice meter</t>
  </si>
  <si>
    <t>Venturi meter</t>
  </si>
  <si>
    <t>Ultrasonic meter</t>
  </si>
  <si>
    <t>Vortex meter</t>
  </si>
  <si>
    <t>Coriolis meter</t>
  </si>
  <si>
    <t>Ovalrad meter</t>
  </si>
  <si>
    <t>Electronic volume conversion instrument (EVCI)</t>
  </si>
  <si>
    <t>MeteringDevices</t>
  </si>
  <si>
    <t>member state/CA prefix</t>
  </si>
  <si>
    <t>Competent Authority</t>
  </si>
  <si>
    <t>AnnexIActivities</t>
  </si>
  <si>
    <t>Production of coke</t>
  </si>
  <si>
    <t xml:space="preserve">Refining of mineral oil </t>
  </si>
  <si>
    <t>Metal ore roasting or sintering</t>
  </si>
  <si>
    <t>Production of pig iron or steel</t>
  </si>
  <si>
    <t>Production or processing of ferrous metals</t>
  </si>
  <si>
    <t>Production of primary aluminium</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</si>
  <si>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</si>
  <si>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</si>
  <si>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</si>
  <si>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</si>
  <si>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</si>
  <si>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</si>
  <si>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</si>
  <si>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or processing of gypsum or plasterboard</t>
  </si>
  <si>
    <t>Production of pulp</t>
  </si>
  <si>
    <t>Production of paper or cardboard</t>
  </si>
  <si>
    <t>Production of carbon black</t>
  </si>
  <si>
    <t>Production of adipic acid</t>
  </si>
  <si>
    <t>Production of glyoxal and glyoxylic acid</t>
  </si>
  <si>
    <t>Production of ammonia</t>
  </si>
  <si>
    <t>The typical use range refers to the range the relevant measuring instrument is usually used in your installation.</t>
  </si>
  <si>
    <t xml:space="preserve">http://ec.europa.eu/clima/policies/ets/docs/guidance_interpretation_en.pdf </t>
  </si>
  <si>
    <t xml:space="preserve">Type II default values: Country specific emission factors in accordance with points (b) and (c) of Article 31(1), i.e. values used for the national GHG inventory , more values published by the CA for more disaggregated fuel types, or other literature values which are agreed by the competent authority .
</t>
  </si>
  <si>
    <t>net calorific value for specific coal types.</t>
  </si>
  <si>
    <t>density measurement of specific oils or gases, including those common to the refinery or steel industry, or</t>
  </si>
  <si>
    <t>Type II default values:</t>
  </si>
  <si>
    <t xml:space="preserve">Established proxies: </t>
  </si>
  <si>
    <t xml:space="preserve">Purchasing records: </t>
  </si>
  <si>
    <t xml:space="preserve">Laboratory analyses: </t>
  </si>
  <si>
    <t>Note:</t>
  </si>
  <si>
    <t>Please provide a concise description of the calculation approach, including formulae, used to determine your annual CO2 emissions in the text box below.</t>
  </si>
  <si>
    <t>location (internal ID)</t>
  </si>
  <si>
    <t>Description of the installation and its activities:</t>
  </si>
  <si>
    <t>Estimated annual emissions</t>
  </si>
  <si>
    <t>Applied tiers for calculation factors:</t>
  </si>
  <si>
    <t>Details for calculation factors:</t>
  </si>
  <si>
    <t>Example Source Stream:</t>
  </si>
  <si>
    <t>Tier level required:</t>
  </si>
  <si>
    <t>Tier used:</t>
  </si>
  <si>
    <t>Comments and explanations:</t>
  </si>
  <si>
    <t>Standards and procedures:</t>
  </si>
  <si>
    <t>Instruments and tier levels:</t>
  </si>
  <si>
    <t>Please provide the reference to a process diagram containing all relevant emission sources and emission points during typical operation and during 'non-typical' operations, i.e. restrictive and transition phases, including breakdown periods or commissioning phases.</t>
  </si>
  <si>
    <t>List of source streams to be monitored regarding PFCs:</t>
  </si>
  <si>
    <t>In the case of PFC emissions, two methodologies (A: Slope method, B: Overvoltage Method) may be used. Several cell types may exist in an installation (e.g. different technologies or years of construction) which may exhibit different emission characteristics.</t>
  </si>
  <si>
    <t xml:space="preserve">Groups of cells which are monitored using the same method and which exhibit the same emission characteristics (same emission factors) should be considered as "source streams" (i.e. entities to be monitored) in analogy to other calculation based monitoring approaches. </t>
  </si>
  <si>
    <t>Please indicate here in the list of the "source streams" of your installation the monitoring methodology and cell/anode type as appropriate. The list is automatically taken from section 6.e in sheet C_InstallationDescription.</t>
  </si>
  <si>
    <t>This list will then be used in the following section for defining further details for each source stream.</t>
  </si>
  <si>
    <t>Monitoring method</t>
  </si>
  <si>
    <t>Monitoring details for source streams of PFC emissions</t>
  </si>
  <si>
    <t>Activity Data</t>
  </si>
  <si>
    <t>Primary aluminium production:</t>
  </si>
  <si>
    <t>Method A: number of Anode effects per cell-day</t>
  </si>
  <si>
    <t>Method A: average anode effect minutes per occurrence</t>
  </si>
  <si>
    <t>Method B: anode effect overvoltage per cell</t>
  </si>
  <si>
    <t>Method B: Current efficiency</t>
  </si>
  <si>
    <t>iii - assessment of potential measures for improvement of the monitoring methodology applied.</t>
  </si>
  <si>
    <t>Please provide details about the procedures used to manage data flow activities in accordance with Article 57 of the MRR.</t>
  </si>
  <si>
    <t>Please provide details about the procedures used to assess inherent risks and control risks in accordance with Article 58 of the MRR.</t>
  </si>
  <si>
    <t>Please provide details about the procedures used to ensure quality assurance of measuring equipment in accordance with Article 58 and 59 of the MRR.</t>
  </si>
  <si>
    <t>For fuels, the operator shall derive activity-specific factors based on the relevant carbon contents of ashes, effluents and other wastes and by-products, and other relevant incompletely oxidised gaseous forms of carbon emitted except CO. Composition data shall be
determined in accordance with Article 32 to 35.</t>
  </si>
  <si>
    <t>Carbonate input (Method A)</t>
  </si>
  <si>
    <t>Oxide output (Method B)</t>
  </si>
  <si>
    <t>make grey?</t>
  </si>
  <si>
    <t>Gas Processing Terminals</t>
  </si>
  <si>
    <t>Activity Ref. (A1, A2…)</t>
  </si>
  <si>
    <t>GHG emitted</t>
  </si>
  <si>
    <t>Emission point ref
EP1, EP2,...</t>
  </si>
  <si>
    <t>Activity Ref.</t>
  </si>
  <si>
    <t>Emission source ref.
S1, S2,...</t>
  </si>
  <si>
    <t>Emission source (name, description)</t>
  </si>
  <si>
    <t>Source Stream ref. F1, F2,...</t>
  </si>
  <si>
    <t>Source stream Name</t>
  </si>
  <si>
    <t>Possible category</t>
  </si>
  <si>
    <t>Selected category</t>
  </si>
  <si>
    <t>Description</t>
  </si>
  <si>
    <t>E. SourceStreams</t>
  </si>
  <si>
    <r>
      <t>Where a tier 2 emission factor is applied, please provide details about the protocol describing the written procedure used to determine the installation specific emission factors for CF</t>
    </r>
    <r>
      <rPr>
        <b/>
        <vertAlign val="subscript"/>
        <sz val="10"/>
        <rFont val="Arial"/>
        <family val="2"/>
      </rPr>
      <t>4</t>
    </r>
    <r>
      <rPr>
        <b/>
        <sz val="10"/>
        <rFont val="Arial"/>
        <family val="2"/>
      </rPr>
      <t xml:space="preserve"> and C</t>
    </r>
    <r>
      <rPr>
        <b/>
        <vertAlign val="subscript"/>
        <sz val="10"/>
        <rFont val="Arial"/>
        <family val="2"/>
      </rPr>
      <t>2</t>
    </r>
    <r>
      <rPr>
        <b/>
        <sz val="10"/>
        <rFont val="Arial"/>
        <family val="2"/>
      </rPr>
      <t>F</t>
    </r>
    <r>
      <rPr>
        <b/>
        <vertAlign val="subscript"/>
        <sz val="10"/>
        <rFont val="Arial"/>
        <family val="2"/>
      </rPr>
      <t>6</t>
    </r>
    <r>
      <rPr>
        <b/>
        <sz val="10"/>
        <rFont val="Arial"/>
        <family val="2"/>
      </rPr>
      <t xml:space="preserve">. </t>
    </r>
  </si>
  <si>
    <r>
      <t>For transport networks, please provide details of the written procedure for ensuring that CO</t>
    </r>
    <r>
      <rPr>
        <b/>
        <vertAlign val="subscript"/>
        <sz val="10"/>
        <rFont val="Arial"/>
        <family val="2"/>
      </rPr>
      <t>2</t>
    </r>
    <r>
      <rPr>
        <b/>
        <sz val="10"/>
        <rFont val="Arial"/>
        <family val="2"/>
      </rPr>
      <t xml:space="preserve"> is transferred only to installations which have a valid greenhouse gas emission permit, or where any emitted CO</t>
    </r>
    <r>
      <rPr>
        <b/>
        <vertAlign val="subscript"/>
        <sz val="10"/>
        <rFont val="Arial"/>
        <family val="2"/>
      </rPr>
      <t>2</t>
    </r>
    <r>
      <rPr>
        <b/>
        <sz val="10"/>
        <rFont val="Arial"/>
        <family val="2"/>
      </rPr>
      <t xml:space="preserve"> is effectively monitored and accounted for in accordance with Article 49.</t>
    </r>
  </si>
  <si>
    <t>Please list all equipment used for measurement of temperature and pressure in the transport network in the determination of emissions from leakage events in accordance with section 22 of Annex IV of the MRR.</t>
  </si>
  <si>
    <t>Please provide details about the procedures used to control outsourced processes in accordance with Articles 59 and 64 of the MRR.</t>
  </si>
  <si>
    <t>Please provide details about the procedures used to manage record keeping and documentation in accordance with Articles 58 and 66 of the MRR.</t>
  </si>
  <si>
    <t>SourceCategory</t>
  </si>
  <si>
    <t>Major</t>
  </si>
  <si>
    <t>Minor</t>
  </si>
  <si>
    <t>De-minimis</t>
  </si>
  <si>
    <t>tonnes per day</t>
  </si>
  <si>
    <t>Biomass content</t>
  </si>
  <si>
    <t>Example lab 2</t>
  </si>
  <si>
    <t>Heavy fuel oil</t>
  </si>
  <si>
    <t>Production of lime and calcination of dolomite and magnesite</t>
  </si>
  <si>
    <t>Kiln input based (Method A)</t>
  </si>
  <si>
    <t>Clinker output (Method B)</t>
  </si>
  <si>
    <t>Amount of fuel [t] or [Nm3]</t>
  </si>
  <si>
    <t>Amount of fuel [t]</t>
  </si>
  <si>
    <t>Amount of flare gas [Nm3]</t>
  </si>
  <si>
    <t>Amount carbonate consumed [t]</t>
  </si>
  <si>
    <t>Amount gypsum produced [t]</t>
  </si>
  <si>
    <t>Uncertainty requirements apply separately for each emission source</t>
  </si>
  <si>
    <t>Hydrocarbon feed [t]</t>
  </si>
  <si>
    <t>Each input and output material [t]</t>
  </si>
  <si>
    <t>Carbonate input material and process residues [t]</t>
  </si>
  <si>
    <t>Each mass flow into and from the installation [t]</t>
  </si>
  <si>
    <t>Each relevant kiln input [t]</t>
  </si>
  <si>
    <t>Clinker produced [t]</t>
  </si>
  <si>
    <t>CKD or bypass dust [t]</t>
  </si>
  <si>
    <t>Each raw material [t]</t>
  </si>
  <si>
    <t>Carbonates (Method A)</t>
  </si>
  <si>
    <t>Alkali earth oxide (Method B)</t>
  </si>
  <si>
    <t>Kiln dust [t]</t>
  </si>
  <si>
    <t>Lime produced [t]</t>
  </si>
  <si>
    <t>Manufacture of glass and mineral wool</t>
  </si>
  <si>
    <t>Carbonates (input)</t>
  </si>
  <si>
    <t>Manufacture of ceramic products</t>
  </si>
  <si>
    <t>Carbon inputs (Method A)</t>
  </si>
  <si>
    <t>Alkali oxide (Method B)</t>
  </si>
  <si>
    <t>Scrubbing</t>
  </si>
  <si>
    <t>Each carbonate raw material or additive associated with CO2 emissions [t]</t>
  </si>
  <si>
    <t>Gross production including rejected products and cullet from the kilns and shipment [t]</t>
  </si>
  <si>
    <t>Dry CaCO3 consumed [t]</t>
  </si>
  <si>
    <t>Production of pulp &amp; paper</t>
  </si>
  <si>
    <t>Make up chemicals</t>
  </si>
  <si>
    <t>Amount of CaCO3 and Na2CO3 [t]</t>
  </si>
  <si>
    <t>Mass balance methodology</t>
  </si>
  <si>
    <t>Amount fuel used as process input [t] or [Nm3]</t>
  </si>
  <si>
    <t>Amount fuel used as process input for hydrogen production [t] or [Nm3]</t>
  </si>
  <si>
    <t>Production of bulk organic chemicals</t>
  </si>
  <si>
    <t>Combustion: Other gaseous &amp; liquid fuels</t>
  </si>
  <si>
    <t>Stack 1 (coal fired boiler)</t>
  </si>
  <si>
    <t>Example lab</t>
  </si>
  <si>
    <t>C-Content</t>
  </si>
  <si>
    <t>Nm³/h</t>
  </si>
  <si>
    <t>UBA RM-27</t>
  </si>
  <si>
    <t>EUconst_CNTR_SmallEmitter</t>
  </si>
  <si>
    <t>SmallEmitter_</t>
  </si>
  <si>
    <t>EUconst_CNTR_NoSmallEmitter</t>
  </si>
  <si>
    <t>NoSmallEmitter_</t>
  </si>
  <si>
    <t>A</t>
  </si>
  <si>
    <t>The operator shall apply an emission factor of 0.525 t CO2/t dust.</t>
  </si>
  <si>
    <t>The operator shall determine the emission factor (EF) at least once annually following
Articles 32 to 35 and using the following formula:</t>
  </si>
  <si>
    <t>de-minimis</t>
  </si>
  <si>
    <t>source stream name</t>
  </si>
  <si>
    <t>EUconst_OwnerInstrument</t>
  </si>
  <si>
    <t>EUconst_ActivityDeterminationMethod</t>
  </si>
  <si>
    <t>Batch</t>
  </si>
  <si>
    <t>Continual</t>
  </si>
  <si>
    <t>EP1</t>
  </si>
  <si>
    <t>Estimated emissions [t CO2e / year]</t>
  </si>
  <si>
    <t>EP2</t>
  </si>
  <si>
    <t>EP3</t>
  </si>
  <si>
    <t>EP4</t>
  </si>
  <si>
    <t>EP5</t>
  </si>
  <si>
    <t>Entering "TRUE" here means that the installation satisfies the criteria for installations with low emissions as defined by Article 47.</t>
  </si>
  <si>
    <t>Installation with low emissions?</t>
  </si>
  <si>
    <t>Tiers</t>
  </si>
  <si>
    <t>Where an improvement plan is required in accordance with Article 26, this should be submitted with this monitoring plan and referenced below. Where justification is based upon unreasonable costs, in accordance with Article 18, this calculation should be submitted with this monitoring plan and referenced within the justification below.</t>
  </si>
  <si>
    <t>Monitoring approaches proposed to apply:</t>
  </si>
  <si>
    <t>All other emission sources will be categorised as "major" emission source.</t>
  </si>
  <si>
    <t>The content of non-carbonate carbon in the relevant raw material shall be estimated
using industry best practice guidelines.</t>
  </si>
  <si>
    <t>The content of non-carbonate carbon in the relevant raw material shall be determined
at least annually following the provisions of Article 32 to 35.</t>
  </si>
  <si>
    <t>The operator shall apply the standard factors listed in Annex VI section 2 Table 3.</t>
  </si>
  <si>
    <t>The operator shall apply a country specific emission factor in accordance with points
(b) or (c) of Article 31(1).</t>
  </si>
  <si>
    <t>± 10,0% (as t CO2)</t>
  </si>
  <si>
    <t>± 7,5% (as t CO2)</t>
  </si>
  <si>
    <t>± 5,0% (as t CO2)</t>
  </si>
  <si>
    <t>± 2,5% (as t CO2)</t>
  </si>
  <si>
    <t>EUconst_MsgTierCKD</t>
  </si>
  <si>
    <t>CO2 transfer</t>
  </si>
  <si>
    <t>The determination of the amount of relevant metal oxides stemming from the
decomposition of carbonates in the product shall be carried out in accordance with Articles 32
to 35. Stoichiometric ratios referred to in Annex VI section 2 Table 3 shall be used to convert
composition data into emission factors assuming that all of the relevant metal oxides have
been derived from respective carbonates.</t>
  </si>
  <si>
    <t>Activity</t>
  </si>
  <si>
    <t>Kiln dust (Method B)</t>
  </si>
  <si>
    <t>The operator shall use an activity-specific emission factor calculated from the carbon
content of the feed gas determined in accordance with Articles 32 to 35.</t>
  </si>
  <si>
    <t>Combustion of fuels in installations with a total rated thermal input exceeding 20 MW (except in installations for the incineration of hazardous or municipal waste)</t>
  </si>
  <si>
    <t xml:space="preserve">Rated thermal input (for activities whose inclusion in the EU ETS depends on the 20MW threshold), which is the rate at which fuel can be burned at the maximum continuous rating of the installation multiplied by the calorific value of the fuel and expressed as megawatts thermal. </t>
  </si>
  <si>
    <t xml:space="preserve">Production capacity for those specified Annex I activities for which production capacity determines the inclusion in the EU ETS. </t>
  </si>
  <si>
    <t xml:space="preserve">(d) </t>
  </si>
  <si>
    <t>Calculation factors</t>
  </si>
  <si>
    <t>(q)</t>
  </si>
  <si>
    <t>Tiers applied</t>
  </si>
  <si>
    <t>SEF(CF4) Slope emission factor</t>
  </si>
  <si>
    <t>OVC (Overvoltage coefficient)</t>
  </si>
  <si>
    <t>F(C2F6) Weight fraction of C2F6</t>
  </si>
  <si>
    <t>(r)</t>
  </si>
  <si>
    <t>Tier details</t>
  </si>
  <si>
    <t>default or latest value</t>
  </si>
  <si>
    <t>date of latest analysis</t>
  </si>
  <si>
    <t>Collection efficiency for accounting for fugitive emissions</t>
  </si>
  <si>
    <t>(s)</t>
  </si>
  <si>
    <t>Collection efficiency</t>
  </si>
  <si>
    <t>(t)</t>
  </si>
  <si>
    <t>(u)</t>
  </si>
  <si>
    <t>Management and written procedures for PFC monitoring</t>
  </si>
  <si>
    <t>Click "+" to add more measurement instruments</t>
  </si>
  <si>
    <t>Installation-specific emission factors</t>
  </si>
  <si>
    <t>Determination of the collection efficiency</t>
  </si>
  <si>
    <t>ADD_MPVersion</t>
  </si>
  <si>
    <t>Actual version number of the monitoring plan</t>
  </si>
  <si>
    <t>Version Number of this monitoring plan:</t>
  </si>
  <si>
    <t>Unique installation identifier:</t>
  </si>
  <si>
    <t>The Directive can be downloaded from:</t>
  </si>
  <si>
    <t>Article 12 of the MRR sets out specific requirements for the content and submission of the monitoring plan and its updates. Article 12 outlines the importance of the Monitoring plan as follows:</t>
  </si>
  <si>
    <t>Tier 2b: The operator shall derive emission factors for the fuel based on one of the following
established proxies, in combination with an empirical correlation as determined at least once
per year in accordance with Articles 32 to 35 and 39:</t>
  </si>
  <si>
    <t>Tier 2a: The operator shall apply country specific emission factors for the respective fuel or
material in accordance with points (b) and (c) of Article 31(1)</t>
  </si>
  <si>
    <t>Tier 2b: Installation-specific emission factors shall be derived from an estimate of the
molecular weight of the flare stream, using process modelling based on industry standard
models. By considering the relative proportions and the molecular weights of each of the
contributing streams, a weighted annual average figure shall be derived for the molecular
weight of the flare gas.</t>
  </si>
  <si>
    <t>Tier 2b: For commercially traded fuels the net calorific value as derived from the purchasing
records for the respective fuel provided by the fuel supplier shall be used provided it has been
derived based on accepted national or international standards.</t>
  </si>
  <si>
    <t>Tier 2a: The operator shall apply country specific factors for the respective fuel in
accordance with points (b) or (c) of Article 31(1).</t>
  </si>
  <si>
    <t>Tier 2b: The operator shall derive the carbon content from emission factors for the fuel based
on one of the following established proxies in combination with an empirical correlation as
determined at least once per year in accordance with Articles 32 to 35:
(a) density measurement of specific oils or gases common, for example, to the
refinery or steel industry;
(b) net calorific value for specific coals types.</t>
  </si>
  <si>
    <t>Tier 2a: The operator shall derive the carbon content from country specific emission factors
for the respective fuel or material in accordance with points (b) or (c) of Article 31(1).</t>
  </si>
  <si>
    <t>EUconst_NotApplicable</t>
  </si>
  <si>
    <t>not applicable!</t>
  </si>
  <si>
    <t>EUconst_MsgTierActivityLevel</t>
  </si>
  <si>
    <t>Uncertainty shall not be more than</t>
  </si>
  <si>
    <t>EUconst_NoTier</t>
  </si>
  <si>
    <t>Carbonates and other carbon leaving the process shall be considered by means of a conversion factor with a value between 0 and 1. The operator may assume complete
conversion for one or several inputs and attribute unconverted materials or other carbon to the
remaining inputs. The additional determination of relevant chemical parameters of the
products shall be carried out in accordance with Articles 32 to 35.</t>
  </si>
  <si>
    <t>Special activities</t>
  </si>
  <si>
    <t>EUconst_CNTR_SourceCategory</t>
  </si>
  <si>
    <t>SourceCategory_</t>
  </si>
  <si>
    <t>minor</t>
  </si>
  <si>
    <t>"minor" source streams jointly correspond to less than 5 000 tonnes of fossil CO2 per year or to less than 10%, up to a total maximum contribution of 100 000 tonnes of fossil CO2 per year, whichever is the highest in terms of absolute value</t>
  </si>
  <si>
    <t>"de-minimis" source streams jointly correspond to less than 1 000 tonnes of fossil CO2 per year or to less than 2%, up to a total maximum contribution of 20 000 tonnes of fossil CO2 per year, whichever is the highest in terms of absolute value</t>
  </si>
  <si>
    <t>"major" source streams are all source streams not classified as "minor" or "de-minimis"</t>
  </si>
  <si>
    <t>Where flue gas flow is determined by calculation, please provide details about the written procedure for this calculation for each relevant emission source in accordance with Article 43(5)(a) of the MRR.</t>
  </si>
  <si>
    <t>A.
MP Versions</t>
  </si>
  <si>
    <t>A. Monitoring Plan versions</t>
  </si>
  <si>
    <t>B.
OperatorInst ID</t>
  </si>
  <si>
    <t>Installation</t>
  </si>
  <si>
    <t>Contacts</t>
  </si>
  <si>
    <t>About the Installation Activities</t>
  </si>
  <si>
    <t xml:space="preserve">Total Activity Capacity </t>
  </si>
  <si>
    <t>Annex I Activity</t>
  </si>
  <si>
    <t>About your emissions</t>
  </si>
  <si>
    <t>Version comments</t>
  </si>
  <si>
    <t>Please provide details about the written procedures which describe the methods for determining if valid hours or shorter reference periods for each parameter can be provided, and for substitution of missing data in accordance with Article 45 of the MRR.</t>
  </si>
  <si>
    <t>Measurement Point</t>
  </si>
  <si>
    <t>Where a number of procedures are used, please provide details of an overarching procedure which covers the main steps of data flow activities along with a diagram showing how the data management procedures link together (please reference this diagram below and include when submitting your monitoring plan).  Alternatively please provide details of additional relevant procedures on a separate sheet.</t>
  </si>
  <si>
    <t>You are advised to avoid supplying non-relevant information as it can slow down the approval. Additional documentation provided should be clearly referenced, and the file name / reference number provided below. If needed, check with your competent authority</t>
  </si>
  <si>
    <t xml:space="preserve">Note: the operator may, subject to competent authority approval, combine measurement and calculation for different sources.  The operator is required to ensure and demonstrate that neither gaps nor double counting of reportable emissions occurs. </t>
  </si>
  <si>
    <t>Please identify the relevant job titles/posts and provide a succinct summary of their role relevant to monitoring and reporting. Only those with overall responsibility and other key roles should be listed below (i.e. do not include delegated responsibilities).</t>
  </si>
  <si>
    <t>This monitoring plan was submitted by:</t>
  </si>
  <si>
    <t>ADD_EmissionPoint</t>
  </si>
  <si>
    <t xml:space="preserve">
</t>
  </si>
  <si>
    <t xml:space="preserve">
</t>
  </si>
  <si>
    <r>
      <t>Location</t>
    </r>
    <r>
      <rPr>
        <sz val="8"/>
        <rFont val="Arial"/>
        <family val="2"/>
      </rPr>
      <t xml:space="preserve"> where records are kept</t>
    </r>
  </si>
  <si>
    <r>
      <t>Title</t>
    </r>
    <r>
      <rPr>
        <sz val="8"/>
        <rFont val="Arial"/>
        <family val="2"/>
      </rPr>
      <t xml:space="preserve"> of procedure</t>
    </r>
  </si>
  <si>
    <r>
      <t>Reference</t>
    </r>
    <r>
      <rPr>
        <sz val="8"/>
        <rFont val="Arial"/>
        <family val="2"/>
      </rPr>
      <t xml:space="preserve"> for procedure</t>
    </r>
  </si>
  <si>
    <t>Responsibilities</t>
  </si>
  <si>
    <t>Title:</t>
  </si>
  <si>
    <t>First Name:</t>
  </si>
  <si>
    <t>Surname:</t>
  </si>
  <si>
    <t>Job title/post</t>
  </si>
  <si>
    <t>Version No</t>
  </si>
  <si>
    <t>ANNUAL EMISSIONS MONITORING PLAN</t>
  </si>
  <si>
    <t>Activity data</t>
  </si>
  <si>
    <t>Colour codes and fonts:</t>
  </si>
  <si>
    <t>About the operator</t>
  </si>
  <si>
    <r>
      <t xml:space="preserve">List of </t>
    </r>
    <r>
      <rPr>
        <u/>
        <sz val="8"/>
        <rFont val="Arial"/>
        <family val="2"/>
      </rPr>
      <t>EN</t>
    </r>
    <r>
      <rPr>
        <sz val="8"/>
        <rFont val="Arial"/>
        <family val="2"/>
      </rPr>
      <t xml:space="preserve"> or other </t>
    </r>
    <r>
      <rPr>
        <u/>
        <sz val="8"/>
        <rFont val="Arial"/>
        <family val="2"/>
      </rPr>
      <t>standards</t>
    </r>
    <r>
      <rPr>
        <sz val="8"/>
        <rFont val="Arial"/>
        <family val="2"/>
      </rPr>
      <t xml:space="preserve"> applied (where relevant)</t>
    </r>
  </si>
  <si>
    <t>Below in the green fields the required tiers for measurement based approaches are displayed based on your inputs in sections 5(d), and 6(d). Those are the minimum tiers for major emission sources. However, lower requirements may be allowed. An appropriate guidance will be displayed in the green text box below, depending on the following points:</t>
  </si>
  <si>
    <t>Reduced requirements apply to emission sources which emit less than 5 000 tonnes of CO2(e) per year, or which contributes less than 10% of the total annual emissions of the installation, whichever is higher pursuant to Article 41(1).</t>
  </si>
  <si>
    <t>Please select here one or more from the instruments which you have defined in section 9(c) above.</t>
  </si>
  <si>
    <t>If more than 5 measurement instruments are used for this measurement point, please use the comment box below for further explanation.</t>
  </si>
  <si>
    <t>With regard to the tier level required and the tier level used, please provide here the overall uncertainty achieved for over the whole reporting period.</t>
  </si>
  <si>
    <t>Please use references to table 9(e) above as appropriate.</t>
  </si>
  <si>
    <t>Please provide any relevant comments below. Explanations may in particular be required for e.g. the biomass estimation method, further QA/QC measures, etc.</t>
  </si>
  <si>
    <t>a) for each source stream, where default values for calculation factors are used (natural gas, heavy fuel oil, and all minor source streams), the activity data is first summed up, then the calculation formula according to Article 24(1) is used.</t>
  </si>
  <si>
    <t>b) for each source stream, where analyses results are used for calculation factors (coal, raw meal), the activity data and calculation factors of each batch, to which the analyses relate, are first used for the calculation formula according to Article 24(1). The resulting emissions for each batch are then summed up to the annual emissions value of the source stream.</t>
  </si>
  <si>
    <t>c) In cases b), weighted average calculation factors are determined for reporting.</t>
  </si>
  <si>
    <t>d) the emissions of all source streams are added up to give the annual emissions of the installation.</t>
  </si>
  <si>
    <t>For solid fuels, batch metering in accordance with Article 27(2) is used. All other source streams are monitored using continual metering.</t>
  </si>
  <si>
    <t>This description should provide the linking information which is needed to understand, how the information given in other parts of this template are used together for calculating the emissions. It may be as short as the given example.</t>
  </si>
  <si>
    <t>Method for determining whether valid hours or shorter reference periods for each parameter can be calculated (using the threshold given in Article 44(2)), and for substitution of missing data in accordance with Article 45</t>
  </si>
  <si>
    <t>If you have chosen method B, you must provide evidence to demonstrate compliance with an overall uncertainty of not more than 7.5% for the emissions of the whole transport network, and that method B will give more reliable results. Please give here a reference to the attached document as appropriate.</t>
  </si>
  <si>
    <t>C. Installation Description</t>
  </si>
  <si>
    <t>D. Calculation Based Approaches</t>
  </si>
  <si>
    <t>E. Source Streams</t>
  </si>
  <si>
    <t>F. Measurement Based Approaches</t>
  </si>
  <si>
    <t>G. Fall-back Approaches</t>
  </si>
  <si>
    <t>K. Management &amp; Control</t>
  </si>
  <si>
    <t>Sheet names are given in bold font and section names in normal font.</t>
  </si>
  <si>
    <t>Calculation: Details which are needed for further input in the next sheet</t>
  </si>
  <si>
    <t xml:space="preserve"> In such cases please attach your information (text, formulae, reference data, diagrams and drawings) as separate files when sending them to the competent authority. You are then requested to provide a reference to that file. Please indicate in such situations the filename of the attachment. It is furthermore advisable to add the date of the last change of the document to the reference, and to include a clearly readable indicator for that date directly in the (printable) file.</t>
  </si>
  <si>
    <t>Language:</t>
  </si>
  <si>
    <t>MP TKM</t>
  </si>
  <si>
    <t>MP AEm</t>
  </si>
  <si>
    <t>Report TKM</t>
  </si>
  <si>
    <t>Report AEm</t>
  </si>
  <si>
    <t>Monitoring plan tonne-kilometre data</t>
  </si>
  <si>
    <t>Monitoring plan annual emissions</t>
  </si>
  <si>
    <t>Report tonne-kilometre data</t>
  </si>
  <si>
    <t>Report annual emissions</t>
  </si>
  <si>
    <t>Issued by:</t>
  </si>
  <si>
    <t>European Commission</t>
  </si>
  <si>
    <t>Bulgarian</t>
  </si>
  <si>
    <t>bg</t>
  </si>
  <si>
    <t>Spanish</t>
  </si>
  <si>
    <t>es</t>
  </si>
  <si>
    <t>Czech</t>
  </si>
  <si>
    <t>cs</t>
  </si>
  <si>
    <t>Danish</t>
  </si>
  <si>
    <t>da</t>
  </si>
  <si>
    <t>German</t>
  </si>
  <si>
    <t>de</t>
  </si>
  <si>
    <t>Estonian</t>
  </si>
  <si>
    <t>et</t>
  </si>
  <si>
    <t>Greek</t>
  </si>
  <si>
    <t>el</t>
  </si>
  <si>
    <t>English</t>
  </si>
  <si>
    <t>en</t>
  </si>
  <si>
    <t>French</t>
  </si>
  <si>
    <t>fr</t>
  </si>
  <si>
    <t>Italian</t>
  </si>
  <si>
    <t>it</t>
  </si>
  <si>
    <t>Latvian</t>
  </si>
  <si>
    <t>lv</t>
  </si>
  <si>
    <t>Lithuanian</t>
  </si>
  <si>
    <t>lt</t>
  </si>
  <si>
    <t>Hungarian</t>
  </si>
  <si>
    <t>hu</t>
  </si>
  <si>
    <t>Maltese</t>
  </si>
  <si>
    <t>mt</t>
  </si>
  <si>
    <t>Cell type</t>
  </si>
  <si>
    <t>Centre Worked Pre-Bake (CWPB)</t>
  </si>
  <si>
    <t>Vertical Stud Søderberg (VSS)</t>
  </si>
  <si>
    <t>Side-Worked Pre-Bake (SWPB)</t>
  </si>
  <si>
    <t>Horizontal Stud Søderberg (HSS)</t>
  </si>
  <si>
    <t>Contact your CA if you need assistance to complete your Monitoring Plan. Some Member States have produced guidance documents which you may find useful.</t>
  </si>
  <si>
    <t>Member State-specific guidance is listed here:</t>
  </si>
  <si>
    <t>Please describe the specification and location of the measurement systems to be used for each source stream where emissions are determined by calculation.</t>
  </si>
  <si>
    <t>Covered by national legal metrological control --&gt; MPE in service</t>
  </si>
  <si>
    <t/>
  </si>
  <si>
    <t>NCV_Sample</t>
  </si>
  <si>
    <t>74.1</t>
  </si>
  <si>
    <t>t CO2 / TJ</t>
  </si>
  <si>
    <t>IS5: IPCC</t>
  </si>
  <si>
    <t>%</t>
  </si>
  <si>
    <t>IS1: MRR</t>
  </si>
  <si>
    <t>Navigation panels on top of each sheet provide hyperlinks for quick jumps to individual input sections. The first line ("Table of contents", "Previous sheet", "next sheet") and the points "Top of sheet" and "End of sheet" are the same for all sheets. Depending on the sheet, further menu items are added.</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</si>
  <si>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</si>
  <si>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Details on the applied tiers for activity data and calculation factors</t>
  </si>
  <si>
    <t xml:space="preserve">Measurement of CO2 and N2O emissions </t>
  </si>
  <si>
    <t>Description of the Fall-back approach</t>
  </si>
  <si>
    <t>J. Determination of transferred or inherent CO2</t>
  </si>
  <si>
    <t>L. Member State specific further information</t>
  </si>
  <si>
    <t>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t>
  </si>
  <si>
    <r>
      <t>Post</t>
    </r>
    <r>
      <rPr>
        <sz val="8"/>
        <rFont val="Arial"/>
        <family val="2"/>
      </rPr>
      <t xml:space="preserve"> or </t>
    </r>
    <r>
      <rPr>
        <u/>
        <sz val="8"/>
        <rFont val="Arial"/>
        <family val="2"/>
      </rPr>
      <t>department</t>
    </r>
    <r>
      <rPr>
        <sz val="8"/>
        <rFont val="Arial"/>
        <family val="2"/>
      </rPr>
      <t xml:space="preserve"> responsible for the procedure and for any data generated</t>
    </r>
  </si>
  <si>
    <r>
      <t>Name of IT system</t>
    </r>
    <r>
      <rPr>
        <sz val="8"/>
        <rFont val="Arial"/>
        <family val="2"/>
      </rPr>
      <t xml:space="preserve"> used (where applicable).</t>
    </r>
  </si>
  <si>
    <t>The procedure specified below should cover the following:</t>
  </si>
  <si>
    <t xml:space="preserve">Production of bulk organic chemicals by cracking, reforming, partial or full oxidation or by similar processes, with a production capacity exceeding 100 tonnes per day </t>
  </si>
  <si>
    <t xml:space="preserve">Production of hydrogen (H2) and synthesis gas by reforming or partial oxidation with a production capacity exceeding 25 tonnes per day </t>
  </si>
  <si>
    <t xml:space="preserve">Production of soda ash (Na2CO3) and sodium bicarbonate (NaHCO3) </t>
  </si>
  <si>
    <t>Please identify the responsibilities for monitoring and reporting emissions from the installation, in accordance with Article 61 of the MRR.</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</si>
  <si>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</si>
  <si>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Please provide file name(s) (if in an electronic format) or document reference number(s) (if hard copy) below:</t>
  </si>
  <si>
    <t>Document description</t>
  </si>
  <si>
    <t>File name/Reference</t>
  </si>
  <si>
    <t>(a)</t>
  </si>
  <si>
    <t>(f)</t>
  </si>
  <si>
    <t>(b)</t>
  </si>
  <si>
    <t>List of definitions and abbreviations used</t>
  </si>
  <si>
    <t>(d)</t>
  </si>
  <si>
    <t>(e)</t>
  </si>
  <si>
    <t>If you are providing any other information that you wish us to take into account in considering your plan, tell us here. Please provide this information in an electronic format wherever possible. You can provide information as Microsoft Word, Excel, or Adobe Acrobat formats.</t>
  </si>
  <si>
    <t>CONTENTS</t>
  </si>
  <si>
    <t>GUIDELINES AND CONDITIONS</t>
  </si>
  <si>
    <t>List of monitoring plan versions</t>
  </si>
  <si>
    <t>It is recommended that you go through the file from start to end. There are a few functions which will guide you through the form which depend on previous input, such as cells changing colour if an input is not needed (see colour codes below).</t>
  </si>
  <si>
    <t>Activity data determination method:</t>
  </si>
  <si>
    <t>i.</t>
  </si>
  <si>
    <t>ii.</t>
  </si>
  <si>
    <t>Measurement instruments used:</t>
  </si>
  <si>
    <t>Uncertainty achieved:</t>
  </si>
  <si>
    <t>Comment:</t>
  </si>
  <si>
    <t>Calculation factors:</t>
  </si>
  <si>
    <t>required tier</t>
  </si>
  <si>
    <t>applied tier</t>
  </si>
  <si>
    <t>full text tier</t>
  </si>
  <si>
    <t>source ref</t>
  </si>
  <si>
    <t>analysis ref</t>
  </si>
  <si>
    <t>sampling ref</t>
  </si>
  <si>
    <t>Comments:</t>
  </si>
  <si>
    <t>Stoichiometric ratios as listed in section 2 of Annex VI shall be used. The purity of
relevant input materials shall be determined by means of best industry practice. The derived
values shall be adjusted in accordance with the moisture and gangue content of the applied
carbonate materials.</t>
  </si>
  <si>
    <t>Anm.: refers to section 4 of Annex II but no carbonates mentioned anywhere!</t>
  </si>
  <si>
    <t>Anm.: mimimum tier n.a. but tier 1 applicable??</t>
  </si>
  <si>
    <t>The conversion factor shall be calculated applying best industry practice.</t>
  </si>
  <si>
    <t>B</t>
  </si>
  <si>
    <t>&lt;END of list&gt;</t>
  </si>
  <si>
    <t>EUconst_TrueFalse</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</si>
  <si>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</si>
  <si>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</si>
  <si>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</si>
  <si>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</si>
  <si>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</si>
  <si>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</si>
  <si>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Where applicable, please describe the equipment used for temperature and pressure measurement in the transport network.</t>
  </si>
  <si>
    <t>Where applicable, please provide details of the written procedure for preventing, detecting and quantification of leakage events from transport networks.</t>
  </si>
  <si>
    <r>
      <t>Where part of the transferred CO</t>
    </r>
    <r>
      <rPr>
        <b/>
        <vertAlign val="subscript"/>
        <sz val="10"/>
        <rFont val="Arial"/>
        <family val="2"/>
      </rPr>
      <t>2</t>
    </r>
    <r>
      <rPr>
        <b/>
        <sz val="10"/>
        <rFont val="Arial"/>
        <family val="2"/>
      </rPr>
      <t xml:space="preserve"> is generated from biomass, or where an installation is only partially covered by the EU ETS Directive, please provide details of the written procedure used for deducting the amount of transferred CO</t>
    </r>
    <r>
      <rPr>
        <b/>
        <vertAlign val="subscript"/>
        <sz val="10"/>
        <rFont val="Arial"/>
        <family val="2"/>
      </rPr>
      <t>2</t>
    </r>
    <r>
      <rPr>
        <b/>
        <sz val="10"/>
        <rFont val="Arial"/>
        <family val="2"/>
      </rPr>
      <t xml:space="preserve"> which does not originate from fossil carbon activities covered by the EU ETS Directive.</t>
    </r>
  </si>
  <si>
    <t>Changes in operation</t>
  </si>
  <si>
    <t>Please provide details about the written procedure for carrying out the corroborating calculations, where applicable, in accordance with Article 46 of the MRR.</t>
  </si>
  <si>
    <t>Please provide details about the written procedures used for carrying out the annual uncertainty analysis required under Article 22 of the MRR.</t>
  </si>
  <si>
    <t>Please provide a concise justification for the application of a fall-back approach to the above emission sources, in line with the provisions set out in Article 22.</t>
  </si>
  <si>
    <t>Where a fall-back monitoring methodology is applied in accordance with Article 22 of the MRR, please provide a detailed description of the monitoring methodology applied for all source streams or emission sources, for which no tier approach is used.</t>
  </si>
  <si>
    <t xml:space="preserve">You must provide evidence to demonstrate compliance with the applied tiers, in accordance with Article 12. Please list references to uncertainty calculations and/or schematics in the box above. </t>
  </si>
  <si>
    <t>Source stream full name (name + type)</t>
  </si>
  <si>
    <t>Where a laboratory analysis is required, please enter analytical method/laboratory by reference to table 7(e) on the previous sheet, a reference to your sampling plan, and the analysis frequency to be applied.</t>
  </si>
  <si>
    <t>Measurement points, where continuous measurement systems are installed:</t>
  </si>
  <si>
    <t>No entries are required if you have defined that no measurement based methods are used in section 6(a) above.</t>
  </si>
  <si>
    <t>Please use this sheet for describing your installation. The information entered here prepares the necessary detailed inputs in the following sheets.</t>
  </si>
  <si>
    <t>In particular, source streams will be described in more detail in sheet E_SourceStreams, and measurement points in sheet F_MeasurementBasedApproaches.</t>
  </si>
  <si>
    <t>Please use this sheet for providing information necessary for calculation based approaches. The information entered here is used as reference for the detailed inputs in the following sheet (E_SourceStreams).</t>
  </si>
  <si>
    <t>Under "Location" you should specify where the meter is found in the installation, and how it is identified in the process flow chart.</t>
  </si>
  <si>
    <t>Weigh bridge</t>
  </si>
  <si>
    <t>Weighing conveyor belt</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</si>
  <si>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</si>
  <si>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Capture of greenhouse gases from installations covered by this Directive for the purpose of transport and geological storage in a storage site permitted under Directive 2009/31/EC</t>
  </si>
  <si>
    <t>Transport of greenhouse gases by pipelines for geological storage in a storage site permitted under Directive 2009/31/EC</t>
  </si>
  <si>
    <t>This file contains macros for a few functions (adding items to lists, and showing/hiding examples). If macros are disabled on your computer, you will still be able to use the template, but without those functions. 
For ensuring that the macros don't contain a virus, they have been electronically signed. Please check on the Commission's or the competent authority's website for instructions on checking the authenticity of the template file.</t>
  </si>
  <si>
    <t>The status of the monitoring plan at the reference date should be described in the "status" column. Possible status types include "submitted to the competent authority (CA)", "approved by the CA", "working draft" etc.</t>
  </si>
  <si>
    <t>Note: This number will also be displayed on the cover page of this file.</t>
  </si>
  <si>
    <t>Include any Member State specific guidance regarding grid references.</t>
  </si>
  <si>
    <t>Include any Member State specific guidance on naming of installations.</t>
  </si>
  <si>
    <t xml:space="preserve">It will help us to have someone who we can contact directly with any questions about your monitoring plan. The person you name should have the authority to act on behalf of the operator. </t>
  </si>
  <si>
    <t>Please provide here a brief outline description of the site and the installation, and describe the location of the installation on the site.  The description should also include a non-technical summary of the activities carried out at the installation, briefly describing each activity performed and the technical units used within each activity.  In particular, the description should also identify and explain any part(s) of the installation which are not operated by the applicant, or parts which are not deemed to fall under the scope of the EU ETS.</t>
  </si>
  <si>
    <t>It may aid the description of activities to provide a simple diagram showing emissions sources, source streams, sampling points and metering/measurement equipment.  If such a diagram is available please provide here a reference (filename, date) and attach a copy when submitting this monitoring plan to your competent authority.</t>
  </si>
  <si>
    <t>Each input material or process residue used as input material in the process [t]</t>
  </si>
  <si>
    <t>primary aluminium production in [t], anode effect minutes in [number anode effects/cell day] and [anode effect minutes/ occurrence]</t>
  </si>
  <si>
    <t>primary aluminium production in [t], anode effect overvoltage [mV] and current efficiency [-]</t>
  </si>
  <si>
    <t>default value</t>
  </si>
  <si>
    <t>ausblenden</t>
  </si>
  <si>
    <t>n.a.</t>
  </si>
  <si>
    <t>The emission factor shall be determined from stoichiometric ratios as laid down in
section 2 of Annex VI. The determination of the amount of CaCO3 and MgCO3 in the relevant
input material shall be carried out using best industry practice guidelines.</t>
  </si>
  <si>
    <t>The emission factor shall be the stoichiometric ratio of dry gypsum (CaSO4.2H2O) to CO2 emitted: 0.2558 t CO2/ t gypsum.</t>
  </si>
  <si>
    <t>The operator shall use a reference emission factor of 0.00393 t CO2/Nm3 derived from the combustion of pure ethane used as a conservative proxy for flare gases.</t>
  </si>
  <si>
    <t>The operator shall use a reference value of 2.9 t CO2 per tonne feed processed,
conservatively based on ethane.</t>
  </si>
  <si>
    <t xml:space="preserve"> </t>
  </si>
  <si>
    <t>The operator shall apply an emission factor of 0.525 t CO2/t clinker.</t>
  </si>
  <si>
    <t>The source stream name, the source stream type, and the category will be displayed automatically based on your entries in section 6.e in sheet C_InstallationDescription.</t>
  </si>
  <si>
    <t>EUconst_SourceStream</t>
  </si>
  <si>
    <t>EUconst_MeasurementPoint</t>
  </si>
  <si>
    <t>Jump Address:</t>
  </si>
  <si>
    <t>EUconst_MsgGoOn</t>
  </si>
  <si>
    <t>Please go to the next points below</t>
  </si>
  <si>
    <t>Non-typical operation</t>
  </si>
  <si>
    <t>Typical operation</t>
  </si>
  <si>
    <t>OperationType</t>
  </si>
  <si>
    <t>Typical and non-typical operation</t>
  </si>
  <si>
    <t>Emission point ref.</t>
  </si>
  <si>
    <t>MeasurementTiers</t>
  </si>
  <si>
    <t>This sheet is used for tracking the actual version of the monitoring plan. Each version of the monitoring plan should have a unique version number, and a reference date.</t>
  </si>
  <si>
    <t>Reference date</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</si>
  <si>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monitoring plan.</t>
  </si>
  <si>
    <t>Euconst_MPReferenceDateTypes</t>
  </si>
  <si>
    <t>approved by competent authority</t>
  </si>
  <si>
    <t>rejected by competent authority</t>
  </si>
  <si>
    <t>working draft</t>
  </si>
  <si>
    <t>returned with remarks</t>
  </si>
  <si>
    <t>New monitoring plan for meeting the requirements of the M&amp;R Regulation.</t>
  </si>
  <si>
    <t>Status at reference date</t>
  </si>
  <si>
    <t>CA has entered some corrections for source streams 1 and 2. Procedures on data flows should be improved before re-submission.</t>
  </si>
  <si>
    <t>submitted to competent authority</t>
  </si>
  <si>
    <t>MP updated according to CA's suggestions. Furthermore added a new source stream No. 4 (wood panel wastes, contaminated with ca. 5% fossil fraction).</t>
  </si>
  <si>
    <t>Approved without further changes. Operator has received paper copy together with the updated permit for ensuring authentic content of the MP file returned electronically.</t>
  </si>
  <si>
    <t>Please confirm that the conditions of Article 29(1) are satisfied:</t>
  </si>
  <si>
    <t>Comment / Description of approach, if several instruments used:</t>
  </si>
  <si>
    <t>Reduced requirements apply to installations with low emissions in accordance to Article 47(2);</t>
  </si>
  <si>
    <t>The installation category (A, B or C) in accordance to Article 19;</t>
  </si>
  <si>
    <t>Reduced requirements apply to minor source streams and de-minimimis source streams as classified pursuant to Article 19(3).</t>
  </si>
  <si>
    <t>Please provide details about the procedure used for managing the assignment of responsibilities for monitoring and reporting within the installation and for managing the competencies of responsible personnel, in accordance with Article 58(3)(c) of the MRR.</t>
  </si>
  <si>
    <t>i - checking the list of emissions sources and source streams, ensuring completeness of the emissions and source streams and that all relevant changes in the nature and functioning of the installation will be included in the monitoring plan;</t>
  </si>
  <si>
    <t>ii - assessing compliance with the uncertainty thresholds for activity data and other parameters (where applicable) for the applied tiers for each source stream and emission source; and</t>
  </si>
  <si>
    <t>If you have not attributed the source stream to an applicable category (major, minor, de-minimis) there, the category which is automatically displayed in that section will be used. If this is the case, the template cannot correctly indicate below which tiers are to be applied. Therefore please make sure to select an applicable category correctly in the section mentioned above.</t>
  </si>
  <si>
    <t>As the source stream type can be clearly assigned to a monitoring method applicable according to the MRR (Articles 24 and 25) and the parameters to which the uncertainty of the activity data applies (Annex II), this information is provided automatically based on the MRR.</t>
  </si>
  <si>
    <t>Reduced requirements apply to installations with low emissions in accordance with Article 47(2);</t>
  </si>
  <si>
    <t>The installation category (A, B or C) in accordance with Article 19;</t>
  </si>
  <si>
    <t>Below in sections (c) and (f) the required tiers for activity data and calculation factors are displayed in the green fields based on your inputs in section 5(d) and (e), and 6(e) and 6(f). Those are the minimum tiers for major source streams in category C installations. However, lower requirements may be allowed. An appropriate guidance is displayed in the green text box below, depending on the following points:</t>
  </si>
  <si>
    <t xml:space="preserve">This is only relevant if you selected "Batch" as determination method. Please refer to the procedure described under section 7(i). </t>
  </si>
  <si>
    <t>If more than one instrument is relevant, please choose "trade partner" if this is the case for at least one of the instruments used for this source streams. In this case use the comment box under point (b) below to identify which instruments are under the operator's control and which ones are under the trading partner's control.</t>
  </si>
  <si>
    <t>Pursuant to Article 29(1) point (a) you may only rely on invoices if the trade partners are independent.</t>
  </si>
  <si>
    <t>Please explain why and how more than one instrument are relevant, if applicable. E.g it may be the case that one instrument is needed for subtracting a non-ETS part of the fuel. Weighing instruments might be used alternatively, or for corroboration purposes, etc.</t>
  </si>
  <si>
    <t>With regard to the tier level required and the tier level used, please provide here the uncertainty achieved in service over the whole reporting period.</t>
  </si>
  <si>
    <t>You may use the maximum permissible error in service as the uncertainty achieved provided that the measuring instrument is subject to national legal metrological control.</t>
  </si>
  <si>
    <t>Please use the comment box (point (h) below) to describe how the uncertainty achieved over the whole period is determined.</t>
  </si>
  <si>
    <t xml:space="preserve">According to Article 30(1) calculation factors can be determined either as default values or by laboratory analyses. Which of these options is used is determined by the applicable tier.
</t>
  </si>
  <si>
    <t>Use of a value determined in accordance with the second subparagraph of Article 39(2), i.e. assume the material fully fossil (BF=0), or use an estimation method approved by the competent authority;</t>
  </si>
  <si>
    <t xml:space="preserve">Application of Article 39(3) in case of natural gas grids, into which biogas is injected, i.e. use a guarantee of origin scheme established in accordance with Articles 2(j) and 15 of Directive 2009/28/EC [Renewable Energy Sources Directive], where such scheme has been set up. </t>
  </si>
  <si>
    <t>The required tiers in the table below always refer to major source streams. Please refer to the information in the message box in the header area of this source stream whether lower requirements are allowed.</t>
  </si>
  <si>
    <t>full text for applied tier</t>
  </si>
  <si>
    <t>Estimated annual emissions:</t>
  </si>
  <si>
    <t xml:space="preserve">Metal ore (including sulphide ore) roasting or sintering, including pelletisation </t>
  </si>
  <si>
    <t xml:space="preserve">Production of pig iron or steel (primary or secondary fusion) including continuous casting, with a capacity exceeding 2,5 tonnes per hour </t>
  </si>
  <si>
    <t>Production of secondary aluminium where combustion units with a total rated thermal input exceeding 20 MW are operated</t>
  </si>
  <si>
    <t>Production or processing of non-ferrous metals, including production of alloys, refining, foundry casting, etc., where combustion units with a total rated thermal input (including fuels used as reducing agents) exceeding 20 MW are operated</t>
  </si>
  <si>
    <t xml:space="preserve">Production of cement clinker in rotary kilns with a production capacity exceeding 500 tonnes per day or in other furnaces with a production capacity exceeding 50 tonnes per day </t>
  </si>
  <si>
    <t xml:space="preserve">Production of lime or calcination of dolomite or magnesite in rotary kilns or in other furnaces with a production capacity exceeding 50 tonnes per day </t>
  </si>
  <si>
    <t xml:space="preserve">Manufacture of glass including glass fibre with a melting capacity exceeding 20 tonnes per day </t>
  </si>
  <si>
    <t xml:space="preserve">Manufacture of ceramic products by firing, in particular roofing tiles, bricks, refractory bricks, tiles, stoneware or porcelain, with a production capacity exceeding 75 tonnes per day </t>
  </si>
  <si>
    <t xml:space="preserve">Manufacture of mineral wool insulation material using glass, rock or slag with a melting capacity exceeding 20 tonnes per day </t>
  </si>
  <si>
    <t xml:space="preserve">Drying or calcination of gypsum or production of plaster boards and other gypsum products, where combustion units with a total rated thermal input exceeding 20 MW are operated </t>
  </si>
  <si>
    <t xml:space="preserve">Production of pulp from timber or other fibrous materials </t>
  </si>
  <si>
    <t xml:space="preserve">Production of paper or cardboard with a production capacity exceeding 20 tonnes per day </t>
  </si>
  <si>
    <t xml:space="preserve">Production of carbon black involving the carbonisation of organic substances such as oils, tars, cracker and distillation residues, where combustion units with a total rated thermal input exceeding 20 MW are operated </t>
  </si>
  <si>
    <t>Stoichiometric ratios as listed in section 2 of Annex VI shall be used. The purity of
relevant input materials shall be determined by means of industry best practice.</t>
  </si>
  <si>
    <t>The determination of the amount of relevant carbonates in each relevant input material
shall be carried out in accordance with Articles 32 to 35.</t>
  </si>
  <si>
    <t>Source type</t>
  </si>
  <si>
    <t>EUconst_CNTR_ActivityData</t>
  </si>
  <si>
    <t>ActivityData_</t>
  </si>
  <si>
    <t>Biomass Content</t>
  </si>
  <si>
    <t>The operator shall use installation-specific emission factors for CF4 [(kg CF4 / t Al ) /
(mV)] and C2F6 [t C2F6/ t CF4] established through continuous or intermittent field
measurements. For the determination of those emission factors, the operator shall use the
most recent version of the guidance mentioned under Tier 3 of section 4.4.2.4 of the 2006
IPCC Guidelines. The operator shall determine the emission factors with a maximum
uncertainty of ±15% each.</t>
  </si>
  <si>
    <t>The operator shall apply the stoichiometric ratio of CaCO3 as shown in section 2 of
Annex VI.</t>
  </si>
  <si>
    <t>mass balance</t>
  </si>
  <si>
    <t>The operator shall apply one of the following:
(a) the carbon content derived from standard factors listed in Annex VI sections 1
and 2;
(b) other constant values in accordance with points (d) or (e) of Article 31(1),
where no applicable value is contained in Annex VI sections 1 and 2.</t>
  </si>
  <si>
    <t>The operator shall determine the carbon content in accordance with the relevant
provisions of Articles 32 to 35.</t>
  </si>
  <si>
    <t>Article 24(1) of Commission Decision 2011/278/EC requires that Member States must ensure that all relevant information about any planned or effective changes to the capacity, activity level and operation of an installation is submitted by the operator to the competent authority by 31 December each year.  Article 12(3) of the MRR further provides that Member States may require information to be included in the monitoring plan of an installation for the purposes of meeting these requirements.</t>
  </si>
  <si>
    <t>If no, reference the evidence to be submitted</t>
  </si>
  <si>
    <r>
      <t xml:space="preserve">List of </t>
    </r>
    <r>
      <rPr>
        <u/>
        <sz val="8"/>
        <rFont val="Arial"/>
        <family val="2"/>
      </rPr>
      <t>primary data sources</t>
    </r>
  </si>
  <si>
    <r>
      <t>Diagram reference</t>
    </r>
    <r>
      <rPr>
        <sz val="8"/>
        <rFont val="Arial"/>
        <family val="2"/>
      </rPr>
      <t xml:space="preserve"> (where applicable)</t>
    </r>
  </si>
  <si>
    <t xml:space="preserve">Management </t>
  </si>
  <si>
    <t>Data flow activities</t>
  </si>
  <si>
    <t>Control activities</t>
  </si>
  <si>
    <t>If the Environmental Management System is certified by an accredited organisation, please specify to which standard e.g. ISO14001, EMAS, etc.</t>
  </si>
  <si>
    <t>Version:</t>
  </si>
  <si>
    <t>Info for automatic Version detection</t>
  </si>
  <si>
    <t>Template type:</t>
  </si>
  <si>
    <t>Type list:</t>
  </si>
  <si>
    <t>J. Transferred CO2 &amp; CCS</t>
  </si>
  <si>
    <t>Geological storage of greenhouse gases in a storage site permitted under Directive 2009/31/EC</t>
  </si>
  <si>
    <t>C</t>
  </si>
  <si>
    <t>Directive Annex I</t>
  </si>
  <si>
    <t>Sub-activity</t>
  </si>
  <si>
    <t>Tier</t>
  </si>
  <si>
    <r>
      <t>Please enter here the average annual emissions of your installation. This information is required for categorisation of the installation in accordance with Article 19 of the MRR. Use the average verified annual emissions of the previous trading period data OR if this data is not available, or is inappropriate, a conservative estimate of annual average emissions, including transferred CO</t>
    </r>
    <r>
      <rPr>
        <i/>
        <vertAlign val="subscript"/>
        <sz val="8"/>
        <color indexed="18"/>
        <rFont val="Arial"/>
        <family val="2"/>
      </rPr>
      <t>2</t>
    </r>
    <r>
      <rPr>
        <i/>
        <sz val="8"/>
        <color indexed="18"/>
        <rFont val="Arial"/>
        <family val="2"/>
      </rPr>
      <t>, but excluding CO</t>
    </r>
    <r>
      <rPr>
        <i/>
        <vertAlign val="subscript"/>
        <sz val="8"/>
        <color indexed="18"/>
        <rFont val="Arial"/>
        <family val="2"/>
      </rPr>
      <t>2</t>
    </r>
    <r>
      <rPr>
        <i/>
        <sz val="8"/>
        <color indexed="18"/>
        <rFont val="Arial"/>
        <family val="2"/>
      </rPr>
      <t xml:space="preserve"> from biomass.</t>
    </r>
  </si>
  <si>
    <t>The resulting category is used for identifying minimum tier requirements in section 8 (Source streams).</t>
  </si>
  <si>
    <t>The activity reference in the last column relates to the activity reference in section 5(c) above. Where an emission source belongs to more than one activity, please enter "A1, A2" or "A1 - A3" or similar, as appropriate.</t>
  </si>
  <si>
    <t>S6</t>
  </si>
  <si>
    <t>S7</t>
  </si>
  <si>
    <t>S8</t>
  </si>
  <si>
    <t>S9</t>
  </si>
  <si>
    <t>S10</t>
  </si>
  <si>
    <t>Please list and briefly describe all relevant emission points (including diffuse emission sources).</t>
  </si>
  <si>
    <t>In accordance with Article 26(4), for the oxidation factor and conversion factor, the operator shall, as a minimum, apply the lowest tiers listed in Annex II.</t>
  </si>
  <si>
    <t>Standard method: Process, Article 24(2)</t>
  </si>
  <si>
    <t>Standard method: Fuel, Article 24(1)</t>
  </si>
  <si>
    <t>Do you use invoices for determining the amount of this fuel or material?</t>
  </si>
  <si>
    <t>Pursuant to Article 27(1) the activity data of a source stream can be determined (a) by continual metering at the process which causes the emissions, or (b) based on aggregation of metering of the amount separately delivered taking into account relevant stock changes (batch metering).</t>
  </si>
  <si>
    <t>Instrument under control of:</t>
  </si>
  <si>
    <t>Please confirm that the trade partner and the operator are independent:</t>
  </si>
  <si>
    <t>Emission factor (preliminary)</t>
  </si>
  <si>
    <t>If more than 5 measurement instruments are used for this source stream, e.g. if the p/T compensation is done using separate instruments, please use the comment box below for further description.</t>
  </si>
  <si>
    <t>D.
Calculation Approach</t>
  </si>
  <si>
    <t>The operator shall apply one of the following:
(a) the standard factors listed in section 1 of Annex VI;
(b) other constant values in accordance with points (d) or (e) of Article 31(1),
where no applicable value is contained in section 1 of Annex VI.</t>
  </si>
  <si>
    <t>The net calorific value may be derived from the purchasing records provided by the fuel supplier, provided it has been derived based on accepted national or international standards. (Applicable only in case of commercially traded fuels).</t>
  </si>
  <si>
    <t>One of the following methods is applied, which are considered equivalent:</t>
  </si>
  <si>
    <t>Use of a default value or an estimation method published by the Commission in accordance with Article 39(2);</t>
  </si>
  <si>
    <t>The biomass fraction is determined in accordance with Article 39(1), i.e. by laboratory analyses. In that case the relevant standard and the analytical methods therein to be used require the explicit approval by the competent authority.</t>
  </si>
  <si>
    <t>A1</t>
  </si>
  <si>
    <t>A2</t>
  </si>
  <si>
    <t>A3</t>
  </si>
  <si>
    <t>A4</t>
  </si>
  <si>
    <t>A5</t>
  </si>
  <si>
    <t>S1</t>
  </si>
  <si>
    <t>S2</t>
  </si>
  <si>
    <t>S3</t>
  </si>
  <si>
    <t>S4</t>
  </si>
  <si>
    <t>S5</t>
  </si>
  <si>
    <t>F1</t>
  </si>
  <si>
    <t>F2</t>
  </si>
  <si>
    <t>F3</t>
  </si>
  <si>
    <t>F4</t>
  </si>
  <si>
    <t>F5</t>
  </si>
  <si>
    <t>Sorting</t>
  </si>
  <si>
    <t>SUM</t>
  </si>
  <si>
    <t>Refineries</t>
  </si>
  <si>
    <t>Coke</t>
  </si>
  <si>
    <t>Metal ore</t>
  </si>
  <si>
    <t>Ceramics</t>
  </si>
  <si>
    <t>EUconst_CNTR_SourceStreamName</t>
  </si>
  <si>
    <t>EUconst_CNTR_SourceStreamClass</t>
  </si>
  <si>
    <t>SourceStreamName_</t>
  </si>
  <si>
    <t>SourceStreamClass_</t>
  </si>
  <si>
    <t>(Non) ferrous, sec. aluminium</t>
  </si>
  <si>
    <t>Lime / dolomite / magnesite</t>
  </si>
  <si>
    <t>Soda ash / sodium bicarbonate</t>
  </si>
  <si>
    <t>Unit</t>
  </si>
  <si>
    <t>MP P3 Inst</t>
  </si>
  <si>
    <t>Umweltbundesamt</t>
  </si>
  <si>
    <t>UBA</t>
  </si>
  <si>
    <t>Croatia</t>
  </si>
  <si>
    <t>HR</t>
  </si>
  <si>
    <t>Iceland</t>
  </si>
  <si>
    <t>IC</t>
  </si>
  <si>
    <t>Liechtenstein</t>
  </si>
  <si>
    <t>LI</t>
  </si>
  <si>
    <t>Norway</t>
  </si>
  <si>
    <t>Croatian</t>
  </si>
  <si>
    <t>hr</t>
  </si>
  <si>
    <t>Icelandic</t>
  </si>
  <si>
    <t>ic</t>
  </si>
  <si>
    <t>Norwegian</t>
  </si>
  <si>
    <t>no</t>
  </si>
  <si>
    <t>Small emitter</t>
  </si>
  <si>
    <t>Message</t>
  </si>
  <si>
    <t>LIMIT</t>
  </si>
  <si>
    <t>EUconst_ERR_ThreshholdDeminimis</t>
  </si>
  <si>
    <t>EUconst_ERR_ThreshholdMinor</t>
  </si>
  <si>
    <t>Chapters where modifications have been made. 
Brief explanation of changes</t>
  </si>
  <si>
    <t>M1</t>
  </si>
  <si>
    <t>M2</t>
  </si>
  <si>
    <t>Production of nitric acid</t>
  </si>
  <si>
    <t>De-minimis threshold exceeded!</t>
  </si>
  <si>
    <t>Minor threshold exceeded!</t>
  </si>
  <si>
    <t>measurement point ref. M1, M2,...</t>
  </si>
  <si>
    <t>SourceCategoryCEMS</t>
  </si>
  <si>
    <t>ABS</t>
  </si>
  <si>
    <t>The operator shall determine the net calorific value in accordance with Article 32 to
35.</t>
  </si>
  <si>
    <t>0.00393 t CO2/Nm3</t>
  </si>
  <si>
    <t>Installation-specific factors</t>
  </si>
  <si>
    <t>0.2558 t CO2/ t gypsum.</t>
  </si>
  <si>
    <t xml:space="preserve">2.9 t CO2 per tonne feed processed
</t>
  </si>
  <si>
    <t>Annex VI, section 2 &amp; Analyses</t>
  </si>
  <si>
    <t>0.525 t CO2/t dust.</t>
  </si>
  <si>
    <t>0.525 t CO2/t clinker.</t>
  </si>
  <si>
    <t>Best practice</t>
  </si>
  <si>
    <t>Art. 26(2) Minor source stream: For activity data and each calculation factor, the highest tier which is technically feasible and does not incur unreasonable costs, with a minimum of tier 1, shall apply.</t>
  </si>
  <si>
    <t>Art. 47(6) Installation with low emissions (small emitter): for all source streams tier 1 may be used as a minimum for activity data and calculation factors, unless higher accuracy is achievable without additional effort for the operator, without providing evidence that applying higher tiers is technically not feasible or would incur unreasonable costs.</t>
  </si>
  <si>
    <t>Art. 26(3) De-minimis source stream: Activity data and each calculation factor may be determined by using conservative estimations instead of using tiers, unless a defined tier is achievable without additional effort.</t>
  </si>
  <si>
    <t>Category</t>
  </si>
  <si>
    <t>Member State</t>
  </si>
  <si>
    <t>Primary contact:</t>
  </si>
  <si>
    <t>Alternative contact:</t>
  </si>
  <si>
    <t>t CO2e</t>
  </si>
  <si>
    <t>-</t>
  </si>
  <si>
    <t>Activity data tier used:</t>
  </si>
  <si>
    <t>Determination method:</t>
  </si>
  <si>
    <t>cond. form.</t>
  </si>
  <si>
    <t>a.</t>
  </si>
  <si>
    <t>b.</t>
  </si>
  <si>
    <t>c.</t>
  </si>
  <si>
    <t>This point is only relevant if you are not the owner of the measurement instrument.</t>
  </si>
  <si>
    <t xml:space="preserve">This point is only relevant if you are not the owner of the measurement instrument </t>
  </si>
  <si>
    <t>Reference to procedure used for determining stock piles at end of year:</t>
  </si>
  <si>
    <t>Information Source Ref.</t>
  </si>
  <si>
    <t xml:space="preserve">Description of Information source </t>
  </si>
  <si>
    <t>L1</t>
  </si>
  <si>
    <t>L2</t>
  </si>
  <si>
    <t>L3</t>
  </si>
  <si>
    <t>Analysis frequency</t>
  </si>
  <si>
    <t>Measurement range</t>
  </si>
  <si>
    <t>lower end</t>
  </si>
  <si>
    <t>upper end</t>
  </si>
  <si>
    <t>unit</t>
  </si>
  <si>
    <t>Type of measuring instrument</t>
  </si>
  <si>
    <t>MI1</t>
  </si>
  <si>
    <t>MI2</t>
  </si>
  <si>
    <t>MI3</t>
  </si>
  <si>
    <t>MI4</t>
  </si>
  <si>
    <t>MI5</t>
  </si>
  <si>
    <t>MI6</t>
  </si>
  <si>
    <t>MI7</t>
  </si>
  <si>
    <t>MI8</t>
  </si>
  <si>
    <t>Parameter</t>
  </si>
  <si>
    <t>Continuous</t>
  </si>
  <si>
    <t>ActivityDataTiers</t>
  </si>
  <si>
    <t>NCVTiers</t>
  </si>
  <si>
    <t>2a</t>
  </si>
  <si>
    <t>2b</t>
  </si>
  <si>
    <t>EFTiers</t>
  </si>
  <si>
    <t>CarbonContentTiers</t>
  </si>
  <si>
    <t>ConversionFactorTiers</t>
  </si>
  <si>
    <t>Carbon Content</t>
  </si>
  <si>
    <t>No tier</t>
  </si>
  <si>
    <t>Carbon content</t>
  </si>
  <si>
    <t>You must implement and keep records of all modifications to the monitoring plan in accordance with Article 16 of the MRR.</t>
  </si>
  <si>
    <t>Quarterly</t>
  </si>
  <si>
    <t>Biannual</t>
  </si>
  <si>
    <t>AnalysisFrequency</t>
  </si>
  <si>
    <t>Please provide details about the written procedure describing the way in which or the extent to which the installation operates with variable loads and the manner in which the operational management is carried out.</t>
  </si>
  <si>
    <t xml:space="preserve">Please provide information on process conditions that deviate from normal operations. </t>
  </si>
  <si>
    <t>This information should include an indication of the potential frequency and the duration of such process conditions, as well as an indication of the volume of the N2O emissions during the deviating process conditions such as abatement equipment malfunction.</t>
  </si>
  <si>
    <t>Determination of PFC emissions</t>
  </si>
  <si>
    <t>PFCMethods</t>
  </si>
  <si>
    <t>Method A - Slope Method</t>
  </si>
  <si>
    <t>Method B - Overvoltage Method</t>
  </si>
  <si>
    <t>PFCTiers</t>
  </si>
  <si>
    <t>http://ec.europa.eu/clima/policies/ets/monitoring/index_en.htm</t>
  </si>
  <si>
    <t>Note: the procedure should also show that the measurements have been and will be carried out for a sufficiently long time for measured values to converge, but at least for 72 hours.</t>
  </si>
  <si>
    <t>Please provide details about the written procedure detailing the methodology for determining the collection efficiency for fugitive emissions, where applicable.</t>
  </si>
  <si>
    <t>Method of analysis
(include procedure reference and brief description of method)</t>
  </si>
  <si>
    <t>(g)</t>
  </si>
  <si>
    <t>Name of laboratory</t>
  </si>
  <si>
    <t>(h)</t>
  </si>
  <si>
    <t>(i)</t>
  </si>
  <si>
    <t>ADD_EmissionSource</t>
  </si>
  <si>
    <t>EUconst_Fuel</t>
  </si>
  <si>
    <t>EUconst_ProcessCarbonate</t>
  </si>
  <si>
    <t>EUconst_MassBalance</t>
  </si>
  <si>
    <t>Combustion of fuels and fuels used as process input</t>
  </si>
  <si>
    <t>Short name</t>
  </si>
  <si>
    <t>Cement clinker</t>
  </si>
  <si>
    <t>Iron &amp; steel</t>
  </si>
  <si>
    <t>Glass and mineral wool</t>
  </si>
  <si>
    <t>Pulp &amp; paper</t>
  </si>
  <si>
    <t>Carbon black</t>
  </si>
  <si>
    <t>Ammonia</t>
  </si>
  <si>
    <t>Hydrogen and synthesis gas</t>
  </si>
  <si>
    <t>Bulk organic chemicals</t>
  </si>
  <si>
    <t>Primary aluminium</t>
  </si>
  <si>
    <t>Uncertainty calculations assessment document title and reference:</t>
  </si>
  <si>
    <t>Installation Activities</t>
  </si>
  <si>
    <t>C.
Installation Description</t>
  </si>
  <si>
    <t>6 to 10</t>
  </si>
  <si>
    <t>ADD_SourceStream</t>
  </si>
  <si>
    <t>HIDE_Example</t>
  </si>
  <si>
    <t>Below in the green fields the required tiers for activity data and calculation factors are displayed based on your inputs in section 5(d) and (e), and 6(e) and 6(f). Those are the minimum tiers for major source streams in category C installations. However, lower requirements may be allowed. An appropriate guidance will be displayed in the green text box below, depending on the following points:</t>
  </si>
  <si>
    <t>ADD_CompleteSourceStream</t>
  </si>
  <si>
    <t>Sum not within 5% of annual emissions (section 6.c)!</t>
  </si>
  <si>
    <t>Error message (Total Emissions, difference to 5(d) ):</t>
  </si>
  <si>
    <t>Measuring Instruments</t>
  </si>
  <si>
    <t>Laboratories</t>
  </si>
  <si>
    <t>Procedures</t>
  </si>
  <si>
    <t>Information Sources</t>
  </si>
  <si>
    <t xml:space="preserve">After you have completed entering the estimated emissions for all source streams the sum will be compared to the total annual emissions entered under 5.d. above. If the sum of estimated emissions differs by more than 5% of total annual emissions an automatic error message will be displayed. </t>
  </si>
  <si>
    <t>The source stream type is to be understood as a set of rules to be used according to the MRR. This classification is the basis for further obligations, e.g. tiers to be applied.</t>
  </si>
  <si>
    <t>ADD_MeasurementPoint</t>
  </si>
  <si>
    <t>The brief description should identify how data flow activities and control activities of outsourced processes are checked and what checks are undertaken on the quality of the resulting data.</t>
  </si>
  <si>
    <t>- procedures to ensure such information is submitted to the competent authority by 31 December of each year.</t>
  </si>
  <si>
    <t>Please reference the file/document attached to your monitoring plan in the box below.</t>
  </si>
  <si>
    <t>Austria</t>
  </si>
  <si>
    <t>Belgium</t>
  </si>
  <si>
    <t>Bulgaria</t>
  </si>
  <si>
    <t>Cyprus</t>
  </si>
  <si>
    <t>Czech Republic</t>
  </si>
  <si>
    <t>Denmark</t>
  </si>
  <si>
    <t>Estonia</t>
  </si>
  <si>
    <t>Finland</t>
  </si>
  <si>
    <t>France</t>
  </si>
  <si>
    <t>Germany</t>
  </si>
  <si>
    <t>Greece</t>
  </si>
  <si>
    <t>Hungary</t>
  </si>
  <si>
    <t>Ireland</t>
  </si>
  <si>
    <t>Italy</t>
  </si>
  <si>
    <t>Latvia</t>
  </si>
  <si>
    <t>Lithuania</t>
  </si>
  <si>
    <t>Luxembourg</t>
  </si>
  <si>
    <t>Malta</t>
  </si>
  <si>
    <t>Dutch</t>
  </si>
  <si>
    <t>nl</t>
  </si>
  <si>
    <t>Polish</t>
  </si>
  <si>
    <t>pl</t>
  </si>
  <si>
    <t>Portuguese</t>
  </si>
  <si>
    <t>pt</t>
  </si>
  <si>
    <t>Romanian</t>
  </si>
  <si>
    <t>ro</t>
  </si>
  <si>
    <t>Slovak</t>
  </si>
  <si>
    <t>sk</t>
  </si>
  <si>
    <t>Slovenian</t>
  </si>
  <si>
    <t>sl</t>
  </si>
  <si>
    <t>Finnish</t>
  </si>
  <si>
    <t>fi</t>
  </si>
  <si>
    <t>Swedish</t>
  </si>
  <si>
    <t>sv</t>
  </si>
  <si>
    <t>Reference File Name</t>
  </si>
  <si>
    <t>COM</t>
  </si>
  <si>
    <t>AT</t>
  </si>
  <si>
    <t>BE</t>
  </si>
  <si>
    <t>BG</t>
  </si>
  <si>
    <t>CY</t>
  </si>
  <si>
    <t>CZ</t>
  </si>
  <si>
    <t>DK</t>
  </si>
  <si>
    <t>EE</t>
  </si>
  <si>
    <t>FI</t>
  </si>
  <si>
    <t>FR</t>
  </si>
  <si>
    <t>DE</t>
  </si>
  <si>
    <t>EL</t>
  </si>
  <si>
    <t>HU</t>
  </si>
  <si>
    <t>IE</t>
  </si>
  <si>
    <t>IT</t>
  </si>
  <si>
    <t>LV</t>
  </si>
  <si>
    <t>Mass balance method, Article 25</t>
  </si>
  <si>
    <t>Check N2O</t>
  </si>
  <si>
    <t>EUconst_ERR_NoN2OSmallEmitters</t>
  </si>
  <si>
    <t>EUconst_MsgSmallEmitters</t>
  </si>
  <si>
    <t>Please justify why historic data is not available or inappropriate</t>
  </si>
  <si>
    <t>This rule does not apply for installations with N2O activities!</t>
  </si>
  <si>
    <t>Justification for estimation value</t>
  </si>
  <si>
    <t>Check &gt;=25000 / Contradiction</t>
  </si>
  <si>
    <t>If your selection here contradicts the number for estimated emissions under point (d) above, a message will highlight this fact. Please give an appropriate justification below.</t>
  </si>
  <si>
    <t>If your input regarding being an installation with low emissions contradicts your entry in point (d), or if that figure is not based on verified emissions, but on a conservative estimate, please give a short justification below.</t>
  </si>
  <si>
    <t xml:space="preserve">(f) </t>
  </si>
  <si>
    <t>Raw meal; Cement clinker: Kiln input based (Method A)</t>
  </si>
  <si>
    <t>Heavy fuel oil; Combustion: Other gaseous &amp; liquid fuels</t>
  </si>
  <si>
    <t>In principle, the calculation approach used at this installation is done according to the following sequence:</t>
  </si>
  <si>
    <t>EUconst_MSlist</t>
  </si>
  <si>
    <t>EUconst_MSlistISOcodes</t>
  </si>
  <si>
    <t>IS</t>
  </si>
  <si>
    <t>Installation name:</t>
  </si>
  <si>
    <t>Site name:</t>
  </si>
  <si>
    <t>Unique ID of the installation (as in NIMs):</t>
  </si>
  <si>
    <t>EPRTR (optional):</t>
  </si>
  <si>
    <t>Name of the installation and the site on which it is located:</t>
  </si>
  <si>
    <t>Address / location of the site of the installation:</t>
  </si>
  <si>
    <t>Address Line 1:</t>
  </si>
  <si>
    <t>Address Line 2:</t>
  </si>
  <si>
    <t>City:</t>
  </si>
  <si>
    <t>State/Province/Region:</t>
  </si>
  <si>
    <t>Postcode/ZIP:</t>
  </si>
  <si>
    <t>Country:</t>
  </si>
  <si>
    <t>iii.</t>
  </si>
  <si>
    <t>iv.</t>
  </si>
  <si>
    <t>v.</t>
  </si>
  <si>
    <t>vi.</t>
  </si>
  <si>
    <t>vii.</t>
  </si>
  <si>
    <t>List of activities pursuant to Annex I of the EU ETS Directive carried out at the installation:</t>
  </si>
  <si>
    <t>Please make sure that the installation boundaries are correct and in line with Annex I of the EU ETS Directive. For further information please consult the relevant sections of the Commission's Guidance on Interpretation of Annex I. This document can be found under the following link:</t>
  </si>
  <si>
    <t>Operation type:</t>
  </si>
  <si>
    <t>F.
Measurement Approach</t>
  </si>
  <si>
    <t>Specification and location of measurement systems for measurement points:</t>
  </si>
  <si>
    <t>References to procedures</t>
  </si>
  <si>
    <t>Applied standards and of any deviations from those standards</t>
  </si>
  <si>
    <t>Please describe the specification and location of the measurement systems to be used for each emission source where emissions are determined by measurement, and for measurement points for transfer of CO2.</t>
  </si>
  <si>
    <t>The list of instruments entered here will be available as a drop-down list for each emission source in section 10 below, where the relevant measuring instruments used are to be referenced.</t>
  </si>
  <si>
    <t>Include also instruments for auxiliary parameters, such as e.g. O2 content and moisture, and in case of indirect measurements, also concentration measurement instruments for other constituents of the gas than CO2.</t>
  </si>
  <si>
    <t>MM01</t>
  </si>
  <si>
    <t>MM02</t>
  </si>
  <si>
    <t>CO2 concentration (NDIR)</t>
  </si>
  <si>
    <t>Stack 1 platform A (chart: St.1-A)</t>
  </si>
  <si>
    <t>Flow measurement (averaging pitot tube)</t>
  </si>
  <si>
    <t>1 per second</t>
  </si>
  <si>
    <t>MM6</t>
  </si>
  <si>
    <t>MM7</t>
  </si>
  <si>
    <t>MM8</t>
  </si>
  <si>
    <t>MM9</t>
  </si>
  <si>
    <t>MM10</t>
  </si>
  <si>
    <t>Description of the measurement based approach</t>
  </si>
  <si>
    <t>Details for measurement points</t>
  </si>
  <si>
    <t>Please provide a concise description of the measurement approach used to determine your annual CO2 or N2O emissions in the text box below. If N2O is measured, include the approach for converting these emissions into CO2(e) data.</t>
  </si>
  <si>
    <t>In this sheet only requirements are to be laid down which are not relevant to CO2 monitoring.</t>
  </si>
  <si>
    <t>Please provide details about the written procedures detailing the method and any calculation formulae used for data aggregation and to determine the annual CO2e emissions where measurement based methodologies are applied.</t>
  </si>
  <si>
    <t>Please make sure that you don't leave these fields empty, because inputs here will trigger conditional formatting, which guides you through the document.</t>
  </si>
  <si>
    <t>Article 22 of the MRR provides that an operator may use a methodology that is not based on tiers for selected source streams or emission sources, where certain criteria set out in that article are met.  Please complete this section if you propose to apply such a fall-back approach to any source streams or emission sources.  Your competent authority may ask for further information to justify this approach.</t>
  </si>
  <si>
    <t>Please provide a concise description of the monitoring approach, including formulae, used to determine your annual CO2 or CO2(e) emissions in the text box below.</t>
  </si>
  <si>
    <t>make conditional</t>
  </si>
  <si>
    <t>Please provide a concise description of the monitoring approach, including formulae, used to determine your annual CO2(e) emissions in the text box below.</t>
  </si>
  <si>
    <t>EUconst_ProcessPFC</t>
  </si>
  <si>
    <t>Calculation with special provisions for PFC (Annex IV section 8)</t>
  </si>
  <si>
    <t>Relevant method</t>
  </si>
  <si>
    <t>Method</t>
  </si>
  <si>
    <t>ADD_AluSourceStream</t>
  </si>
  <si>
    <t>Stream method</t>
  </si>
  <si>
    <t>Corroborating calculations in accordance with Article 46 that are carried out, if applicable</t>
  </si>
  <si>
    <t>Determination of CO2 stemming from biomass and subtracted from the measured CO2 emissions, if applicable</t>
  </si>
  <si>
    <t>Calculation of the flue gas flow, if applicable</t>
  </si>
  <si>
    <t>Any calculation formulae used for data aggregation and used to determine the annual emissions</t>
  </si>
  <si>
    <t>Please provide a concise description of the approach used to determine your PFC emissions and to convert these to annual CO2(e) emissions in the text box below.</t>
  </si>
  <si>
    <t>Determination of inherent and transferred CO2</t>
  </si>
  <si>
    <t>(j)</t>
  </si>
  <si>
    <t>Daily</t>
  </si>
  <si>
    <t>Weekly</t>
  </si>
  <si>
    <t>Monthly</t>
  </si>
  <si>
    <t>Annual</t>
  </si>
  <si>
    <t>NCV</t>
  </si>
  <si>
    <t>Spain</t>
  </si>
  <si>
    <t>Sweden</t>
  </si>
  <si>
    <t>United Kingdom</t>
  </si>
  <si>
    <t>The determination of the amount of relevant carbonates in each relevant input
material shall be carried out according Articles 32 to 35. Stoichiometric ratios as listed in
section 2 of Annex VI shall be used to convert composition data into emission factors.</t>
  </si>
  <si>
    <t>A conversion factor of 1 shall be used.</t>
  </si>
  <si>
    <t>The amount of non-carbonate compounds of the relevant metals in the raw materials,
including return dust or fly ash or other already calcined materials, shall be reflected by
means of conversion factors with a value between 0 and 1 with a value of 1 corresponding to
a full conversion of raw material carbonates into oxides. The additional determination of
relevant chemical parameters of the process inputs shall be carried out in accordance with
Articles 32 to 35.</t>
  </si>
  <si>
    <t>End</t>
  </si>
  <si>
    <t>EUconst_NA</t>
  </si>
  <si>
    <t>source stream</t>
  </si>
  <si>
    <t>2a/2b</t>
  </si>
  <si>
    <t>EUconst_CNTR_NCV</t>
  </si>
  <si>
    <t>NCV_</t>
  </si>
  <si>
    <t>Minimum</t>
  </si>
  <si>
    <t>EUconst_CNTR_EF</t>
  </si>
  <si>
    <t>EF_</t>
  </si>
  <si>
    <t>The operator shall determine the emission factor in accordance with the relevant
provisions of Articles 32 to 35.</t>
  </si>
  <si>
    <t>The operator shall apply an oxidation factor of 1.</t>
  </si>
  <si>
    <t>The operator shall apply oxidation factors for the respective fuel in accordance with
points (b) or (c) of Article 31(1).</t>
  </si>
  <si>
    <t>The operator shall apply a value from those published in accordance with the first
subparagraph of Article 39(2) or a value determined in accordance with the second
subparagraph of Article 39(2) or Article 39(3).</t>
  </si>
  <si>
    <t>The operator shall determine specific factors in accordance with Article 39(1).</t>
  </si>
  <si>
    <t>EUconst_CNTR_CarbonContent</t>
  </si>
  <si>
    <t>EUconst_CNTR_BiomassContent</t>
  </si>
  <si>
    <t>EUconst_CNTR_OxidationFactor</t>
  </si>
  <si>
    <t>EUconst_CNTR_ConversionFactor</t>
  </si>
  <si>
    <t>ConvF_</t>
  </si>
  <si>
    <t>OxF_</t>
  </si>
  <si>
    <t>BioC_</t>
  </si>
  <si>
    <t>CarbC_</t>
  </si>
  <si>
    <t>EUconst_MsgNextSheet</t>
  </si>
  <si>
    <t>EUconst_MsgEnterThisSection</t>
  </si>
  <si>
    <t>Source Stream</t>
  </si>
  <si>
    <t>(n.a.; use estimation based on best practice)</t>
  </si>
  <si>
    <t>Pursuant to Article 29(1) you are only allowed to rely on instruments that are not under your own control if the instruments comply at least with as high a tier as own instruments, give more reliable results, and are less prone to control risks.</t>
  </si>
  <si>
    <t>Biomass fraction (if applicable)</t>
  </si>
  <si>
    <t>To be filled in by operator</t>
  </si>
  <si>
    <t>Emission point description</t>
  </si>
  <si>
    <t>Source Stream Diagram document title and reference:</t>
  </si>
  <si>
    <t>Combustion</t>
  </si>
  <si>
    <t>Measurement</t>
  </si>
  <si>
    <t>Is lab EN ISO/IEC 17025 accredited for this analysis?</t>
  </si>
  <si>
    <t>Job title:</t>
  </si>
  <si>
    <t>Telephone number:</t>
  </si>
  <si>
    <t>Email address:</t>
  </si>
  <si>
    <t>Detail address to be provided by the Member State</t>
  </si>
  <si>
    <t>Information sources:</t>
  </si>
  <si>
    <t>EU Websites:</t>
  </si>
  <si>
    <t xml:space="preserve">http://eur-lex.europa.eu/en/index.htm </t>
  </si>
  <si>
    <t>EU-Legislation:</t>
  </si>
  <si>
    <t>EU ETS general:</t>
  </si>
  <si>
    <t xml:space="preserve">Monitoring and Reporting in the EU ETS: </t>
  </si>
  <si>
    <t>Other Websites:</t>
  </si>
  <si>
    <t>&lt;to be provided by Member State&gt;</t>
  </si>
  <si>
    <t>Helpdesk:</t>
  </si>
  <si>
    <t>&lt;to be provided by Member State, if relevant&gt;</t>
  </si>
  <si>
    <t>How to use this file:</t>
  </si>
  <si>
    <t>Please provide details about the procedure used for regular evaluation of the monitoring plan's appropriateness, covering in particular any potential measures for the improvement of the monitoring methodology.</t>
  </si>
  <si>
    <t>Emissions trading permit number</t>
  </si>
  <si>
    <t>Operator Name</t>
  </si>
  <si>
    <t>About your installation</t>
  </si>
  <si>
    <t>Black bold text:</t>
  </si>
  <si>
    <t>This is text provided by the Commission template. It should be kept as it is.</t>
  </si>
  <si>
    <t>Smaller italic text:</t>
  </si>
  <si>
    <t>This text gives further explanations. Member States may add further explanations in MS specific versions of the template.</t>
  </si>
  <si>
    <t>Comments</t>
  </si>
  <si>
    <t>Space for further Comments:</t>
  </si>
  <si>
    <t>SpecifiedEmissions2</t>
  </si>
  <si>
    <t>CO2</t>
  </si>
  <si>
    <t>N2O</t>
  </si>
  <si>
    <t>PFCs</t>
  </si>
  <si>
    <t>CO2 &amp; N2O</t>
  </si>
  <si>
    <t>CO2 &amp; PFCs</t>
  </si>
  <si>
    <t>Gas Chromatograph</t>
  </si>
  <si>
    <t>PFCCellTypes</t>
  </si>
  <si>
    <t>Type I default value &amp; best practice</t>
  </si>
  <si>
    <t>A conservative value of 0.2 tonnes CaCO3 (corresponding to 0.08794 tonnes of CO2)
per tonne of dry clay shall be applied for the calculation of the emission factor instead of
results of analyses.</t>
  </si>
  <si>
    <t>An emission factor for each source stream shall be derived and updated at least once
per year using best industry practice reflecting site-specific conditions and the product mix of
the installation.</t>
  </si>
  <si>
    <t>0.08794 tonnes of CO2 per tonne of dry clay</t>
  </si>
  <si>
    <t>0.09642 tonnes of CO2 per tonne of product</t>
  </si>
  <si>
    <t>Purchasing records (if applicable)</t>
  </si>
  <si>
    <t xml:space="preserve">Default value OF=1 </t>
  </si>
  <si>
    <t>Default value CF=1</t>
  </si>
  <si>
    <t>Type I biomass fraction</t>
  </si>
  <si>
    <t>Type II biomass fraction</t>
  </si>
  <si>
    <r>
      <t>Brief description</t>
    </r>
    <r>
      <rPr>
        <sz val="8"/>
        <rFont val="Arial"/>
        <family val="2"/>
      </rPr>
      <t xml:space="preserve"> of procedure    (</t>
    </r>
    <r>
      <rPr>
        <i/>
        <sz val="8"/>
        <color indexed="18"/>
        <rFont val="Arial"/>
        <family val="2"/>
      </rPr>
      <t>Description should cover the essential parameters and operations performed)</t>
    </r>
  </si>
  <si>
    <t>General information</t>
  </si>
  <si>
    <t>Source streams (excl. PFC)</t>
  </si>
  <si>
    <t>PFC Emissions</t>
  </si>
  <si>
    <t>M. Accounting</t>
  </si>
  <si>
    <t>NEW</t>
  </si>
  <si>
    <t>Process input [t]</t>
  </si>
  <si>
    <t>Act. 1</t>
  </si>
  <si>
    <t>Act. 2</t>
  </si>
  <si>
    <t>Act. 3</t>
  </si>
  <si>
    <t>Act. 4</t>
  </si>
  <si>
    <t>Act. 5</t>
  </si>
  <si>
    <t>Act. 6</t>
  </si>
  <si>
    <t>Source Stream Types</t>
  </si>
  <si>
    <t>Directive Annex I (short)</t>
  </si>
  <si>
    <t>Process (method A): non-carbonate</t>
  </si>
  <si>
    <t>Scrubbing (urea)</t>
  </si>
  <si>
    <t>Amount urea consumed [t]</t>
  </si>
  <si>
    <t>The biomass fraction is determined based on an estimation method in accordance with the second subparagraph of Article 39(2), submitted to the competent authority for approval, taking into account the following:</t>
  </si>
  <si>
    <t>for fuels or materials originating from a production process with defined and traceable input streams, the operator may base the estimation on a mass balance of fossil and biomass carbon entering and leaving the process.</t>
  </si>
  <si>
    <t>Type I default values include either of the following methods:</t>
  </si>
  <si>
    <t xml:space="preserve">Use standard factors listed in Annex VI (i.e. in principle IPCC values), or </t>
  </si>
  <si>
    <t>Type II default values include either of the following methods, which are considered equivalent:</t>
  </si>
  <si>
    <t xml:space="preserve">Use other values published by the CA for more disaggregated fuel types in accordance with point (c) of Article 31(1), or other literature values which are agreed with the CA, or </t>
  </si>
  <si>
    <t xml:space="preserve">Use country specific emission factors in accordance with point (b) of Article 31(1), i.e. values used for the national GHG inventory, or </t>
  </si>
  <si>
    <t>Use other constant values in accordance with point (e) of Article 31(1) where such standard factors are not available, i.e. analyses carried out in the past but still valid.</t>
  </si>
  <si>
    <t>Use other constant values in accordance with point (d) of Article 31(1), i.e. values guaranteed by the supplier with a carbon content within 1%.</t>
  </si>
  <si>
    <t>In this case laboratory analyses are to be carried out, in accordance with the first sub-paragraph of Article 39 (2) and Articles 32 to 35.</t>
  </si>
  <si>
    <t>Use values from those published by the competent authority or the Commission for this type of fuel or material, or</t>
  </si>
  <si>
    <t>Use values in accordance with Article 31(1), i.e. a "Type I default value".</t>
  </si>
  <si>
    <t>For pure chemical substances, the competent authority can accept the use of the stoichiometric carbon content as meeting the tier that requires laboratory analysis, provided that the operator demonstrates that such analyses would lead to unreasonable costs and the stoichiometric value will not lead to under-estimation of the emissions.</t>
  </si>
  <si>
    <t>0,7328 t CO2/t urea</t>
  </si>
  <si>
    <t>0.2558 t CO2/t gypsum</t>
  </si>
  <si>
    <t>Biomass fraction</t>
  </si>
  <si>
    <t>One of the following methods has to be applied, which are considered equivalent:</t>
  </si>
  <si>
    <t xml:space="preserve">Alternatively, the operator can always assume a fossil fraction of 100%. This is considered a "No tier" methodology and a default value of 0% biomass fraction is applied. </t>
  </si>
  <si>
    <t>Analyse biomass fraction</t>
  </si>
  <si>
    <t>Tier conversion</t>
  </si>
  <si>
    <t>N2O transfer</t>
  </si>
  <si>
    <t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activity data. </t>
  </si>
  <si>
    <t>any guidelines on further applicable estimation methods published by the Commission &lt;to be developed in Guidance Document 3&gt;.</t>
  </si>
  <si>
    <t>RowIndex</t>
  </si>
  <si>
    <t>Process (method A): carbonate only</t>
  </si>
  <si>
    <t>Process (method A): mixed (carbonate + non-carbonate)</t>
  </si>
  <si>
    <t>Process (method B): oxide output</t>
  </si>
  <si>
    <t>Minor emission source: You may apply a low apply a lower tier than the one shown below as required, with a minimum of tier 1, where you can demonstrate that applying that tier is technically not feasible or incurs unreasonable costs.</t>
  </si>
  <si>
    <t>1=default value, 2=lab</t>
  </si>
  <si>
    <t>Installation with low emissions / major emission source: you may apply tier 1, unless higher accuracy is achievable without additional effort for the operator.</t>
  </si>
  <si>
    <t>Installation with low emissions / minor emission source: you may apply tier 1, unless higher accuracy is achievable without additional effort for the operator.</t>
  </si>
  <si>
    <t>Major emission source: The minimum tier displayed below shall apply.
However, you may apply a tier one level lower, with a minimum of tier 1, where you can show to the satisfaction of the competent authority that the tier required in accordance with the first subparagraph is technically not feasible or incurs unreasonable costs.</t>
  </si>
  <si>
    <t>Phase 4 Installation Monitoring Plan</t>
  </si>
  <si>
    <t>Phase 4 Monitoring Plan Aircraft operators</t>
  </si>
  <si>
    <t>Phase 4 Monitoring Plan Aircraft t-km</t>
  </si>
  <si>
    <t>https://eur-lex.europa.eu/eli/dir/2003/87/2018-04-08</t>
  </si>
  <si>
    <t>Please provide details about the procedures used to assess inherent risks and control risks in accordance with Article 59 of the MRR.</t>
  </si>
  <si>
    <t>Please provide details about the procedures used to ensure quality assurance of measuring equipment in accordance with Article 59 and 60 of the MRR.</t>
  </si>
  <si>
    <t>Please provide details about the procedures used to ensure quality assurance of information technology used for data flow activities in accordance with Article 59 and 61 of the MRR.</t>
  </si>
  <si>
    <t>Please provide details about the procedures used to ensure regular internal reviews and validation of data in accordance with Articles 59 and 63 of the MRR.</t>
  </si>
  <si>
    <t>Please provide details about the procedures used to handle corrections and corrective actions in accordance with Articles 59 and 64 of the MRR.</t>
  </si>
  <si>
    <t>Please provide details about the procedures used to control outsourced processes in accordance with Articles 59 and 65 of the MRR.</t>
  </si>
  <si>
    <t>Further procedures</t>
  </si>
  <si>
    <t>Receiving transferred N2O</t>
  </si>
  <si>
    <t>Exporting transferred N2O</t>
  </si>
  <si>
    <t>Furthermore some of the information required for the monitoring of transferred CO2 and N2O, as well as inherent CO2 is to be reported here.</t>
  </si>
  <si>
    <t xml:space="preserve">Please provide a detailed description of the monitoring methodology used to determine inherent or transferred CO2 or N2O. </t>
  </si>
  <si>
    <t>Please give here for each installation (or other entity) from which you receive or to which you transfer inherent or transferred CO2(e) the following information:</t>
  </si>
  <si>
    <t>Give here the name of the installation or non-ETS entity, from which or to which CO2(e) is transferred. To the extent feasible use the same name as the competent authority and the Registry use.</t>
  </si>
  <si>
    <t>Select here from the drop-down list whether it is a transfer from or to an installation or non-ETS entity, and whether this deals with inherent CO2 (Article 48) or transferred CO2 (Article 49) or N2O (Article 50) as defined by the MRR.</t>
  </si>
  <si>
    <t>For transport networks, please provide details of the written procedure for ensuring that CO2(e) is transferred only to installations which have a valid greenhouse gas emission permit, or where any emitted CO2 or N2O is effectively monitored and accounted for in accordance with Articles 49 and 50.</t>
  </si>
  <si>
    <t>J. Determination of transferred or inherent CO2 and transferred N2O</t>
  </si>
  <si>
    <t>Please provide details about the procedure used for managing the assignment of responsibilities for monitoring and reporting within the installation and for managing the competencies of responsible personnel, in accordance with Article 59(3)(c) of the MRR.</t>
  </si>
  <si>
    <t>Please identify the responsibilities for monitoring and reporting emissions from the installation, in accordance with Article 62 of the MRR.</t>
  </si>
  <si>
    <t>Please provide details about the procedures used to manage data flow activities in accordance with Article 58 of the MRR.</t>
  </si>
  <si>
    <t>Application of Articles 39(3) and 39(4) in case of natural gas grids, into which biogas is injected, i.e. where the competent authority allows the biomass fraction to be determined using purchase records of biogas of equivalent energy content.</t>
  </si>
  <si>
    <t>Determination of inherent and transferred CO2 and N2O</t>
  </si>
  <si>
    <t>Information relevant for pipeline systems used for transport of CO2 and N2O</t>
  </si>
  <si>
    <t>This sheet is used to identify the current version of the monitoring plan. Each version of the monitoring plan must have a unique version number that does not coincide with previous phase plans, and a reference date.</t>
  </si>
  <si>
    <t>A6</t>
  </si>
  <si>
    <t>A7</t>
  </si>
  <si>
    <t>Where process emissions are relevant, please clearly describe whether the calculation includes inorganic carbon (carbonates), organic carbon, or both, pursuant to section of 4 of Annex II of the MRR.</t>
  </si>
  <si>
    <t>InformationSources</t>
  </si>
  <si>
    <t>Monitoring and Reporting Regulation, Annex VI</t>
  </si>
  <si>
    <t>National Inventory</t>
  </si>
  <si>
    <t>Please provide details about the procedures used to close any data gaps in accordance with Article 66 of the MRR.</t>
  </si>
  <si>
    <t>The brief description should identify how data gaps will be closed by the use of an appropriate estimation method for determining conservative surrogate data for the respective time period and missing parameter.</t>
  </si>
  <si>
    <t>This procedure is only mandatory where relevant data is missing, but it is recommended to establish such a procedure in any case to ensure compliance even when data gaps occur.</t>
  </si>
  <si>
    <t>Comments and justification if required tiers are not applied:</t>
  </si>
  <si>
    <t>Please provide any relevant comments below. Explanations may in particular be required for e.g. the biomass estimation method, the proxy method (correlation), application of Article 31(4), Article 37(2), etc.</t>
  </si>
  <si>
    <t>L1, L3</t>
  </si>
  <si>
    <t>Comments and justification if required tier is not applied:</t>
  </si>
  <si>
    <t>Description of the procedure used to assess if biomass source streams comply with Article 38(5), if applicable.</t>
  </si>
  <si>
    <t>This procedure is only relevant for biomass which is subject to the applicable sustainability and GHG savings criteria in the Renewable Energy Directive (2018/2001).</t>
  </si>
  <si>
    <t>Description of the procedure used to determine biogas quantities based on purchase records in accordance with Article 39(4), if applicable.</t>
  </si>
  <si>
    <t>This procedure is only relevant where the operator wants to claim the use of biogas received from a (natural) gas grid.</t>
  </si>
  <si>
    <t>g CO2/Nm³</t>
  </si>
  <si>
    <t>Exporting transferred CO2 (PCC)</t>
  </si>
  <si>
    <t>Note: this section is to be completed where transfer of inherent CO2 as part of a source stream in accordance with Article 48 of the MRR or transfer of CO2 or N2O in accordance with Article 49 and 50, respectively, of the MRR are carried out.</t>
  </si>
  <si>
    <t>Please provide a concise description of the monitoring approach, including formulae, used to determine your annual CO2, N2O or CO2(e) emissions in the text box below.</t>
  </si>
  <si>
    <t>This should cover in particular the amounts of CO2 and N2O to be added due to receiving transferred CO2 and N2O, or for subtracting CO2(e) due to transfer out of the installation, as appropriate. Please make sure that this calculation is in line with Articles 48, 49 and 50 of the MRR.</t>
  </si>
  <si>
    <t>In accordance with section 22.B of Annex IV of the MRR, you may choose either of two methods. Method A involves a measurement based mass balance of all CO2 and N2O emitted, entering and leaving the network, while Method B is based on determining fugitive and vented emissions, as well as leakages and installation based emissions.</t>
  </si>
  <si>
    <t xml:space="preserve">Please note that this section does not exempt operators from the obligation to submit an improvement report pursuant to Article 69(4). </t>
  </si>
  <si>
    <t>Improvement reports pursuant to Article 69(1) of the MRR</t>
  </si>
  <si>
    <t>June</t>
  </si>
  <si>
    <t>July</t>
  </si>
  <si>
    <t>August</t>
  </si>
  <si>
    <t>September</t>
  </si>
  <si>
    <t>EUconst_IRMonth</t>
  </si>
  <si>
    <t>This section is only relevant if the operator selected "TRUE" under point i. above.</t>
  </si>
  <si>
    <t xml:space="preserve">The deadline for the improvement reports is every year for category C, every two years for category B and four years for category A installations. </t>
  </si>
  <si>
    <t>Any required tier not met or fall-back applied?</t>
  </si>
  <si>
    <t>Select "TRUE" if for any parameter of a major or minor source stream or emission sources, either the required tiers are not met or a fall-back (Article 22) is applied. If this is the case, the operator has to submit improvement reports regularly, pursuant to Article 69(1).</t>
  </si>
  <si>
    <t>Please reference the file/document containing the risk assessment in the box below.</t>
  </si>
  <si>
    <t>For further guidance please consult Articles 28 and 29 of the MRR and Guidance Document 4 and use the "Tool for uncertainty assessment".</t>
  </si>
  <si>
    <t>Date of application</t>
  </si>
  <si>
    <t>In the "date of application" column, the date as of which the monitoring methodology as described in the plan applies, if applicable.</t>
  </si>
  <si>
    <t>https://ec.europa.eu/clima/policies/ets/monitoring_en#tab-0-1</t>
  </si>
  <si>
    <t>It is recommended to start with the "Quick guide for operators of stationary installations" and "Guidance Document 1"</t>
  </si>
  <si>
    <t>Estimated emissions under d) or e) based on conservative estimates?</t>
  </si>
  <si>
    <t>Rated thermal input in MW(th) (if capacity expressed in tonnes)</t>
  </si>
  <si>
    <t>Type I default values (tier 1):</t>
  </si>
  <si>
    <t>Type II default values (tier 2):</t>
  </si>
  <si>
    <t xml:space="preserve">Established proxies (tier 2b): </t>
  </si>
  <si>
    <t xml:space="preserve">Purchasing records (tier 2b): </t>
  </si>
  <si>
    <t xml:space="preserve">Laboratory analyses (highest tier): </t>
  </si>
  <si>
    <t>Type I biomass fraction (tier 1):</t>
  </si>
  <si>
    <t>Type II biomass fraction (tier 2):</t>
  </si>
  <si>
    <t>Analyse biomass fraction (tier 3):</t>
  </si>
  <si>
    <t>If your input regarding being an installation with low emissions contradicts your entry in point (d), or if the figure under point (d) is not based on verified emissions, but on a conservative estimate, please select "TRUE" and provide a short justification below.</t>
  </si>
  <si>
    <t>Where CO2 stemming from biomass is included in the emissions measurement, please provide details about the written procedure detailing how the biomass CO2 is to be determined and subtracted from the measured CO2 emissions, where applicable, in accordance with Article 43(4) and 43(4a) of the MRR.</t>
  </si>
  <si>
    <t>2nd draft to CCC</t>
  </si>
  <si>
    <t>Tranferred CO2 &amp; N2O</t>
  </si>
  <si>
    <t>MP P4 Inst</t>
  </si>
  <si>
    <t>Phase 3 Installation Monitoring Plan</t>
  </si>
  <si>
    <t>First draft Amendments UBA based on 3rd phase template</t>
  </si>
  <si>
    <t>updated for translations</t>
  </si>
  <si>
    <t>NEW for Phase 4 (Update 2020)</t>
  </si>
  <si>
    <t>Please provide details about the procedures used to manage record keeping and documentation in accordance with Articles 59 and 67 of the MRR.</t>
  </si>
  <si>
    <t>This is the final version of the monitoring plan template for installations for phase 4 of the EU ETS, as ensorsed by the Climate Change Committee by written procedure in November 2020.</t>
  </si>
  <si>
    <t>https://eur-lex.europa.eu/eli/reg_impl/2018/2066/oj</t>
  </si>
  <si>
    <t>The Monitoring and Reporting Regulation (Commission Regulation (EU) No 2018/2066, as amended, hereinafter the "MRR"), defines further requirements for monitoring and reporting. The MRR can be downloaded from:</t>
  </si>
  <si>
    <t>Pursuant to Article 19(4) a lower tier requirement may be allowed for each emission source which emits less than 5 000 tonnes of CO2(e) per year, or which contributes less than 10% of the total annual emissions of the installation, up to a maximum of 100 000 to CO2(e) per year, whichever is higher in terms of absolute emissions ("minor" emission source).</t>
  </si>
  <si>
    <t>endorsed by CCC</t>
  </si>
  <si>
    <t>Deadline for the next improvement report pursuant to Article 69(1), if relevant</t>
  </si>
  <si>
    <t>However, the CA can extend that period to three, four, five years, respectively, if the operator can demonstrate to the CA that the reasons for unreasonable costs or for improvement measures being technically not feasible remain valid for a longer period of time.</t>
  </si>
  <si>
    <t>do not translate</t>
  </si>
  <si>
    <t>keep</t>
  </si>
  <si>
    <t>Cement EF tier fix</t>
  </si>
  <si>
    <t>Municipal waste incineration</t>
  </si>
  <si>
    <t>Waste</t>
  </si>
  <si>
    <t>Unique ID of the installation (e.g. as in NIMs):</t>
  </si>
  <si>
    <t>This is the final version of the monitoring plan template for installations for phase 4 of the EU ETS, as ensorsed by the Climate Change Committee by written procedure in November 2020, updated on 30 November 2023 to include relevant elements to include municipal waste incinerators.</t>
  </si>
  <si>
    <t>update for inclusion of muncipal waste incinerators (new Annex I activity and source stream name "waste")</t>
  </si>
  <si>
    <t>Solid fuels, excluding waste</t>
  </si>
  <si>
    <t>Analyse biomass fraction (tier 3a):</t>
  </si>
  <si>
    <t>3a</t>
  </si>
  <si>
    <t>3b</t>
  </si>
  <si>
    <t>Mass balance, e.g. in accordance with Article 30(1) of RED II</t>
  </si>
  <si>
    <t>Description of the procedure used to assess if biomass or any other zero-rated source streams comply with Article 38(5), 39a(3) or 39a(4), if applicable.</t>
  </si>
  <si>
    <t>Description of the procedure used to determine biogas quantities based on purchase records in accordance with Article 39(4), or zero-rated RFNBO or RCF quantities in accordance with Article 39a(5), if applicable.</t>
  </si>
  <si>
    <t>This procedure is only relevant where the operator wants to claim the use of biogas or RFNBOs/RCFs received from a (natural) gas grid.</t>
  </si>
  <si>
    <t>This procedure is only relevant for biomass, RFNBOs (renewable fuels of non-biological origin), RCFs (recycled carbon fuels) and SLCF (synthetic low carbon fuels) which are subject to the applicable sustainability and GHG savings criteria in the Renewable Energy Directive (2018/2001).</t>
  </si>
  <si>
    <t>CO2 transferred</t>
  </si>
  <si>
    <t>CCS: Capture</t>
  </si>
  <si>
    <t>CCS: Transport</t>
  </si>
  <si>
    <t>CCS: Storage</t>
  </si>
  <si>
    <t>CO2 vented</t>
  </si>
  <si>
    <t>CO2 leaked</t>
  </si>
  <si>
    <t>CO2 fugitive</t>
  </si>
  <si>
    <t>CO2 [t]</t>
  </si>
  <si>
    <t>Determination of CO2 stemming from biomass or from any other zero-rated fraction, if applicable</t>
  </si>
  <si>
    <t>Furthermore this sheet is relevant for information to be provided where activities of CO2 capture, transport or geological storage of CO2 as covered by Annex I of the EU ETS Directive are carried out.</t>
  </si>
  <si>
    <t>Information relevant for CO2 transport infrastructure used for transport of CO2 and N2O</t>
  </si>
  <si>
    <t>EUconst_TransportApproaches</t>
  </si>
  <si>
    <t>CNTR_TransportApproach</t>
  </si>
  <si>
    <t>Relevant sections: sheet J (other sections as selected above)</t>
  </si>
  <si>
    <t>Monitoring of 'permanent CCU'</t>
  </si>
  <si>
    <t>EUConst_RelSectionCCU</t>
  </si>
  <si>
    <t>Please indicate the monitoring approach selected for your transport infrastructure:</t>
  </si>
  <si>
    <t>Where applicable, please describe the equipment used for temperature and pressure measurement in the transport infrastructure.</t>
  </si>
  <si>
    <t>Please list all equipment used for measurement of temperature and pressure in the transport infrastructure in the determination of emissions from leakage events in accordance with section 22 of Annex IV of the MRR.</t>
  </si>
  <si>
    <t>For transport infrastructures, please provide details of the written procedure for ensuring that CO2(e) is transferred only to installations which have a valid greenhouse gas emission permit, or where any emitted CO2 or N2O is effectively monitored and accounted for in accordance with Articles 49 and 50.</t>
  </si>
  <si>
    <t>If Method B is applied for transport infrastructure, please provide here the description of the procedure used for validating the result of method B with method A at least annually:</t>
  </si>
  <si>
    <t>Preference is given to Method B, unless you can demonstrate that Method A will lead to more reliable results with lower uncertainty, without incurring unreasonable costs.</t>
  </si>
  <si>
    <t>If method A is applied, provide here a description of the procedure used for compiling inventory of CO2 annually entering and leaving the CO2 transport infrastructure and for monitoring any CO2 in transit, in accordance with Article 49(6).</t>
  </si>
  <si>
    <t>Subject to the monitoring approach chosen, information regarding any source streams are to be provided in sheet E_SourceStreams and any information regarding the measurement points and measuring instruments are to be provided in sheet F_MeasurementBasedApproaches.</t>
  </si>
  <si>
    <t>The CO2 transport infrastructure comprises all modes of CO2 transport (pipelines, ships, trucks, train, etc.) for the purpose of geological storage. Please therefore describe in detail in section C.5.a on the organisational structure, the number and type of vehicles involved, the system boundaries, including all ancillary facilities functionally connected to the transport infrastructure, such as CO2 intermediate storage, booster, liquefaction, gasification, purification stations or heaters, etc.</t>
  </si>
  <si>
    <t>Description of the procedure used to determine the information for each purchase as required by Article 75v(2) and Annex Xa.</t>
  </si>
  <si>
    <t>This procedure should describe how to keep track of each purchase of fuel from each fuel supplier, the amounts annually consumed for activities covered by Annex I of the Directive, amounts taken from / put on stock and amounts exported.</t>
  </si>
  <si>
    <t xml:space="preserve">CCU </t>
  </si>
  <si>
    <t>CCU</t>
  </si>
  <si>
    <t>Process inputs &amp; outputs</t>
  </si>
  <si>
    <t>only for CCU:</t>
  </si>
  <si>
    <t>Mass balance biomass fraction (tier 3b):</t>
  </si>
  <si>
    <t>J2. Permanent CCU</t>
  </si>
  <si>
    <t>19a</t>
  </si>
  <si>
    <t>Determination of amounts of CO2 permanently chemically bound</t>
  </si>
  <si>
    <t>Note: this section is to be completed where CO2 is captured and used (CCU) in a product where the CO2 is permanently chemically bound, in accordance with Article 49a. CO2 bound in any products not meeting the specifications set out in Article 49a is not covered here.</t>
  </si>
  <si>
    <t>J2. CO2 permanently chemically bound in a product</t>
  </si>
  <si>
    <t xml:space="preserve">Please provide a detailed description of the process in which the CO2 is permanently chemically bound. </t>
  </si>
  <si>
    <t xml:space="preserve">Provide here a description of the procedure used for the calculation methodology for determining the CO2 amounts permanently chemically bound in accordance with Article 49a(2). </t>
  </si>
  <si>
    <t>Provide here a description of the procedure used to determine whether or not a product in which the CO2 is permanently chemically bound in accordance with Article 49a(1) of this Regulation, meets the requirements set out in the delegated Regulation pursuant to Article 12(3b) of Directive 2003/87/EC and the types of uses of those products.</t>
  </si>
  <si>
    <t>Please provide a concise description of the monitoring approach, including formulae, used to determine the annual amount of CO2 being permanently chemically bound in a product.</t>
  </si>
  <si>
    <t>This should cover in particular the process in which the CO2 is chemically bound, the system boundaries of the process, the location (either onsite or in another installation or entity), and the relevant input and output material and their chemical composition, in particular the carbon contents. Please make sure that this calculation is in line with Article 49a of the MRR.</t>
  </si>
  <si>
    <t>Note: the above data shall include transferred CO2, but exclude CO2 stemming from zero-rated carbon (biomass, RFNBO/RCF, SLCF).</t>
  </si>
  <si>
    <t>The biomass fraction is determined based on an estimation method in accordance with the second subparagraph of Article 39(2), submitted to the competent authority for approval, taking into account any guidelines on further applicable estimation methods published by the Commission (see Guidance Document 3).</t>
  </si>
  <si>
    <t>If applicable, please describe also the methodology by which emissions are zero-rated (Article 43(4) to (4c)) for subtraction from the total emissions.</t>
  </si>
  <si>
    <t>Where part of the transferred CO2 is generated from any zero-rated carbon (e.g. biomass), or where an installation is only partially covered by the EU ETS Directive, please provide details of the written procedure used for deducting the amount of transferred CO2 which does not originate from fossil carbon activities covered by the EU ETS Directive.</t>
  </si>
  <si>
    <t>https://eur-lex.europa.eu/eli/dir/2003/87/2024-03-01</t>
  </si>
  <si>
    <t>https://eur-lex.europa.eu/eli/reg_impl/2018/2066/2024-07-01</t>
  </si>
  <si>
    <t>Member States may allow operators and aircraft operators to use standardised or simplified monitoring plans, without prejudice to Article 12(3). 
For that purpose, Member States may publish templates for those monitoring plans, including the description of data flow and control procedures referred to in Article 58 and Article 59, based on the templates and guidelines published by the Commission.</t>
  </si>
  <si>
    <t>https://climate.ec.europa.eu/eu-action/eu-emissions-trading-system-eu-ets/monitoring-reporting-and-verification-eu-ets-emissions_en</t>
  </si>
  <si>
    <t>Relevant sections: sheet J2 (other sections as selected above)</t>
  </si>
  <si>
    <t>Biomass: For fuels originating from a production process with defined and traceable input streams, the operator may base the estimation on a material balance of fossil and biomass carbon entering and leaving the process, such as the mass balance system in accordance with Article 30(1) of Directive (EU) 2018/2001.</t>
  </si>
  <si>
    <t>Application of Articles 39(3), 39(4) and 39a(5) in case of natural gas grids, into which biogas or RFNBO/RCF is injected, i.e. where the competent authority allows the zero-rated fraction to be determined using purchase records of equivalent energy content.</t>
  </si>
  <si>
    <t>In case of source streams going out of a mass balance, the emissions must be entered as negative values. In the case of zero-rated carbon being involved in the mass balance, Article 25(3) applies.</t>
  </si>
  <si>
    <t>If appplicable, a description of the procedure used to determine whether process emissions from a material can be rated as zero, where corresponding CO2 has been reported by the installation producing the material.</t>
  </si>
  <si>
    <t>Where this is relevant (e.g. soda ash used in glass industries, urea used for DeNOx), this procedure should describe how you ensure such materials meet the conditions listed in the last sub-paragraph of Annex II, section 4.</t>
  </si>
  <si>
    <t>update for MRR as amended incl. 2024</t>
  </si>
  <si>
    <t>Production or processing of ferrous metals (including ferro-alloys) where combustion units with a total rated thermal input exceeding 20 MW are operated. Processing includes, inter alia, rolling mills, re-heaters, annealing furnaces, smitheries, foun</t>
  </si>
  <si>
    <t>Production of iron or steel (primary or secondary fusion) including continuous casting, with a capacity exceeding 2,5 tonnes per hour</t>
  </si>
  <si>
    <t>Metal ore (including sulphide ore) roasting or sintering, including pelletisation</t>
  </si>
  <si>
    <t>Drying or calcination of gypsum or production of plaster boards and other gypsum products, with a production capacity of calcined gypsum or dried secondary gypsum exceeding a total of 20 tonnes per day</t>
  </si>
  <si>
    <t>Production of carbon black involving the carbonisation of organic substances such as oils, tars, cracker and distillation residues with a production capacity exceeding 50 tonnes per day</t>
  </si>
  <si>
    <t>Production of hydrogen (H2) and synthesis gas with a production capacity exceeding 5 tonnes per day</t>
  </si>
  <si>
    <t>Transport of greenhouse gases for geological storage in a storage site permitted under Directive 2009/31/EC, with the exclusion of those emissions covered by another activity under this Directive</t>
  </si>
  <si>
    <t xml:space="preserve">Refining of oil </t>
  </si>
  <si>
    <t>Production of iron or steel</t>
  </si>
  <si>
    <t>Please enter here the average annual emissions of your installation. This information is required for categorisation of the installation in accordance with Article 19 of the MRR. Use the average verified annual emissions of the previous trading period data OR if this data is not available, or is inappropriate, a conservative estimate of annual average emissions, all before substraction of any CO2 transferred out of the installation, but excluding CO2 from zero-rated carbon (biomass, RFNBO/RCF, SLCF).</t>
  </si>
  <si>
    <t>Is CO2 transfer?</t>
  </si>
  <si>
    <t>Where applicable, please provide details of the written procedure for preventing, detecting and quantification of leakage events from the transport infrastructure.</t>
  </si>
  <si>
    <t xml:space="preserve">The deadline for the improvement reports is every two years for category C, every three years for category B and five years for category A installations. </t>
  </si>
  <si>
    <t>Note: there can be cases where zero emissions arise from the installation (i.e. not even from a emergency power unit, boilers for heating offices, etc. and also no emissions from biomass, RFNBO/RCF, SCLF). In such cases, the estimated emissions would be zero and only this section and sheet "K_Management" of this monitoring plan have to completed.</t>
  </si>
  <si>
    <t>In accordance with section 22.B of Annex IV of the MRR, you may choose either of two methods for the CO2 transported. Method A involves a mass balance of all CO2 and N2O emitted, entering and leaving the transport infrastructure, while Method B is based on determining fugitive and vented emissions, as well as leakages, from all individual emission sources.</t>
  </si>
  <si>
    <t>If you have chosen Method B, you must provide evidence to demonstrate compliance with an overall uncertainty of not more than 7.5% for the emissions of the whole transport infrastructure. If you have chosen Method A, you have to demonstrate the reasons as mentioned under a) above. Please give here a reference to the attached document as appropriate.</t>
  </si>
  <si>
    <t>This is the updated version of the monitoring plan template for installations, as of 17 December 2024.</t>
  </si>
  <si>
    <t>https://climate.ec.europa.eu/document/download/edc93136-82a0-482c-bf47-39ecaf13b318_en?filename=policy_ets_gd0_annex_i_euets_directive_en.pdf</t>
  </si>
  <si>
    <t>b_Guidelines and conditions'!$B$19</t>
  </si>
  <si>
    <t>b_Guidelines and conditions'!$B$22</t>
  </si>
  <si>
    <t>C_InstallationDescription'!$E$66</t>
  </si>
  <si>
    <t>C_InstallationDescription'!$E$68</t>
  </si>
  <si>
    <t>C_InstallationDescription'!$E$78</t>
  </si>
  <si>
    <t>C_InstallationDescription'!$E$102</t>
  </si>
  <si>
    <t>C_InstallationDescription'!$E$213</t>
  </si>
  <si>
    <t>; 'C_InstallationDescription'!$F$271</t>
  </si>
  <si>
    <t>D_CalculationBasedApproaches'!$E$244</t>
  </si>
  <si>
    <t>D_CalculationBasedApproaches'!$E$245</t>
  </si>
  <si>
    <t>D_CalculationBasedApproaches'!$E$258</t>
  </si>
  <si>
    <t>D_CalculationBasedApproaches'!$E$259</t>
  </si>
  <si>
    <t>D_CalculationBasedApproaches'!$E$272</t>
  </si>
  <si>
    <t>D_CalculationBasedApproaches'!$E$273</t>
  </si>
  <si>
    <t>D_CalculationBasedApproaches'!$E$286</t>
  </si>
  <si>
    <t>D_CalculationBasedApproaches'!$E$287</t>
  </si>
  <si>
    <t>E_SourceStreams'!$G$126</t>
  </si>
  <si>
    <t>E_SourceStreams'!$F$127</t>
  </si>
  <si>
    <t>E_SourceStreams'!$E$128</t>
  </si>
  <si>
    <t>E_SourceStreams'!$E$129</t>
  </si>
  <si>
    <t>E_SourceStreams'!$F$129</t>
  </si>
  <si>
    <t>F_MeasurementBasedApproaches'!$E$19</t>
  </si>
  <si>
    <t>F_MeasurementBasedApproaches'!$F$201; 'F_MeasurementBasedApproaches'!$F$261; 'F_MeasurementBasedApproaches'!$F$319; 'F_MeasurementBasedApproaches'!$F$377; 'F_MeasurementBasedApproaches'!$F$435</t>
  </si>
  <si>
    <t>; 'I_PFC'!$U$49</t>
  </si>
  <si>
    <t>; 'I_PFC'!$D$68</t>
  </si>
  <si>
    <t>; 'I_PFC'!$D$69</t>
  </si>
  <si>
    <t>J_Transferred GHG'!$D$13</t>
  </si>
  <si>
    <t>J_Transferred GHG'!$D$14</t>
  </si>
  <si>
    <t>J_Transferred GHG'!$E$66</t>
  </si>
  <si>
    <t>J_Transferred GHG'!$D$80</t>
  </si>
  <si>
    <t>J_Transferred GHG'!$D$82</t>
  </si>
  <si>
    <t>J_Transferred GHG'!$E$84</t>
  </si>
  <si>
    <t>J_Transferred GHG'!$E$85</t>
  </si>
  <si>
    <t>J_Transferred GHG'!$E$86</t>
  </si>
  <si>
    <t>J_Transferred GHG'!$E$89</t>
  </si>
  <si>
    <t>J_Transferred GHG'!$E$91</t>
  </si>
  <si>
    <t>J_Transferred GHG'!$E$92</t>
  </si>
  <si>
    <t>J_Transferred GHG'!$E$114</t>
  </si>
  <si>
    <t>J_Transferred GHG'!$E$127</t>
  </si>
  <si>
    <t>J_Transferred GHG'!$E$140</t>
  </si>
  <si>
    <t>J_Transferred GHG'!$E$179</t>
  </si>
  <si>
    <t>J2_PermCCU'!$B$2</t>
  </si>
  <si>
    <t>J2_PermCCU'!$C$6</t>
  </si>
  <si>
    <t>J2_PermCCU'!$D$10</t>
  </si>
  <si>
    <t>J2_PermCCU'!$D$12</t>
  </si>
  <si>
    <t>J2_PermCCU'!$E$14</t>
  </si>
  <si>
    <t>J2_PermCCU'!$E$15</t>
  </si>
  <si>
    <t>J2_PermCCU'!$E$16</t>
  </si>
  <si>
    <t>; 'J2_PermCCU'!$E$17</t>
  </si>
  <si>
    <t>; 'J2_PermCCU'!$E$18</t>
  </si>
  <si>
    <t>J2_PermCCU'!$E$41</t>
  </si>
  <si>
    <t>J2_PermCCU'!$E$54</t>
  </si>
  <si>
    <t>K_ManagementControl'!$E$77</t>
  </si>
  <si>
    <t>; 'K_ManagementControl'!$E$78</t>
  </si>
  <si>
    <t>; 'EUwideConstants'!$B$552</t>
  </si>
  <si>
    <t>; 'EUwideConstants'!$B$792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</si>
</sst>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_ ;[Red]\-#,##0\ "/>
    <numFmt numFmtId="166" formatCode="#,##0_);[Red]\-#,##0_)"/>
    <numFmt numFmtId="167" formatCode="0.0"/>
  </numFmts>
  <fonts count="112" x14ac:knownFonts="1">
    <font>
      <sz val="10"/>
      <name val="Arial"/>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0"/>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sz val="10"/>
      <name val="Arial"/>
      <family val="2"/>
    </font>
    <font>
      <b/>
      <sz val="9"/>
      <name val="Arial"/>
      <family val="2"/>
    </font>
    <font>
      <b/>
      <sz val="12"/>
      <name val="Times New Roman"/>
      <family val="1"/>
    </font>
    <font>
      <b/>
      <u/>
      <sz val="20"/>
      <color indexed="62"/>
      <name val="Arial"/>
      <family val="2"/>
    </font>
    <font>
      <b/>
      <u/>
      <sz val="10"/>
      <color indexed="62"/>
      <name val="Arial"/>
      <family val="2"/>
    </font>
    <font>
      <b/>
      <u/>
      <sz val="10"/>
      <name val="Arial"/>
      <family val="2"/>
    </font>
    <font>
      <u/>
      <sz val="8"/>
      <name val="Arial"/>
      <family val="2"/>
    </font>
    <font>
      <i/>
      <sz val="10"/>
      <name val="Arial"/>
      <family val="2"/>
    </font>
    <font>
      <b/>
      <sz val="12"/>
      <name val="Arial"/>
      <family val="2"/>
    </font>
    <font>
      <b/>
      <sz val="8"/>
      <color indexed="81"/>
      <name val="Tahoma"/>
      <family val="2"/>
    </font>
    <font>
      <sz val="10"/>
      <name val="Arial"/>
      <family val="2"/>
    </font>
    <font>
      <b/>
      <sz val="10"/>
      <color indexed="10"/>
      <name val="Arial"/>
      <family val="2"/>
    </font>
    <font>
      <sz val="10"/>
      <color indexed="10"/>
      <name val="Arial"/>
      <family val="2"/>
    </font>
    <font>
      <sz val="10"/>
      <color indexed="10"/>
      <name val="Arial"/>
      <family val="2"/>
    </font>
    <font>
      <sz val="8"/>
      <name val="Arial"/>
      <family val="2"/>
    </font>
    <font>
      <sz val="9"/>
      <name val="Arial"/>
      <family val="2"/>
    </font>
    <font>
      <b/>
      <sz val="7"/>
      <name val="Arial"/>
      <family val="2"/>
    </font>
    <font>
      <i/>
      <sz val="8"/>
      <name val="Arial"/>
      <family val="2"/>
    </font>
    <font>
      <b/>
      <vertAlign val="subscript"/>
      <sz val="10"/>
      <name val="Arial"/>
      <family val="2"/>
    </font>
    <font>
      <sz val="10"/>
      <name val="Arial"/>
      <family val="2"/>
    </font>
    <font>
      <b/>
      <sz val="10"/>
      <name val="Arial"/>
      <family val="2"/>
    </font>
    <font>
      <sz val="10"/>
      <color indexed="48"/>
      <name val="Arial"/>
      <family val="2"/>
    </font>
    <font>
      <i/>
      <sz val="9"/>
      <color indexed="62"/>
      <name val="Arial"/>
      <family val="2"/>
    </font>
    <font>
      <i/>
      <sz val="9"/>
      <color indexed="18"/>
      <name val="Arial"/>
      <family val="2"/>
    </font>
    <font>
      <sz val="9"/>
      <color indexed="18"/>
      <name val="Arial"/>
      <family val="2"/>
    </font>
    <font>
      <sz val="9"/>
      <color indexed="62"/>
      <name val="Arial"/>
      <family val="2"/>
    </font>
    <font>
      <b/>
      <sz val="11"/>
      <color indexed="18"/>
      <name val="Arial"/>
      <family val="2"/>
    </font>
    <font>
      <b/>
      <sz val="11"/>
      <name val="Arial"/>
      <family val="2"/>
    </font>
    <font>
      <sz val="10"/>
      <name val="Arial"/>
      <family val="2"/>
    </font>
    <font>
      <b/>
      <strike/>
      <sz val="10"/>
      <name val="Arial"/>
      <family val="2"/>
    </font>
    <font>
      <b/>
      <sz val="10"/>
      <color indexed="10"/>
      <name val="Arial"/>
      <family val="2"/>
    </font>
    <font>
      <sz val="10"/>
      <color indexed="8"/>
      <name val="Arial"/>
      <family val="2"/>
    </font>
    <font>
      <sz val="10"/>
      <color indexed="9"/>
      <name val="Arial"/>
      <family val="2"/>
    </font>
    <font>
      <b/>
      <sz val="10"/>
      <color indexed="9"/>
      <name val="Arial"/>
      <family val="2"/>
    </font>
    <font>
      <sz val="10"/>
      <color indexed="10"/>
      <name val="Arial"/>
      <family val="2"/>
    </font>
    <font>
      <sz val="8"/>
      <color indexed="10"/>
      <name val="Arial"/>
      <family val="2"/>
    </font>
    <font>
      <sz val="8"/>
      <name val="Arial"/>
      <family val="2"/>
    </font>
    <font>
      <b/>
      <sz val="8"/>
      <color indexed="17"/>
      <name val="Arial"/>
      <family val="2"/>
    </font>
    <font>
      <sz val="10"/>
      <color indexed="17"/>
      <name val="Arial"/>
      <family val="2"/>
    </font>
    <font>
      <b/>
      <sz val="10"/>
      <color indexed="17"/>
      <name val="Arial"/>
      <family val="2"/>
    </font>
    <font>
      <b/>
      <sz val="18"/>
      <name val="Arial"/>
      <family val="2"/>
    </font>
    <font>
      <i/>
      <vertAlign val="subscript"/>
      <sz val="8"/>
      <color indexed="18"/>
      <name val="Arial"/>
      <family val="2"/>
    </font>
    <font>
      <b/>
      <i/>
      <sz val="8"/>
      <color indexed="18"/>
      <name val="Arial"/>
      <family val="2"/>
    </font>
    <font>
      <i/>
      <u/>
      <sz val="8"/>
      <color indexed="18"/>
      <name val="Arial"/>
      <family val="2"/>
    </font>
    <font>
      <sz val="10"/>
      <color indexed="17"/>
      <name val="Arial"/>
      <family val="2"/>
    </font>
    <font>
      <sz val="10"/>
      <color indexed="9"/>
      <name val="Arial"/>
      <family val="2"/>
    </font>
    <font>
      <b/>
      <sz val="10"/>
      <color indexed="10"/>
      <name val="Arial"/>
      <family val="2"/>
    </font>
    <font>
      <u/>
      <sz val="10"/>
      <color indexed="56"/>
      <name val="Arial"/>
      <family val="2"/>
    </font>
    <font>
      <sz val="8"/>
      <name val="Arial"/>
      <family val="2"/>
    </font>
    <font>
      <b/>
      <sz val="10"/>
      <color indexed="62"/>
      <name val="Arial"/>
      <family val="2"/>
    </font>
    <font>
      <sz val="10"/>
      <color indexed="62"/>
      <name val="Arial"/>
      <family val="2"/>
    </font>
    <font>
      <b/>
      <sz val="10"/>
      <color indexed="62"/>
      <name val="Arial"/>
      <family val="2"/>
    </font>
    <font>
      <b/>
      <sz val="10"/>
      <color indexed="10"/>
      <name val="Arial"/>
      <family val="2"/>
    </font>
    <font>
      <sz val="10"/>
      <color indexed="12"/>
      <name val="Arial"/>
      <family val="2"/>
    </font>
    <font>
      <sz val="11"/>
      <color indexed="18"/>
      <name val="Arial"/>
      <family val="2"/>
    </font>
    <font>
      <sz val="10"/>
      <color indexed="10"/>
      <name val="Arial"/>
      <family val="2"/>
    </font>
    <font>
      <b/>
      <i/>
      <sz val="8"/>
      <color indexed="62"/>
      <name val="Arial"/>
      <family val="2"/>
    </font>
    <font>
      <b/>
      <i/>
      <sz val="11"/>
      <name val="Arial"/>
      <family val="2"/>
    </font>
    <font>
      <b/>
      <i/>
      <sz val="10"/>
      <name val="Arial"/>
      <family val="2"/>
    </font>
    <font>
      <i/>
      <sz val="10"/>
      <color indexed="62"/>
      <name val="Arial"/>
      <family val="2"/>
    </font>
    <font>
      <u/>
      <sz val="10"/>
      <color indexed="62"/>
      <name val="Arial"/>
      <family val="2"/>
    </font>
    <font>
      <b/>
      <sz val="11"/>
      <color indexed="62"/>
      <name val="Arial"/>
      <family val="2"/>
    </font>
    <font>
      <b/>
      <sz val="12"/>
      <color indexed="62"/>
      <name val="Arial"/>
      <family val="2"/>
    </font>
    <font>
      <sz val="10"/>
      <color indexed="18"/>
      <name val="Arial"/>
      <family val="2"/>
    </font>
    <font>
      <sz val="8"/>
      <name val="Arial"/>
      <family val="2"/>
    </font>
    <font>
      <sz val="10"/>
      <name val="Arial"/>
      <family val="2"/>
    </font>
    <font>
      <b/>
      <i/>
      <vertAlign val="subscript"/>
      <sz val="8"/>
      <color indexed="18"/>
      <name val="Arial"/>
      <family val="2"/>
    </font>
    <font>
      <i/>
      <sz val="11"/>
      <name val="Arial"/>
      <family val="2"/>
    </font>
    <font>
      <b/>
      <i/>
      <sz val="11"/>
      <color indexed="18"/>
      <name val="Arial"/>
      <family val="2"/>
    </font>
    <font>
      <sz val="8"/>
      <name val="Arial"/>
      <family val="2"/>
    </font>
    <font>
      <sz val="10"/>
      <color indexed="10"/>
      <name val="Arial"/>
      <family val="2"/>
    </font>
    <font>
      <b/>
      <u/>
      <sz val="10"/>
      <color indexed="12"/>
      <name val="Arial"/>
      <family val="2"/>
    </font>
    <font>
      <sz val="14"/>
      <color indexed="18"/>
      <name val="Arial"/>
      <family val="2"/>
    </font>
    <font>
      <sz val="14"/>
      <name val="Arial"/>
      <family val="2"/>
    </font>
    <font>
      <sz val="18"/>
      <color indexed="10"/>
      <name val="Arial"/>
      <family val="2"/>
    </font>
    <font>
      <b/>
      <sz val="20"/>
      <name val="Arial"/>
      <family val="2"/>
    </font>
    <font>
      <sz val="9"/>
      <color indexed="81"/>
      <name val="Segoe UI"/>
      <family val="2"/>
    </font>
    <font>
      <b/>
      <sz val="9"/>
      <color indexed="81"/>
      <name val="Segoe UI"/>
      <family val="2"/>
    </font>
    <font>
      <u/>
      <sz val="8"/>
      <color indexed="12"/>
      <name val="Arial"/>
      <family val="2"/>
    </font>
    <font>
      <sz val="10"/>
      <color rgb="FFFF0000"/>
      <name val="Arial"/>
      <family val="2"/>
    </font>
    <font>
      <sz val="10"/>
      <color theme="1" tint="0.499984740745262"/>
      <name val="Arial"/>
      <family val="2"/>
    </font>
    <font>
      <strike/>
      <sz val="10"/>
      <color rgb="FFFF0000"/>
      <name val="Arial"/>
      <family val="2"/>
    </font>
    <font>
      <b/>
      <sz val="10"/>
      <color theme="0"/>
      <name val="Arial"/>
      <family val="2"/>
    </font>
    <font>
      <b/>
      <sz val="10"/>
      <color rgb="FFFF0000"/>
      <name val="Arial"/>
      <family val="2"/>
    </font>
    <font>
      <b/>
      <sz val="10"/>
      <color theme="3"/>
      <name val="Arial"/>
      <family val="2"/>
    </font>
    <font>
      <i/>
      <sz val="9"/>
      <color rgb="FF000080"/>
      <name val="Arial"/>
      <family val="2"/>
    </font>
    <font>
      <sz val="10"/>
      <color rgb="FF000080"/>
      <name val="Arial"/>
      <family val="2"/>
    </font>
  </fonts>
  <fills count="38">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41"/>
        <bgColor indexed="64"/>
      </patternFill>
    </fill>
    <fill>
      <patternFill patternType="solid">
        <fgColor indexed="27"/>
        <bgColor indexed="64"/>
      </patternFill>
    </fill>
    <fill>
      <patternFill patternType="solid">
        <fgColor indexed="50"/>
        <bgColor indexed="64"/>
      </patternFill>
    </fill>
    <fill>
      <patternFill patternType="solid">
        <fgColor indexed="42"/>
        <bgColor indexed="64"/>
      </patternFill>
    </fill>
    <fill>
      <patternFill patternType="solid">
        <fgColor indexed="12"/>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57"/>
        <bgColor indexed="64"/>
      </patternFill>
    </fill>
    <fill>
      <patternFill patternType="solid">
        <fgColor indexed="13"/>
        <bgColor indexed="64"/>
      </patternFill>
    </fill>
    <fill>
      <patternFill patternType="solid">
        <fgColor indexed="51"/>
        <bgColor indexed="64"/>
      </patternFill>
    </fill>
    <fill>
      <patternFill patternType="lightUp">
        <bgColor indexed="9"/>
      </patternFill>
    </fill>
    <fill>
      <patternFill patternType="solid">
        <fgColor indexed="11"/>
        <bgColor indexed="64"/>
      </patternFill>
    </fill>
    <fill>
      <patternFill patternType="solid">
        <fgColor indexed="23"/>
        <bgColor indexed="64"/>
      </patternFill>
    </fill>
    <fill>
      <patternFill patternType="solid">
        <fgColor theme="0"/>
        <bgColor indexed="64"/>
      </patternFill>
    </fill>
    <fill>
      <patternFill patternType="solid">
        <fgColor theme="9" tint="0.39997558519241921"/>
        <bgColor indexed="64"/>
      </patternFill>
    </fill>
    <fill>
      <patternFill patternType="solid">
        <fgColor rgb="FFCCFFFF"/>
        <bgColor indexed="64"/>
      </patternFill>
    </fill>
    <fill>
      <patternFill patternType="solid">
        <fgColor rgb="FFFFFF00"/>
        <bgColor indexed="64"/>
      </patternFill>
    </fill>
    <fill>
      <patternFill patternType="solid">
        <fgColor rgb="FFCCFFCC"/>
        <bgColor indexed="64"/>
      </patternFill>
    </fill>
    <fill>
      <patternFill patternType="solid">
        <fgColor rgb="FFFFC000"/>
        <bgColor indexed="64"/>
      </patternFill>
    </fill>
    <fill>
      <patternFill patternType="solid">
        <fgColor theme="1" tint="0.499984740745262"/>
        <bgColor indexed="64"/>
      </patternFill>
    </fill>
    <fill>
      <patternFill patternType="solid">
        <fgColor rgb="FFFFFFCC"/>
        <bgColor indexed="64"/>
      </patternFill>
    </fill>
    <fill>
      <patternFill patternType="solid">
        <fgColor rgb="FF008000"/>
        <bgColor indexed="64"/>
      </patternFill>
    </fill>
  </fills>
  <borders count="111">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medium">
        <color indexed="12"/>
      </bottom>
      <diagonal/>
    </border>
    <border>
      <left/>
      <right/>
      <top style="medium">
        <color indexed="12"/>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top/>
      <bottom style="hair">
        <color indexed="64"/>
      </bottom>
      <diagonal/>
    </border>
    <border>
      <left/>
      <right/>
      <top style="hair">
        <color indexed="64"/>
      </top>
      <bottom style="hair">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medium">
        <color indexed="64"/>
      </left>
      <right/>
      <top style="medium">
        <color indexed="64"/>
      </top>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s>
  <cellStyleXfs count="22">
    <xf numFmtId="0" fontId="0"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4" fillId="2" borderId="0" applyNumberFormat="0" applyBorder="0" applyAlignment="0" applyProtection="0"/>
    <xf numFmtId="0" fontId="15" fillId="10" borderId="1" applyNumberFormat="0" applyAlignment="0" applyProtection="0"/>
    <xf numFmtId="0" fontId="16" fillId="3"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8" fillId="0" borderId="0" applyNumberFormat="0" applyFill="0" applyBorder="0" applyAlignment="0" applyProtection="0">
      <alignment vertical="top"/>
      <protection locked="0"/>
    </xf>
    <xf numFmtId="0" fontId="20" fillId="0" borderId="5" applyNumberFormat="0" applyFill="0" applyAlignment="0" applyProtection="0"/>
    <xf numFmtId="0" fontId="21" fillId="11" borderId="0" applyNumberFormat="0" applyBorder="0" applyAlignment="0" applyProtection="0"/>
    <xf numFmtId="0" fontId="2" fillId="12" borderId="6" applyNumberFormat="0" applyFont="0" applyAlignment="0" applyProtection="0"/>
    <xf numFmtId="9" fontId="2" fillId="0" borderId="0" applyFont="0" applyFill="0" applyBorder="0" applyAlignment="0" applyProtection="0"/>
    <xf numFmtId="0" fontId="2" fillId="0" borderId="0"/>
    <xf numFmtId="0" fontId="1" fillId="0" borderId="0"/>
    <xf numFmtId="0" fontId="22" fillId="0" borderId="0" applyNumberFormat="0" applyFill="0" applyBorder="0" applyAlignment="0" applyProtection="0"/>
  </cellStyleXfs>
  <cellXfs count="1276">
    <xf numFmtId="0" fontId="0" fillId="0" borderId="0" xfId="0"/>
    <xf numFmtId="0" fontId="0" fillId="13" borderId="0" xfId="0" applyFill="1" applyAlignment="1">
      <alignment vertical="center" wrapText="1"/>
    </xf>
    <xf numFmtId="0" fontId="0" fillId="13" borderId="0" xfId="0" applyFill="1" applyAlignment="1">
      <alignment vertical="top" wrapText="1"/>
    </xf>
    <xf numFmtId="0" fontId="4" fillId="13" borderId="0" xfId="0" applyFont="1" applyFill="1" applyAlignment="1">
      <alignment vertical="top" wrapText="1"/>
    </xf>
    <xf numFmtId="1" fontId="6" fillId="14" borderId="7" xfId="0" applyNumberFormat="1" applyFont="1" applyFill="1" applyBorder="1" applyAlignment="1" applyProtection="1">
      <alignment horizontal="center" vertical="top" wrapText="1"/>
      <protection locked="0"/>
    </xf>
    <xf numFmtId="0" fontId="6" fillId="14" borderId="7" xfId="0" applyFont="1" applyFill="1" applyBorder="1" applyAlignment="1" applyProtection="1">
      <alignment horizontal="center" vertical="top" wrapText="1"/>
      <protection locked="0"/>
    </xf>
    <xf numFmtId="0" fontId="2" fillId="15" borderId="0" xfId="0" applyFont="1" applyFill="1" applyAlignment="1">
      <alignment vertical="top"/>
    </xf>
    <xf numFmtId="0" fontId="2" fillId="13" borderId="0" xfId="0" applyFont="1" applyFill="1"/>
    <xf numFmtId="0" fontId="0" fillId="13" borderId="0" xfId="0" applyFill="1"/>
    <xf numFmtId="0" fontId="6" fillId="13" borderId="0" xfId="0" applyFont="1" applyFill="1"/>
    <xf numFmtId="0" fontId="0" fillId="13" borderId="0" xfId="0" applyFill="1" applyAlignment="1">
      <alignment horizontal="center"/>
    </xf>
    <xf numFmtId="0" fontId="2" fillId="13" borderId="0" xfId="0" applyFont="1" applyFill="1" applyAlignment="1">
      <alignment vertical="top"/>
    </xf>
    <xf numFmtId="0" fontId="2" fillId="15" borderId="0" xfId="0" applyFont="1" applyFill="1"/>
    <xf numFmtId="0" fontId="4" fillId="13" borderId="0" xfId="0" applyFont="1" applyFill="1" applyAlignment="1">
      <alignment horizontal="center" vertical="top"/>
    </xf>
    <xf numFmtId="0" fontId="4" fillId="13" borderId="0" xfId="0" applyFont="1" applyFill="1" applyAlignment="1">
      <alignment vertical="top"/>
    </xf>
    <xf numFmtId="0" fontId="2" fillId="16" borderId="0" xfId="0" applyFont="1" applyFill="1" applyAlignment="1">
      <alignment vertical="top"/>
    </xf>
    <xf numFmtId="0" fontId="2" fillId="15" borderId="0" xfId="0" applyFont="1" applyFill="1" applyAlignment="1">
      <alignment horizontal="center" vertical="top"/>
    </xf>
    <xf numFmtId="0" fontId="2" fillId="16" borderId="0" xfId="0" applyFont="1" applyFill="1"/>
    <xf numFmtId="0" fontId="2" fillId="17" borderId="8" xfId="0" applyFont="1" applyFill="1" applyBorder="1" applyAlignment="1">
      <alignment vertical="top"/>
    </xf>
    <xf numFmtId="0" fontId="2" fillId="17" borderId="9" xfId="0" applyFont="1" applyFill="1" applyBorder="1" applyAlignment="1">
      <alignment vertical="top"/>
    </xf>
    <xf numFmtId="0" fontId="2" fillId="17" borderId="10" xfId="0" applyFont="1" applyFill="1" applyBorder="1" applyAlignment="1">
      <alignment vertical="top"/>
    </xf>
    <xf numFmtId="0" fontId="2" fillId="0" borderId="0" xfId="0" applyFont="1"/>
    <xf numFmtId="0" fontId="4" fillId="13" borderId="0" xfId="0" applyFont="1" applyFill="1" applyAlignment="1">
      <alignment horizontal="right" vertical="top"/>
    </xf>
    <xf numFmtId="0" fontId="53" fillId="15" borderId="0" xfId="0" applyFont="1" applyFill="1" applyAlignment="1">
      <alignment vertical="top"/>
    </xf>
    <xf numFmtId="0" fontId="53" fillId="13" borderId="0" xfId="0" applyFont="1" applyFill="1" applyAlignment="1">
      <alignment vertical="top"/>
    </xf>
    <xf numFmtId="0" fontId="53" fillId="13" borderId="0" xfId="0" applyFont="1" applyFill="1" applyAlignment="1">
      <alignment horizontal="right" vertical="top"/>
    </xf>
    <xf numFmtId="0" fontId="53" fillId="18" borderId="11" xfId="0" applyFont="1" applyFill="1" applyBorder="1" applyAlignment="1">
      <alignment vertical="top"/>
    </xf>
    <xf numFmtId="0" fontId="53" fillId="18" borderId="12" xfId="0" applyFont="1" applyFill="1" applyBorder="1" applyAlignment="1">
      <alignment vertical="top"/>
    </xf>
    <xf numFmtId="0" fontId="53" fillId="18" borderId="13" xfId="0" applyFont="1" applyFill="1" applyBorder="1" applyAlignment="1">
      <alignment vertical="top"/>
    </xf>
    <xf numFmtId="0" fontId="53" fillId="16" borderId="0" xfId="0" applyFont="1" applyFill="1" applyAlignment="1">
      <alignment vertical="top"/>
    </xf>
    <xf numFmtId="0" fontId="53" fillId="18" borderId="7" xfId="0" applyFont="1" applyFill="1" applyBorder="1" applyAlignment="1">
      <alignment horizontal="center" vertical="top"/>
    </xf>
    <xf numFmtId="0" fontId="53" fillId="16" borderId="7" xfId="0" applyFont="1" applyFill="1" applyBorder="1" applyAlignment="1">
      <alignment vertical="top"/>
    </xf>
    <xf numFmtId="0" fontId="53" fillId="15" borderId="7" xfId="0" applyFont="1" applyFill="1" applyBorder="1" applyAlignment="1">
      <alignment vertical="top"/>
    </xf>
    <xf numFmtId="0" fontId="4" fillId="15" borderId="14" xfId="0" applyFont="1" applyFill="1" applyBorder="1" applyAlignment="1">
      <alignment horizontal="center" vertical="center"/>
    </xf>
    <xf numFmtId="0" fontId="0" fillId="13" borderId="0" xfId="0" applyFill="1" applyAlignment="1">
      <alignment vertical="center"/>
    </xf>
    <xf numFmtId="0" fontId="51" fillId="13" borderId="0" xfId="0" applyFont="1" applyFill="1" applyAlignment="1">
      <alignment horizontal="center" vertical="center"/>
    </xf>
    <xf numFmtId="0" fontId="2" fillId="13" borderId="0" xfId="0" applyFont="1" applyFill="1" applyAlignment="1">
      <alignment vertical="center"/>
    </xf>
    <xf numFmtId="0" fontId="53" fillId="15" borderId="0" xfId="0" applyFont="1" applyFill="1" applyAlignment="1">
      <alignment vertical="center"/>
    </xf>
    <xf numFmtId="0" fontId="54" fillId="13" borderId="0" xfId="0" applyFont="1" applyFill="1" applyAlignment="1">
      <alignment horizontal="center" vertical="top"/>
    </xf>
    <xf numFmtId="0" fontId="2" fillId="15" borderId="7" xfId="0" applyFont="1" applyFill="1" applyBorder="1"/>
    <xf numFmtId="0" fontId="53" fillId="15" borderId="7" xfId="0" applyFont="1" applyFill="1" applyBorder="1" applyAlignment="1">
      <alignment vertical="center"/>
    </xf>
    <xf numFmtId="0" fontId="2" fillId="16" borderId="0" xfId="0" applyFont="1" applyFill="1" applyAlignment="1">
      <alignment vertical="center"/>
    </xf>
    <xf numFmtId="0" fontId="4" fillId="18" borderId="7" xfId="0" applyFont="1" applyFill="1" applyBorder="1" applyAlignment="1">
      <alignment horizontal="center" vertical="center"/>
    </xf>
    <xf numFmtId="0" fontId="6" fillId="15" borderId="7" xfId="0" applyFont="1" applyFill="1" applyBorder="1" applyAlignment="1">
      <alignment vertical="center"/>
    </xf>
    <xf numFmtId="0" fontId="53" fillId="13" borderId="0" xfId="0" applyFont="1" applyFill="1" applyAlignment="1">
      <alignment horizontal="left" vertical="top"/>
    </xf>
    <xf numFmtId="0" fontId="53" fillId="13" borderId="15" xfId="0" applyFont="1" applyFill="1" applyBorder="1" applyAlignment="1">
      <alignment horizontal="left" vertical="top"/>
    </xf>
    <xf numFmtId="0" fontId="2" fillId="13" borderId="0" xfId="0" applyFont="1" applyFill="1" applyAlignment="1">
      <alignment horizontal="right" vertical="top"/>
    </xf>
    <xf numFmtId="0" fontId="69" fillId="16" borderId="0" xfId="0" applyFont="1" applyFill="1" applyAlignment="1">
      <alignment vertical="top"/>
    </xf>
    <xf numFmtId="0" fontId="69" fillId="13" borderId="0" xfId="0" applyFont="1" applyFill="1" applyAlignment="1">
      <alignment vertical="top"/>
    </xf>
    <xf numFmtId="0" fontId="6" fillId="13" borderId="0" xfId="0" quotePrefix="1" applyFont="1" applyFill="1" applyAlignment="1">
      <alignment horizontal="right" vertical="top"/>
    </xf>
    <xf numFmtId="0" fontId="4" fillId="13" borderId="7" xfId="0" applyFont="1" applyFill="1" applyBorder="1" applyAlignment="1">
      <alignment vertical="top"/>
    </xf>
    <xf numFmtId="0" fontId="4" fillId="13" borderId="7" xfId="0" applyFont="1" applyFill="1" applyBorder="1" applyAlignment="1">
      <alignment horizontal="center" vertical="top" wrapText="1"/>
    </xf>
    <xf numFmtId="0" fontId="2" fillId="15" borderId="0" xfId="0" applyFont="1" applyFill="1" applyAlignment="1">
      <alignment horizontal="center"/>
    </xf>
    <xf numFmtId="0" fontId="3" fillId="19" borderId="0" xfId="0" applyFont="1" applyFill="1" applyAlignment="1">
      <alignment horizontal="left" vertical="center"/>
    </xf>
    <xf numFmtId="0" fontId="2" fillId="13" borderId="16" xfId="0" applyFont="1" applyFill="1" applyBorder="1" applyAlignment="1">
      <alignment vertical="top"/>
    </xf>
    <xf numFmtId="0" fontId="4" fillId="13" borderId="16" xfId="0" applyFont="1" applyFill="1" applyBorder="1" applyAlignment="1">
      <alignment horizontal="center" vertical="top"/>
    </xf>
    <xf numFmtId="0" fontId="4" fillId="13" borderId="16" xfId="0" applyFont="1" applyFill="1" applyBorder="1" applyAlignment="1">
      <alignment horizontal="right" vertical="top"/>
    </xf>
    <xf numFmtId="0" fontId="0" fillId="13" borderId="16" xfId="0" applyFill="1" applyBorder="1" applyAlignment="1">
      <alignment vertical="top" wrapText="1"/>
    </xf>
    <xf numFmtId="0" fontId="2" fillId="13" borderId="17" xfId="0" applyFont="1" applyFill="1" applyBorder="1" applyAlignment="1">
      <alignment vertical="top"/>
    </xf>
    <xf numFmtId="0" fontId="4" fillId="13" borderId="17" xfId="0" applyFont="1" applyFill="1" applyBorder="1" applyAlignment="1">
      <alignment horizontal="center" vertical="top"/>
    </xf>
    <xf numFmtId="0" fontId="4" fillId="13" borderId="17" xfId="0" applyFont="1" applyFill="1" applyBorder="1" applyAlignment="1">
      <alignment horizontal="right" vertical="top"/>
    </xf>
    <xf numFmtId="0" fontId="0" fillId="13" borderId="17" xfId="0" applyFill="1" applyBorder="1" applyAlignment="1">
      <alignment vertical="top" wrapText="1"/>
    </xf>
    <xf numFmtId="0" fontId="4" fillId="13" borderId="17" xfId="0" applyFont="1" applyFill="1" applyBorder="1" applyAlignment="1">
      <alignment vertical="top" wrapText="1"/>
    </xf>
    <xf numFmtId="0" fontId="53" fillId="15" borderId="7" xfId="0" applyFont="1" applyFill="1" applyBorder="1" applyAlignment="1">
      <alignment horizontal="center" vertical="top"/>
    </xf>
    <xf numFmtId="0" fontId="23" fillId="0" borderId="15" xfId="20" applyFont="1" applyBorder="1"/>
    <xf numFmtId="0" fontId="0" fillId="15" borderId="0" xfId="0" applyFill="1"/>
    <xf numFmtId="0" fontId="2" fillId="15" borderId="7" xfId="0" applyFont="1" applyFill="1" applyBorder="1" applyAlignment="1">
      <alignment vertical="center"/>
    </xf>
    <xf numFmtId="0" fontId="5" fillId="13" borderId="0" xfId="0" applyFont="1" applyFill="1" applyAlignment="1">
      <alignment horizontal="left" vertical="top" wrapText="1"/>
    </xf>
    <xf numFmtId="0" fontId="4" fillId="13" borderId="0" xfId="0" applyFont="1" applyFill="1" applyAlignment="1">
      <alignment horizontal="left" vertical="top"/>
    </xf>
    <xf numFmtId="0" fontId="4" fillId="0" borderId="0" xfId="0" applyFont="1"/>
    <xf numFmtId="0" fontId="3" fillId="19" borderId="0" xfId="19" applyFont="1" applyFill="1" applyAlignment="1">
      <alignment horizontal="center"/>
    </xf>
    <xf numFmtId="0" fontId="12" fillId="13" borderId="0" xfId="19" applyFont="1" applyFill="1" applyAlignment="1">
      <alignment horizontal="left" vertical="top" wrapText="1"/>
    </xf>
    <xf numFmtId="0" fontId="0" fillId="16" borderId="0" xfId="0" applyFill="1"/>
    <xf numFmtId="0" fontId="0" fillId="16" borderId="0" xfId="0" applyFill="1" applyAlignment="1">
      <alignment horizontal="left"/>
    </xf>
    <xf numFmtId="0" fontId="6" fillId="16" borderId="0" xfId="0" applyFont="1" applyFill="1"/>
    <xf numFmtId="0" fontId="0" fillId="16" borderId="0" xfId="0" applyFill="1" applyAlignment="1">
      <alignment horizontal="center"/>
    </xf>
    <xf numFmtId="0" fontId="0" fillId="16" borderId="0" xfId="0" applyFill="1" applyAlignment="1">
      <alignment vertical="center"/>
    </xf>
    <xf numFmtId="0" fontId="3" fillId="19" borderId="0" xfId="0" applyFont="1" applyFill="1" applyAlignment="1">
      <alignment horizontal="left"/>
    </xf>
    <xf numFmtId="0" fontId="0" fillId="13" borderId="0" xfId="0" applyFill="1" applyAlignment="1">
      <alignment horizontal="left"/>
    </xf>
    <xf numFmtId="0" fontId="3" fillId="19" borderId="0" xfId="0" quotePrefix="1" applyFont="1" applyFill="1" applyAlignment="1">
      <alignment horizontal="left"/>
    </xf>
    <xf numFmtId="0" fontId="36" fillId="13" borderId="0" xfId="0" applyFont="1" applyFill="1" applyAlignment="1">
      <alignment horizontal="left" vertical="top"/>
    </xf>
    <xf numFmtId="1" fontId="6" fillId="13" borderId="7" xfId="0" applyNumberFormat="1" applyFont="1" applyFill="1" applyBorder="1" applyAlignment="1">
      <alignment horizontal="center" vertical="top" wrapText="1"/>
    </xf>
    <xf numFmtId="0" fontId="6" fillId="18" borderId="7" xfId="0" applyFont="1" applyFill="1" applyBorder="1" applyAlignment="1">
      <alignment horizontal="center" vertical="top" wrapText="1"/>
    </xf>
    <xf numFmtId="0" fontId="6" fillId="13" borderId="0" xfId="0" applyFont="1" applyFill="1" applyAlignment="1">
      <alignment vertical="center" wrapText="1"/>
    </xf>
    <xf numFmtId="0" fontId="0" fillId="16" borderId="0" xfId="0" applyFill="1" applyAlignment="1">
      <alignment vertical="top"/>
    </xf>
    <xf numFmtId="0" fontId="6" fillId="13" borderId="7" xfId="0" applyFont="1" applyFill="1" applyBorder="1" applyAlignment="1">
      <alignment horizontal="center" vertical="center" wrapText="1"/>
    </xf>
    <xf numFmtId="0" fontId="41" fillId="13" borderId="7" xfId="0" applyFont="1" applyFill="1" applyBorder="1" applyAlignment="1">
      <alignment vertical="top" wrapText="1"/>
    </xf>
    <xf numFmtId="0" fontId="6" fillId="18" borderId="7" xfId="0" applyFont="1" applyFill="1" applyBorder="1" applyAlignment="1">
      <alignment horizontal="center" vertical="center" wrapText="1"/>
    </xf>
    <xf numFmtId="0" fontId="2" fillId="16" borderId="0" xfId="0" applyFont="1" applyFill="1" applyAlignment="1">
      <alignment horizontal="left"/>
    </xf>
    <xf numFmtId="0" fontId="0" fillId="13" borderId="7" xfId="0" applyFill="1" applyBorder="1"/>
    <xf numFmtId="0" fontId="3" fillId="19" borderId="0" xfId="0" applyFont="1" applyFill="1" applyAlignment="1">
      <alignment horizontal="left" vertical="top"/>
    </xf>
    <xf numFmtId="0" fontId="4" fillId="16" borderId="0" xfId="0" applyFont="1" applyFill="1"/>
    <xf numFmtId="0" fontId="0" fillId="16" borderId="7" xfId="0" applyFill="1" applyBorder="1"/>
    <xf numFmtId="0" fontId="0" fillId="16" borderId="18" xfId="0" applyFill="1" applyBorder="1" applyAlignment="1">
      <alignment horizontal="center"/>
    </xf>
    <xf numFmtId="0" fontId="0" fillId="16" borderId="19" xfId="0" applyFill="1" applyBorder="1" applyAlignment="1">
      <alignment horizontal="center"/>
    </xf>
    <xf numFmtId="0" fontId="0" fillId="16" borderId="0" xfId="0" applyFill="1" applyAlignment="1">
      <alignment horizontal="left" vertical="top" wrapText="1"/>
    </xf>
    <xf numFmtId="0" fontId="2" fillId="0" borderId="0" xfId="0" applyFont="1" applyAlignment="1">
      <alignment horizontal="left" vertical="center"/>
    </xf>
    <xf numFmtId="0" fontId="36" fillId="16" borderId="0" xfId="0" applyFont="1" applyFill="1"/>
    <xf numFmtId="0" fontId="4" fillId="13" borderId="0" xfId="0" applyFont="1" applyFill="1" applyAlignment="1">
      <alignment vertical="center"/>
    </xf>
    <xf numFmtId="0" fontId="4" fillId="13" borderId="0" xfId="0" applyFont="1" applyFill="1" applyAlignment="1">
      <alignment vertical="center" wrapText="1"/>
    </xf>
    <xf numFmtId="0" fontId="0" fillId="16" borderId="20" xfId="0" applyFill="1" applyBorder="1" applyAlignment="1">
      <alignment horizontal="center"/>
    </xf>
    <xf numFmtId="0" fontId="64" fillId="16" borderId="0" xfId="0" applyFont="1" applyFill="1"/>
    <xf numFmtId="0" fontId="55" fillId="16" borderId="0" xfId="0" applyFont="1" applyFill="1"/>
    <xf numFmtId="0" fontId="2" fillId="16" borderId="0" xfId="0" applyFont="1" applyFill="1" applyAlignment="1">
      <alignment horizontal="center"/>
    </xf>
    <xf numFmtId="0" fontId="48" fillId="13" borderId="0" xfId="0" applyFont="1" applyFill="1" applyAlignment="1">
      <alignment vertical="top"/>
    </xf>
    <xf numFmtId="0" fontId="48" fillId="13" borderId="0" xfId="0" applyFont="1" applyFill="1" applyAlignment="1">
      <alignment vertical="top" wrapText="1"/>
    </xf>
    <xf numFmtId="0" fontId="48" fillId="13" borderId="15" xfId="0" applyFont="1" applyFill="1" applyBorder="1" applyAlignment="1">
      <alignment vertical="top" wrapText="1"/>
    </xf>
    <xf numFmtId="0" fontId="2" fillId="16" borderId="7" xfId="0" applyFont="1" applyFill="1" applyBorder="1"/>
    <xf numFmtId="0" fontId="25" fillId="16" borderId="0" xfId="0" applyFont="1" applyFill="1" applyAlignment="1">
      <alignment vertical="center" wrapText="1"/>
    </xf>
    <xf numFmtId="0" fontId="0" fillId="16" borderId="0" xfId="0" applyFill="1" applyAlignment="1">
      <alignment wrapText="1"/>
    </xf>
    <xf numFmtId="0" fontId="25" fillId="16" borderId="0" xfId="0" applyFont="1" applyFill="1"/>
    <xf numFmtId="0" fontId="40" fillId="16" borderId="0" xfId="0" applyFont="1" applyFill="1"/>
    <xf numFmtId="0" fontId="0" fillId="13" borderId="0" xfId="0" applyFill="1" applyAlignment="1">
      <alignment vertical="top"/>
    </xf>
    <xf numFmtId="0" fontId="49" fillId="13" borderId="0" xfId="0" applyFont="1" applyFill="1"/>
    <xf numFmtId="0" fontId="49" fillId="16" borderId="0" xfId="0" applyFont="1" applyFill="1"/>
    <xf numFmtId="0" fontId="25" fillId="16" borderId="0" xfId="0" applyFont="1" applyFill="1" applyAlignment="1">
      <alignment vertical="top" wrapText="1"/>
    </xf>
    <xf numFmtId="0" fontId="0" fillId="16" borderId="0" xfId="0" applyFill="1" applyAlignment="1">
      <alignment vertical="center" wrapText="1"/>
    </xf>
    <xf numFmtId="0" fontId="38" fillId="16" borderId="0" xfId="0" applyFont="1" applyFill="1" applyAlignment="1">
      <alignment vertical="center"/>
    </xf>
    <xf numFmtId="0" fontId="7" fillId="13" borderId="7" xfId="0" applyFont="1" applyFill="1" applyBorder="1" applyAlignment="1">
      <alignment horizontal="center" vertical="top"/>
    </xf>
    <xf numFmtId="0" fontId="4" fillId="16" borderId="0" xfId="0" applyFont="1" applyFill="1" applyAlignment="1">
      <alignment horizontal="center"/>
    </xf>
    <xf numFmtId="0" fontId="0" fillId="16" borderId="7" xfId="0" applyFill="1" applyBorder="1" applyAlignment="1">
      <alignment horizontal="center" vertical="center"/>
    </xf>
    <xf numFmtId="0" fontId="0" fillId="16" borderId="11" xfId="0" applyFill="1" applyBorder="1" applyAlignment="1">
      <alignment horizontal="center" vertical="center"/>
    </xf>
    <xf numFmtId="0" fontId="38" fillId="16" borderId="0" xfId="0" applyFont="1" applyFill="1"/>
    <xf numFmtId="0" fontId="50" fillId="16" borderId="0" xfId="0" applyFont="1" applyFill="1"/>
    <xf numFmtId="0" fontId="5" fillId="13" borderId="15" xfId="0" applyFont="1" applyFill="1" applyBorder="1" applyAlignment="1">
      <alignment horizontal="left" vertical="top" wrapText="1"/>
    </xf>
    <xf numFmtId="0" fontId="31" fillId="13" borderId="21" xfId="0" applyFont="1" applyFill="1" applyBorder="1" applyAlignment="1">
      <alignment vertical="top" wrapText="1"/>
    </xf>
    <xf numFmtId="0" fontId="31" fillId="13" borderId="22" xfId="0" applyFont="1" applyFill="1" applyBorder="1" applyAlignment="1">
      <alignment vertical="top" wrapText="1"/>
    </xf>
    <xf numFmtId="0" fontId="31" fillId="13" borderId="23" xfId="0" applyFont="1" applyFill="1" applyBorder="1" applyAlignment="1">
      <alignment vertical="top" wrapText="1"/>
    </xf>
    <xf numFmtId="0" fontId="31" fillId="13" borderId="24" xfId="0" applyFont="1" applyFill="1" applyBorder="1" applyAlignment="1">
      <alignment vertical="top" wrapText="1"/>
    </xf>
    <xf numFmtId="0" fontId="4" fillId="13" borderId="0" xfId="0" applyFont="1" applyFill="1" applyAlignment="1">
      <alignment horizontal="left" vertical="top" wrapText="1"/>
    </xf>
    <xf numFmtId="0" fontId="40" fillId="16" borderId="0" xfId="0" applyFont="1" applyFill="1" applyAlignment="1">
      <alignment vertical="top" wrapText="1"/>
    </xf>
    <xf numFmtId="0" fontId="48" fillId="16" borderId="0" xfId="0" applyFont="1" applyFill="1" applyAlignment="1">
      <alignment vertical="top" wrapText="1"/>
    </xf>
    <xf numFmtId="0" fontId="5" fillId="13" borderId="0" xfId="0" quotePrefix="1" applyFont="1" applyFill="1" applyAlignment="1">
      <alignment horizontal="right" vertical="top" wrapText="1"/>
    </xf>
    <xf numFmtId="0" fontId="68" fillId="13" borderId="0" xfId="0" applyFont="1" applyFill="1" applyAlignment="1">
      <alignment horizontal="left" vertical="top" wrapText="1"/>
    </xf>
    <xf numFmtId="0" fontId="2" fillId="13" borderId="0" xfId="0" applyFont="1" applyFill="1" applyAlignment="1">
      <alignment horizontal="left" vertical="top"/>
    </xf>
    <xf numFmtId="0" fontId="6" fillId="13" borderId="0" xfId="0" applyFont="1" applyFill="1" applyAlignment="1">
      <alignment horizontal="left" vertical="top" wrapText="1"/>
    </xf>
    <xf numFmtId="0" fontId="32" fillId="0" borderId="0" xfId="0" applyFont="1"/>
    <xf numFmtId="0" fontId="2" fillId="19" borderId="0" xfId="0" applyFont="1" applyFill="1"/>
    <xf numFmtId="0" fontId="38" fillId="0" borderId="0" xfId="0" applyFont="1"/>
    <xf numFmtId="0" fontId="44" fillId="16" borderId="0" xfId="0" applyFont="1" applyFill="1" applyAlignment="1">
      <alignment horizontal="left"/>
    </xf>
    <xf numFmtId="0" fontId="0" fillId="0" borderId="0" xfId="0" applyAlignment="1">
      <alignment horizontal="left"/>
    </xf>
    <xf numFmtId="0" fontId="2" fillId="0" borderId="0" xfId="0" applyFont="1" applyAlignment="1">
      <alignment horizontal="center"/>
    </xf>
    <xf numFmtId="0" fontId="57" fillId="19" borderId="0" xfId="0" applyFont="1" applyFill="1"/>
    <xf numFmtId="0" fontId="58" fillId="19" borderId="0" xfId="0" applyFont="1" applyFill="1"/>
    <xf numFmtId="0" fontId="58" fillId="19" borderId="0" xfId="0" applyFont="1" applyFill="1" applyAlignment="1">
      <alignment horizontal="center"/>
    </xf>
    <xf numFmtId="0" fontId="57" fillId="19" borderId="0" xfId="0" applyFont="1" applyFill="1" applyAlignment="1">
      <alignment horizontal="left"/>
    </xf>
    <xf numFmtId="49" fontId="56" fillId="16" borderId="0" xfId="0" applyNumberFormat="1" applyFont="1" applyFill="1" applyAlignment="1">
      <alignment horizontal="center"/>
    </xf>
    <xf numFmtId="0" fontId="56" fillId="16" borderId="0" xfId="0" applyFont="1" applyFill="1" applyAlignment="1">
      <alignment horizontal="left"/>
    </xf>
    <xf numFmtId="49" fontId="2" fillId="16" borderId="0" xfId="0" applyNumberFormat="1" applyFont="1" applyFill="1" applyAlignment="1">
      <alignment horizontal="center"/>
    </xf>
    <xf numFmtId="0" fontId="2" fillId="16" borderId="0" xfId="0" applyFont="1" applyFill="1" applyAlignment="1">
      <alignment wrapText="1" shrinkToFit="1"/>
    </xf>
    <xf numFmtId="0" fontId="2" fillId="16" borderId="0" xfId="0" applyFont="1" applyFill="1" applyAlignment="1">
      <alignment horizontal="left" wrapText="1"/>
    </xf>
    <xf numFmtId="0" fontId="2" fillId="16" borderId="0" xfId="0" applyFont="1" applyFill="1" applyAlignment="1">
      <alignment wrapText="1"/>
    </xf>
    <xf numFmtId="0" fontId="2" fillId="16" borderId="0" xfId="0" applyFont="1" applyFill="1" applyAlignment="1">
      <alignment horizontal="center" wrapText="1"/>
    </xf>
    <xf numFmtId="0" fontId="2" fillId="16" borderId="0" xfId="0" applyFont="1" applyFill="1" applyAlignment="1">
      <alignment horizontal="left" wrapText="1" shrinkToFit="1"/>
    </xf>
    <xf numFmtId="0" fontId="2" fillId="0" borderId="0" xfId="0" applyFont="1" applyAlignment="1">
      <alignment horizontal="center" vertical="center"/>
    </xf>
    <xf numFmtId="0" fontId="70" fillId="19" borderId="0" xfId="0" applyFont="1" applyFill="1" applyAlignment="1">
      <alignment horizontal="center"/>
    </xf>
    <xf numFmtId="0" fontId="0" fillId="19" borderId="0" xfId="0" applyFill="1"/>
    <xf numFmtId="0" fontId="0" fillId="0" borderId="0" xfId="0" applyAlignment="1">
      <alignment shrinkToFit="1"/>
    </xf>
    <xf numFmtId="0" fontId="44" fillId="16" borderId="0" xfId="0" applyFont="1" applyFill="1"/>
    <xf numFmtId="0" fontId="65" fillId="0" borderId="0" xfId="0" applyFont="1"/>
    <xf numFmtId="0" fontId="0" fillId="20" borderId="0" xfId="0" applyFill="1"/>
    <xf numFmtId="0" fontId="2" fillId="21" borderId="0" xfId="0" applyFont="1" applyFill="1" applyAlignment="1">
      <alignment horizontal="left" vertical="top" wrapText="1"/>
    </xf>
    <xf numFmtId="0" fontId="0" fillId="0" borderId="25" xfId="0" applyBorder="1"/>
    <xf numFmtId="0" fontId="0" fillId="22" borderId="26" xfId="0" applyFill="1" applyBorder="1"/>
    <xf numFmtId="0" fontId="0" fillId="0" borderId="27" xfId="0" applyBorder="1"/>
    <xf numFmtId="14" fontId="0" fillId="23" borderId="28" xfId="0" applyNumberFormat="1" applyFill="1" applyBorder="1" applyAlignment="1">
      <alignment horizontal="left"/>
    </xf>
    <xf numFmtId="0" fontId="0" fillId="18" borderId="29" xfId="0" applyFill="1" applyBorder="1"/>
    <xf numFmtId="0" fontId="0" fillId="18" borderId="30" xfId="0" applyFill="1" applyBorder="1"/>
    <xf numFmtId="0" fontId="0" fillId="18" borderId="31" xfId="0" applyFill="1" applyBorder="1"/>
    <xf numFmtId="0" fontId="0" fillId="0" borderId="32" xfId="0" applyBorder="1"/>
    <xf numFmtId="0" fontId="0" fillId="20" borderId="33" xfId="0" applyFill="1" applyBorder="1"/>
    <xf numFmtId="0" fontId="0" fillId="0" borderId="34" xfId="0" applyBorder="1"/>
    <xf numFmtId="0" fontId="0" fillId="21" borderId="35" xfId="0" applyFill="1" applyBorder="1"/>
    <xf numFmtId="0" fontId="4" fillId="0" borderId="11" xfId="0" applyFont="1" applyBorder="1"/>
    <xf numFmtId="0" fontId="4" fillId="0" borderId="12" xfId="0" applyFont="1" applyBorder="1"/>
    <xf numFmtId="0" fontId="0" fillId="0" borderId="13" xfId="0" applyBorder="1"/>
    <xf numFmtId="14" fontId="0" fillId="23" borderId="36" xfId="0" applyNumberFormat="1" applyFill="1" applyBorder="1" applyAlignment="1">
      <alignment horizontal="center"/>
    </xf>
    <xf numFmtId="0" fontId="0" fillId="18" borderId="37" xfId="0" applyFill="1" applyBorder="1"/>
    <xf numFmtId="0" fontId="0" fillId="18" borderId="38" xfId="0" applyFill="1" applyBorder="1"/>
    <xf numFmtId="14" fontId="0" fillId="23" borderId="39" xfId="0" applyNumberFormat="1" applyFill="1" applyBorder="1" applyAlignment="1">
      <alignment horizontal="center"/>
    </xf>
    <xf numFmtId="0" fontId="0" fillId="18" borderId="21" xfId="0" applyFill="1" applyBorder="1"/>
    <xf numFmtId="0" fontId="0" fillId="18" borderId="22" xfId="0" applyFill="1" applyBorder="1"/>
    <xf numFmtId="0" fontId="0" fillId="18" borderId="23" xfId="0" applyFill="1" applyBorder="1"/>
    <xf numFmtId="0" fontId="0" fillId="18" borderId="24" xfId="0" applyFill="1" applyBorder="1"/>
    <xf numFmtId="0" fontId="45" fillId="13" borderId="0" xfId="0" applyFont="1" applyFill="1" applyAlignment="1">
      <alignment vertical="center" wrapText="1"/>
    </xf>
    <xf numFmtId="0" fontId="2" fillId="13" borderId="0" xfId="0" applyFont="1" applyFill="1" applyAlignment="1">
      <alignment horizontal="center" vertical="top"/>
    </xf>
    <xf numFmtId="0" fontId="53" fillId="13" borderId="0" xfId="0" applyFont="1" applyFill="1" applyAlignment="1">
      <alignment vertical="center"/>
    </xf>
    <xf numFmtId="0" fontId="35" fillId="13" borderId="0" xfId="0" applyFont="1" applyFill="1" applyAlignment="1">
      <alignment vertical="center"/>
    </xf>
    <xf numFmtId="0" fontId="36" fillId="13" borderId="0" xfId="0" applyFont="1" applyFill="1"/>
    <xf numFmtId="0" fontId="6" fillId="16" borderId="0" xfId="0" applyFont="1" applyFill="1" applyAlignment="1">
      <alignment horizontal="left"/>
    </xf>
    <xf numFmtId="0" fontId="10" fillId="13" borderId="0" xfId="0" applyFont="1" applyFill="1" applyAlignment="1">
      <alignment horizontal="left" vertical="top"/>
    </xf>
    <xf numFmtId="0" fontId="56" fillId="16" borderId="0" xfId="0" applyFont="1" applyFill="1" applyAlignment="1">
      <alignment horizontal="center"/>
    </xf>
    <xf numFmtId="0" fontId="53" fillId="24" borderId="7" xfId="0" applyFont="1" applyFill="1" applyBorder="1" applyAlignment="1" applyProtection="1">
      <alignment horizontal="center" vertical="top"/>
      <protection locked="0"/>
    </xf>
    <xf numFmtId="0" fontId="53" fillId="24" borderId="11" xfId="0" applyFont="1" applyFill="1" applyBorder="1" applyAlignment="1" applyProtection="1">
      <alignment vertical="top"/>
      <protection locked="0"/>
    </xf>
    <xf numFmtId="0" fontId="53" fillId="24" borderId="12" xfId="0" applyFont="1" applyFill="1" applyBorder="1" applyAlignment="1" applyProtection="1">
      <alignment vertical="top"/>
      <protection locked="0"/>
    </xf>
    <xf numFmtId="0" fontId="53" fillId="24" borderId="13" xfId="0" applyFont="1" applyFill="1" applyBorder="1" applyAlignment="1" applyProtection="1">
      <alignment vertical="top"/>
      <protection locked="0"/>
    </xf>
    <xf numFmtId="0" fontId="53" fillId="24" borderId="7" xfId="0" applyFont="1" applyFill="1" applyBorder="1" applyAlignment="1" applyProtection="1">
      <alignment vertical="top"/>
      <protection locked="0"/>
    </xf>
    <xf numFmtId="0" fontId="2" fillId="24" borderId="7" xfId="0" applyFont="1" applyFill="1" applyBorder="1" applyAlignment="1" applyProtection="1">
      <alignment horizontal="center" vertical="top"/>
      <protection locked="0"/>
    </xf>
    <xf numFmtId="1" fontId="6" fillId="24" borderId="7" xfId="0" applyNumberFormat="1" applyFont="1" applyFill="1" applyBorder="1" applyAlignment="1" applyProtection="1">
      <alignment horizontal="center" vertical="top" wrapText="1"/>
      <protection locked="0"/>
    </xf>
    <xf numFmtId="0" fontId="6" fillId="24" borderId="7" xfId="0" applyFont="1" applyFill="1" applyBorder="1" applyAlignment="1" applyProtection="1">
      <alignment horizontal="center" vertical="top" wrapText="1"/>
      <protection locked="0"/>
    </xf>
    <xf numFmtId="0" fontId="2" fillId="24" borderId="7" xfId="0" applyFont="1" applyFill="1" applyBorder="1" applyAlignment="1" applyProtection="1">
      <alignment horizontal="center" vertical="center" wrapText="1"/>
      <protection locked="0"/>
    </xf>
    <xf numFmtId="166" fontId="6" fillId="24" borderId="7" xfId="0" applyNumberFormat="1" applyFont="1" applyFill="1" applyBorder="1" applyAlignment="1" applyProtection="1">
      <alignment horizontal="right" vertical="center" wrapText="1"/>
      <protection locked="0"/>
    </xf>
    <xf numFmtId="0" fontId="6" fillId="24" borderId="40" xfId="0" applyFont="1" applyFill="1" applyBorder="1" applyAlignment="1" applyProtection="1">
      <alignment horizontal="center" vertical="center" wrapText="1"/>
      <protection locked="0"/>
    </xf>
    <xf numFmtId="0" fontId="6" fillId="24" borderId="41" xfId="0" applyFont="1" applyFill="1" applyBorder="1" applyAlignment="1" applyProtection="1">
      <alignment horizontal="center" vertical="center"/>
      <protection locked="0"/>
    </xf>
    <xf numFmtId="0" fontId="6" fillId="24" borderId="41" xfId="0" applyFont="1" applyFill="1" applyBorder="1" applyAlignment="1" applyProtection="1">
      <alignment horizontal="center" vertical="center" wrapText="1"/>
      <protection locked="0"/>
    </xf>
    <xf numFmtId="0" fontId="6" fillId="24" borderId="11" xfId="0" applyFont="1" applyFill="1" applyBorder="1" applyAlignment="1" applyProtection="1">
      <alignment vertical="top" wrapText="1"/>
      <protection locked="0"/>
    </xf>
    <xf numFmtId="0" fontId="57" fillId="19" borderId="0" xfId="0" applyFont="1" applyFill="1" applyAlignment="1">
      <alignment horizontal="center"/>
    </xf>
    <xf numFmtId="0" fontId="6" fillId="15" borderId="7" xfId="0" applyFont="1" applyFill="1" applyBorder="1" applyAlignment="1">
      <alignment horizontal="center" vertical="center"/>
    </xf>
    <xf numFmtId="0" fontId="4" fillId="16" borderId="0" xfId="0" applyFont="1" applyFill="1" applyAlignment="1">
      <alignment horizontal="center" vertical="top"/>
    </xf>
    <xf numFmtId="0" fontId="4" fillId="16" borderId="0" xfId="0" applyFont="1" applyFill="1" applyAlignment="1">
      <alignment vertical="top"/>
    </xf>
    <xf numFmtId="1" fontId="6" fillId="24" borderId="7" xfId="0" applyNumberFormat="1" applyFont="1" applyFill="1" applyBorder="1" applyAlignment="1" applyProtection="1">
      <alignment horizontal="left" vertical="top" wrapText="1"/>
      <protection locked="0"/>
    </xf>
    <xf numFmtId="0" fontId="42" fillId="13" borderId="7" xfId="0" applyFont="1" applyFill="1" applyBorder="1" applyAlignment="1">
      <alignment horizontal="center" vertical="top" wrapText="1"/>
    </xf>
    <xf numFmtId="0" fontId="42" fillId="13" borderId="7" xfId="0" applyFont="1" applyFill="1" applyBorder="1" applyAlignment="1">
      <alignment horizontal="center" vertical="center" wrapText="1"/>
    </xf>
    <xf numFmtId="0" fontId="53" fillId="24" borderId="7" xfId="0" applyFont="1" applyFill="1" applyBorder="1" applyAlignment="1" applyProtection="1">
      <alignment horizontal="left" vertical="top" wrapText="1"/>
      <protection locked="0"/>
    </xf>
    <xf numFmtId="2" fontId="53" fillId="24" borderId="7" xfId="0" applyNumberFormat="1" applyFont="1" applyFill="1" applyBorder="1" applyAlignment="1" applyProtection="1">
      <alignment horizontal="left" vertical="top" wrapText="1"/>
      <protection locked="0"/>
    </xf>
    <xf numFmtId="2" fontId="53" fillId="24" borderId="7" xfId="0" applyNumberFormat="1" applyFont="1" applyFill="1" applyBorder="1" applyAlignment="1" applyProtection="1">
      <alignment horizontal="center" vertical="top" wrapText="1"/>
      <protection locked="0"/>
    </xf>
    <xf numFmtId="0" fontId="11" fillId="13" borderId="0" xfId="0" applyFont="1" applyFill="1" applyAlignment="1">
      <alignment horizontal="left" vertical="center" wrapText="1"/>
    </xf>
    <xf numFmtId="164" fontId="6" fillId="18" borderId="7" xfId="18" applyNumberFormat="1" applyFont="1" applyFill="1" applyBorder="1" applyAlignment="1" applyProtection="1">
      <alignment horizontal="center"/>
    </xf>
    <xf numFmtId="0" fontId="79" fillId="13" borderId="0" xfId="0" applyFont="1" applyFill="1" applyAlignment="1">
      <alignment vertical="center"/>
    </xf>
    <xf numFmtId="0" fontId="33" fillId="13" borderId="0" xfId="0" applyFont="1" applyFill="1" applyAlignment="1">
      <alignment horizontal="center" vertical="center"/>
    </xf>
    <xf numFmtId="0" fontId="36" fillId="16" borderId="0" xfId="0" applyFont="1" applyFill="1" applyAlignment="1">
      <alignment vertical="top"/>
    </xf>
    <xf numFmtId="0" fontId="11" fillId="13" borderId="0" xfId="0" applyFont="1" applyFill="1" applyAlignment="1">
      <alignment horizontal="center" vertical="center" wrapText="1"/>
    </xf>
    <xf numFmtId="0" fontId="53" fillId="13" borderId="0" xfId="0" applyFont="1" applyFill="1" applyAlignment="1">
      <alignment horizontal="center" vertical="top"/>
    </xf>
    <xf numFmtId="0" fontId="5" fillId="13" borderId="0" xfId="0" applyFont="1" applyFill="1" applyAlignment="1">
      <alignment horizontal="left" vertical="top"/>
    </xf>
    <xf numFmtId="0" fontId="67" fillId="13" borderId="0" xfId="0" applyFont="1" applyFill="1" applyAlignment="1">
      <alignment horizontal="left" vertical="top"/>
    </xf>
    <xf numFmtId="0" fontId="6" fillId="24" borderId="7" xfId="0" applyFont="1" applyFill="1" applyBorder="1" applyAlignment="1" applyProtection="1">
      <alignment horizontal="left" vertical="center" wrapText="1"/>
      <protection locked="0"/>
    </xf>
    <xf numFmtId="0" fontId="80" fillId="0" borderId="0" xfId="0" applyFont="1"/>
    <xf numFmtId="0" fontId="77" fillId="16" borderId="0" xfId="0" applyFont="1" applyFill="1"/>
    <xf numFmtId="0" fontId="5" fillId="16" borderId="0" xfId="0" applyFont="1" applyFill="1" applyAlignment="1">
      <alignment horizontal="left" vertical="top"/>
    </xf>
    <xf numFmtId="10" fontId="53" fillId="24" borderId="7" xfId="18" applyNumberFormat="1" applyFont="1" applyFill="1" applyBorder="1" applyAlignment="1" applyProtection="1">
      <alignment horizontal="center" vertical="top"/>
      <protection locked="0"/>
    </xf>
    <xf numFmtId="1" fontId="42" fillId="13" borderId="7" xfId="0" applyNumberFormat="1" applyFont="1" applyFill="1" applyBorder="1" applyAlignment="1">
      <alignment horizontal="center" vertical="top" wrapText="1"/>
    </xf>
    <xf numFmtId="166" fontId="42" fillId="13" borderId="7" xfId="0" applyNumberFormat="1" applyFont="1" applyFill="1" applyBorder="1" applyAlignment="1">
      <alignment horizontal="right" vertical="center" wrapText="1"/>
    </xf>
    <xf numFmtId="0" fontId="42" fillId="13" borderId="40" xfId="0" applyFont="1" applyFill="1" applyBorder="1" applyAlignment="1">
      <alignment horizontal="center" vertical="center" wrapText="1"/>
    </xf>
    <xf numFmtId="0" fontId="42" fillId="13" borderId="41" xfId="0" applyFont="1" applyFill="1" applyBorder="1" applyAlignment="1">
      <alignment horizontal="center" vertical="center" wrapText="1"/>
    </xf>
    <xf numFmtId="0" fontId="6" fillId="13" borderId="0" xfId="0" applyFont="1" applyFill="1" applyAlignment="1">
      <alignment horizontal="left" vertical="center" wrapText="1"/>
    </xf>
    <xf numFmtId="0" fontId="42" fillId="13" borderId="11" xfId="19" applyFont="1" applyFill="1" applyBorder="1" applyAlignment="1">
      <alignment horizontal="center" vertical="top"/>
    </xf>
    <xf numFmtId="14" fontId="42" fillId="13" borderId="7" xfId="19" applyNumberFormat="1" applyFont="1" applyFill="1" applyBorder="1" applyAlignment="1">
      <alignment horizontal="center" vertical="top"/>
    </xf>
    <xf numFmtId="0" fontId="0" fillId="13" borderId="42" xfId="0" applyFill="1" applyBorder="1" applyAlignment="1">
      <alignment vertical="center"/>
    </xf>
    <xf numFmtId="0" fontId="0" fillId="13" borderId="43" xfId="0" applyFill="1" applyBorder="1" applyAlignment="1">
      <alignment vertical="center"/>
    </xf>
    <xf numFmtId="0" fontId="0" fillId="13" borderId="12" xfId="0" applyFill="1" applyBorder="1" applyAlignment="1">
      <alignment vertical="center"/>
    </xf>
    <xf numFmtId="0" fontId="0" fillId="13" borderId="44" xfId="0" applyFill="1" applyBorder="1" applyAlignment="1">
      <alignment vertical="center"/>
    </xf>
    <xf numFmtId="0" fontId="0" fillId="13" borderId="45" xfId="0" applyFill="1" applyBorder="1" applyAlignment="1">
      <alignment vertical="center"/>
    </xf>
    <xf numFmtId="0" fontId="0" fillId="13" borderId="46" xfId="0" applyFill="1" applyBorder="1" applyAlignment="1">
      <alignment vertical="center"/>
    </xf>
    <xf numFmtId="0" fontId="0" fillId="13" borderId="47" xfId="0" applyFill="1" applyBorder="1" applyAlignment="1">
      <alignment vertical="center"/>
    </xf>
    <xf numFmtId="0" fontId="0" fillId="13" borderId="48" xfId="0" applyFill="1" applyBorder="1" applyAlignment="1">
      <alignment vertical="center"/>
    </xf>
    <xf numFmtId="0" fontId="0" fillId="13" borderId="49" xfId="0" applyFill="1" applyBorder="1" applyAlignment="1">
      <alignment vertical="center"/>
    </xf>
    <xf numFmtId="0" fontId="0" fillId="13" borderId="11" xfId="0" applyFill="1" applyBorder="1" applyAlignment="1">
      <alignment vertical="center"/>
    </xf>
    <xf numFmtId="0" fontId="0" fillId="13" borderId="50" xfId="0" applyFill="1" applyBorder="1" applyAlignment="1">
      <alignment vertical="center"/>
    </xf>
    <xf numFmtId="0" fontId="0" fillId="15" borderId="0" xfId="0" applyFill="1" applyAlignment="1">
      <alignment vertical="center"/>
    </xf>
    <xf numFmtId="0" fontId="27" fillId="15" borderId="0" xfId="0" applyFont="1" applyFill="1" applyAlignment="1">
      <alignment vertical="center"/>
    </xf>
    <xf numFmtId="0" fontId="4" fillId="15" borderId="0" xfId="0" applyFont="1" applyFill="1" applyAlignment="1">
      <alignment horizontal="center" vertical="top"/>
    </xf>
    <xf numFmtId="0" fontId="4" fillId="13" borderId="0" xfId="0" applyFont="1" applyFill="1" applyAlignment="1">
      <alignment horizontal="center" vertical="top" wrapText="1"/>
    </xf>
    <xf numFmtId="0" fontId="2" fillId="15" borderId="0" xfId="0" applyFont="1" applyFill="1" applyAlignment="1">
      <alignment vertical="center"/>
    </xf>
    <xf numFmtId="0" fontId="36" fillId="15" borderId="0" xfId="0" applyFont="1" applyFill="1"/>
    <xf numFmtId="0" fontId="0" fillId="15" borderId="0" xfId="0" applyFill="1" applyAlignment="1">
      <alignment horizontal="left" vertical="top"/>
    </xf>
    <xf numFmtId="0" fontId="0" fillId="16" borderId="11" xfId="0" applyFill="1" applyBorder="1" applyAlignment="1">
      <alignment horizontal="center"/>
    </xf>
    <xf numFmtId="0" fontId="0" fillId="16" borderId="37" xfId="0" applyFill="1" applyBorder="1" applyAlignment="1">
      <alignment horizontal="center" vertical="center"/>
    </xf>
    <xf numFmtId="0" fontId="51" fillId="13" borderId="0" xfId="0" applyFont="1" applyFill="1" applyAlignment="1">
      <alignment horizontal="left" vertical="center" wrapText="1"/>
    </xf>
    <xf numFmtId="2" fontId="32" fillId="13" borderId="7" xfId="0" applyNumberFormat="1" applyFont="1" applyFill="1" applyBorder="1" applyAlignment="1">
      <alignment horizontal="center" vertical="top" wrapText="1"/>
    </xf>
    <xf numFmtId="0" fontId="32" fillId="13" borderId="7" xfId="0" applyFont="1" applyFill="1" applyBorder="1" applyAlignment="1">
      <alignment horizontal="center" vertical="top"/>
    </xf>
    <xf numFmtId="10" fontId="32" fillId="13" borderId="7" xfId="18" applyNumberFormat="1" applyFont="1" applyFill="1" applyBorder="1" applyAlignment="1" applyProtection="1">
      <alignment horizontal="center" vertical="top"/>
    </xf>
    <xf numFmtId="0" fontId="32" fillId="13" borderId="11" xfId="0" applyFont="1" applyFill="1" applyBorder="1" applyAlignment="1">
      <alignment vertical="top"/>
    </xf>
    <xf numFmtId="0" fontId="32" fillId="13" borderId="12" xfId="0" applyFont="1" applyFill="1" applyBorder="1" applyAlignment="1">
      <alignment vertical="top"/>
    </xf>
    <xf numFmtId="0" fontId="32" fillId="13" borderId="13" xfId="0" applyFont="1" applyFill="1" applyBorder="1" applyAlignment="1">
      <alignment vertical="top"/>
    </xf>
    <xf numFmtId="2" fontId="32" fillId="13" borderId="7" xfId="0" applyNumberFormat="1" applyFont="1" applyFill="1" applyBorder="1" applyAlignment="1">
      <alignment horizontal="left" vertical="top" wrapText="1"/>
    </xf>
    <xf numFmtId="0" fontId="32" fillId="13" borderId="7" xfId="0" applyFont="1" applyFill="1" applyBorder="1" applyAlignment="1">
      <alignment horizontal="left" vertical="top" wrapText="1"/>
    </xf>
    <xf numFmtId="0" fontId="32" fillId="13" borderId="7" xfId="0" applyFont="1" applyFill="1" applyBorder="1" applyAlignment="1">
      <alignment vertical="top"/>
    </xf>
    <xf numFmtId="0" fontId="4" fillId="18" borderId="7" xfId="0" applyFont="1" applyFill="1" applyBorder="1" applyAlignment="1">
      <alignment horizontal="center" vertical="top"/>
    </xf>
    <xf numFmtId="0" fontId="2" fillId="18" borderId="7" xfId="0" applyFont="1" applyFill="1" applyBorder="1" applyAlignment="1">
      <alignment horizontal="center" vertical="top"/>
    </xf>
    <xf numFmtId="10" fontId="2" fillId="24" borderId="7" xfId="18" applyNumberFormat="1" applyFont="1" applyFill="1" applyBorder="1" applyAlignment="1" applyProtection="1">
      <alignment horizontal="center" vertical="top"/>
      <protection locked="0"/>
    </xf>
    <xf numFmtId="2" fontId="2" fillId="24" borderId="7" xfId="0" applyNumberFormat="1" applyFont="1" applyFill="1" applyBorder="1" applyAlignment="1" applyProtection="1">
      <alignment horizontal="left" vertical="top" wrapText="1"/>
      <protection locked="0"/>
    </xf>
    <xf numFmtId="0" fontId="2" fillId="24" borderId="7" xfId="0" applyFont="1" applyFill="1" applyBorder="1" applyAlignment="1" applyProtection="1">
      <alignment horizontal="left" vertical="top" wrapText="1"/>
      <protection locked="0"/>
    </xf>
    <xf numFmtId="0" fontId="2" fillId="24" borderId="7" xfId="0" applyFont="1" applyFill="1" applyBorder="1" applyAlignment="1" applyProtection="1">
      <alignment vertical="top"/>
      <protection locked="0"/>
    </xf>
    <xf numFmtId="0" fontId="63" fillId="13" borderId="0" xfId="0" applyFont="1" applyFill="1" applyAlignment="1">
      <alignment vertical="top"/>
    </xf>
    <xf numFmtId="0" fontId="4" fillId="16" borderId="0" xfId="0" applyFont="1" applyFill="1" applyAlignment="1">
      <alignment vertical="center" wrapText="1"/>
    </xf>
    <xf numFmtId="0" fontId="6" fillId="16" borderId="7" xfId="0" applyFont="1" applyFill="1" applyBorder="1" applyAlignment="1">
      <alignment vertical="center"/>
    </xf>
    <xf numFmtId="0" fontId="52" fillId="13" borderId="0" xfId="0" applyFont="1" applyFill="1" applyAlignment="1">
      <alignment horizontal="left" vertical="center" wrapText="1"/>
    </xf>
    <xf numFmtId="0" fontId="4" fillId="13" borderId="0" xfId="0" applyFont="1" applyFill="1" applyAlignment="1">
      <alignment horizontal="center" vertical="center"/>
    </xf>
    <xf numFmtId="0" fontId="51" fillId="13" borderId="0" xfId="0" applyFont="1" applyFill="1" applyAlignment="1">
      <alignment vertical="center" wrapText="1"/>
    </xf>
    <xf numFmtId="0" fontId="4" fillId="13" borderId="11" xfId="0" applyFont="1" applyFill="1" applyBorder="1" applyAlignment="1">
      <alignment vertical="top"/>
    </xf>
    <xf numFmtId="0" fontId="4" fillId="13" borderId="12" xfId="0" applyFont="1" applyFill="1" applyBorder="1" applyAlignment="1">
      <alignment vertical="top"/>
    </xf>
    <xf numFmtId="0" fontId="4" fillId="13" borderId="13" xfId="0" applyFont="1" applyFill="1" applyBorder="1" applyAlignment="1">
      <alignment vertical="top"/>
    </xf>
    <xf numFmtId="0" fontId="2" fillId="13" borderId="11" xfId="0" applyFont="1" applyFill="1" applyBorder="1" applyAlignment="1">
      <alignment vertical="top"/>
    </xf>
    <xf numFmtId="0" fontId="2" fillId="13" borderId="12" xfId="0" applyFont="1" applyFill="1" applyBorder="1" applyAlignment="1">
      <alignment vertical="top"/>
    </xf>
    <xf numFmtId="0" fontId="2" fillId="13" borderId="13" xfId="0" applyFont="1" applyFill="1" applyBorder="1" applyAlignment="1">
      <alignment vertical="top"/>
    </xf>
    <xf numFmtId="0" fontId="0" fillId="16" borderId="7" xfId="0" applyFill="1" applyBorder="1" applyAlignment="1">
      <alignment horizontal="center"/>
    </xf>
    <xf numFmtId="0" fontId="4" fillId="18" borderId="51" xfId="0" applyFont="1" applyFill="1" applyBorder="1" applyAlignment="1">
      <alignment horizontal="left" vertical="center"/>
    </xf>
    <xf numFmtId="0" fontId="0" fillId="18" borderId="42" xfId="0" applyFill="1" applyBorder="1" applyAlignment="1">
      <alignment vertical="center"/>
    </xf>
    <xf numFmtId="0" fontId="0" fillId="18" borderId="43" xfId="0" applyFill="1" applyBorder="1" applyAlignment="1">
      <alignment vertical="center"/>
    </xf>
    <xf numFmtId="0" fontId="4" fillId="18" borderId="52" xfId="0" applyFont="1" applyFill="1" applyBorder="1" applyAlignment="1">
      <alignment horizontal="left" vertical="center"/>
    </xf>
    <xf numFmtId="0" fontId="0" fillId="18" borderId="15" xfId="0" applyFill="1" applyBorder="1" applyAlignment="1">
      <alignment vertical="center"/>
    </xf>
    <xf numFmtId="0" fontId="0" fillId="18" borderId="53" xfId="0" applyFill="1" applyBorder="1" applyAlignment="1">
      <alignment vertical="center"/>
    </xf>
    <xf numFmtId="0" fontId="0" fillId="18" borderId="12" xfId="0" applyFill="1" applyBorder="1" applyAlignment="1">
      <alignment vertical="center"/>
    </xf>
    <xf numFmtId="0" fontId="0" fillId="18" borderId="44" xfId="0" applyFill="1" applyBorder="1" applyAlignment="1">
      <alignment vertical="center"/>
    </xf>
    <xf numFmtId="0" fontId="0" fillId="18" borderId="45" xfId="0" applyFill="1" applyBorder="1" applyAlignment="1">
      <alignment vertical="center"/>
    </xf>
    <xf numFmtId="0" fontId="0" fillId="18" borderId="46" xfId="0" applyFill="1" applyBorder="1" applyAlignment="1">
      <alignment vertical="center"/>
    </xf>
    <xf numFmtId="0" fontId="74" fillId="13" borderId="0" xfId="0" applyFont="1" applyFill="1" applyAlignment="1">
      <alignment horizontal="center" vertical="top"/>
    </xf>
    <xf numFmtId="0" fontId="75" fillId="13" borderId="0" xfId="0" applyFont="1" applyFill="1" applyAlignment="1">
      <alignment horizontal="left" vertical="top"/>
    </xf>
    <xf numFmtId="0" fontId="75" fillId="13" borderId="0" xfId="0" applyFont="1" applyFill="1" applyAlignment="1">
      <alignment vertical="top" wrapText="1"/>
    </xf>
    <xf numFmtId="0" fontId="75" fillId="13" borderId="0" xfId="0" applyFont="1" applyFill="1"/>
    <xf numFmtId="0" fontId="75" fillId="13" borderId="0" xfId="0" applyFont="1" applyFill="1" applyAlignment="1">
      <alignment horizontal="center" vertical="top" wrapText="1"/>
    </xf>
    <xf numFmtId="0" fontId="75" fillId="13" borderId="0" xfId="0" applyFont="1" applyFill="1" applyAlignment="1">
      <alignment vertical="top"/>
    </xf>
    <xf numFmtId="0" fontId="74" fillId="13" borderId="0" xfId="0" applyFont="1" applyFill="1"/>
    <xf numFmtId="0" fontId="85" fillId="13" borderId="0" xfId="14" applyFont="1" applyFill="1" applyAlignment="1" applyProtection="1"/>
    <xf numFmtId="0" fontId="0" fillId="25" borderId="0" xfId="0" applyFill="1"/>
    <xf numFmtId="3" fontId="4" fillId="24" borderId="14" xfId="0" applyNumberFormat="1" applyFont="1" applyFill="1" applyBorder="1" applyAlignment="1" applyProtection="1">
      <alignment horizontal="right" vertical="center" indent="1"/>
      <protection locked="0"/>
    </xf>
    <xf numFmtId="0" fontId="40" fillId="24" borderId="11" xfId="0" applyFont="1" applyFill="1" applyBorder="1" applyAlignment="1" applyProtection="1">
      <alignment horizontal="center" vertical="center" wrapText="1"/>
      <protection locked="0"/>
    </xf>
    <xf numFmtId="0" fontId="4" fillId="13" borderId="0" xfId="0" applyFont="1" applyFill="1" applyAlignment="1">
      <alignment horizontal="center"/>
    </xf>
    <xf numFmtId="0" fontId="2" fillId="13" borderId="0" xfId="19" applyFill="1"/>
    <xf numFmtId="0" fontId="2" fillId="13" borderId="0" xfId="19" applyFill="1" applyAlignment="1">
      <alignment vertical="top"/>
    </xf>
    <xf numFmtId="0" fontId="72" fillId="13" borderId="0" xfId="0" applyFont="1" applyFill="1"/>
    <xf numFmtId="0" fontId="2" fillId="16" borderId="0" xfId="19" applyFill="1"/>
    <xf numFmtId="0" fontId="2" fillId="16" borderId="0" xfId="19" applyFill="1" applyAlignment="1">
      <alignment vertical="top"/>
    </xf>
    <xf numFmtId="0" fontId="5" fillId="13" borderId="0" xfId="0" applyFont="1" applyFill="1" applyAlignment="1">
      <alignment vertical="top" wrapText="1"/>
    </xf>
    <xf numFmtId="0" fontId="2" fillId="15" borderId="0" xfId="19" applyFill="1"/>
    <xf numFmtId="0" fontId="2" fillId="15" borderId="0" xfId="19" applyFill="1" applyAlignment="1">
      <alignment vertical="top"/>
    </xf>
    <xf numFmtId="0" fontId="90" fillId="13" borderId="0" xfId="0" applyFont="1" applyFill="1" applyAlignment="1">
      <alignment vertical="top"/>
    </xf>
    <xf numFmtId="0" fontId="90" fillId="15" borderId="0" xfId="0" applyFont="1" applyFill="1" applyAlignment="1">
      <alignment vertical="top"/>
    </xf>
    <xf numFmtId="0" fontId="26" fillId="13" borderId="0" xfId="0" applyFont="1" applyFill="1" applyAlignment="1">
      <alignment horizontal="left" vertical="top" wrapText="1"/>
    </xf>
    <xf numFmtId="0" fontId="26" fillId="13" borderId="0" xfId="0" applyFont="1" applyFill="1" applyAlignment="1">
      <alignment vertical="top"/>
    </xf>
    <xf numFmtId="0" fontId="6" fillId="13" borderId="0" xfId="0" applyFont="1" applyFill="1" applyAlignment="1">
      <alignment horizontal="left" vertical="top"/>
    </xf>
    <xf numFmtId="0" fontId="27" fillId="13" borderId="0" xfId="0" applyFont="1" applyFill="1" applyAlignment="1">
      <alignment horizontal="left" vertical="center"/>
    </xf>
    <xf numFmtId="0" fontId="4" fillId="13" borderId="0" xfId="0" applyFont="1" applyFill="1" applyAlignment="1">
      <alignment horizontal="left" vertical="center"/>
    </xf>
    <xf numFmtId="0" fontId="0" fillId="13" borderId="0" xfId="0" applyFill="1" applyAlignment="1">
      <alignment horizontal="right" vertical="center" wrapText="1"/>
    </xf>
    <xf numFmtId="0" fontId="37" fillId="13" borderId="0" xfId="0" applyFont="1" applyFill="1" applyAlignment="1">
      <alignment vertical="center"/>
    </xf>
    <xf numFmtId="0" fontId="0" fillId="13" borderId="0" xfId="0" applyFill="1" applyAlignment="1">
      <alignment wrapText="1"/>
    </xf>
    <xf numFmtId="0" fontId="46" fillId="13" borderId="0" xfId="0" applyFont="1" applyFill="1"/>
    <xf numFmtId="0" fontId="2" fillId="13" borderId="0" xfId="0" applyFont="1" applyFill="1" applyAlignment="1">
      <alignment horizontal="right"/>
    </xf>
    <xf numFmtId="0" fontId="4" fillId="13" borderId="0" xfId="0" applyFont="1" applyFill="1" applyAlignment="1">
      <alignment horizontal="left"/>
    </xf>
    <xf numFmtId="0" fontId="0" fillId="13" borderId="0" xfId="0" applyFill="1" applyAlignment="1">
      <alignment horizontal="right"/>
    </xf>
    <xf numFmtId="0" fontId="4" fillId="13" borderId="0" xfId="0" applyFont="1" applyFill="1" applyAlignment="1">
      <alignment wrapText="1"/>
    </xf>
    <xf numFmtId="0" fontId="0" fillId="13" borderId="0" xfId="0" applyFill="1" applyAlignment="1">
      <alignment horizontal="left" vertical="top"/>
    </xf>
    <xf numFmtId="0" fontId="7" fillId="13" borderId="0" xfId="0" applyFont="1" applyFill="1" applyAlignment="1">
      <alignment horizontal="left" vertical="top"/>
    </xf>
    <xf numFmtId="0" fontId="59" fillId="13" borderId="0" xfId="0" applyFont="1" applyFill="1"/>
    <xf numFmtId="0" fontId="7" fillId="13" borderId="0" xfId="0" applyFont="1" applyFill="1" applyAlignment="1">
      <alignment horizontal="left" vertical="center"/>
    </xf>
    <xf numFmtId="0" fontId="33" fillId="13" borderId="0" xfId="0" applyFont="1" applyFill="1" applyAlignment="1">
      <alignment horizontal="left" vertical="top"/>
    </xf>
    <xf numFmtId="0" fontId="0" fillId="13" borderId="0" xfId="0" applyFill="1" applyAlignment="1">
      <alignment horizontal="left" vertical="center"/>
    </xf>
    <xf numFmtId="0" fontId="4" fillId="13" borderId="0" xfId="0" applyFont="1" applyFill="1"/>
    <xf numFmtId="0" fontId="55" fillId="13" borderId="0" xfId="0" applyFont="1" applyFill="1"/>
    <xf numFmtId="0" fontId="5" fillId="13" borderId="0" xfId="0" applyFont="1" applyFill="1" applyAlignment="1">
      <alignment wrapText="1"/>
    </xf>
    <xf numFmtId="0" fontId="5" fillId="13" borderId="0" xfId="0" applyFont="1" applyFill="1" applyAlignment="1">
      <alignment horizontal="right" vertical="top" wrapText="1"/>
    </xf>
    <xf numFmtId="49" fontId="41" fillId="13" borderId="0" xfId="0" applyNumberFormat="1" applyFont="1" applyFill="1"/>
    <xf numFmtId="0" fontId="2" fillId="13" borderId="13" xfId="0" applyFont="1" applyFill="1" applyBorder="1" applyAlignment="1">
      <alignment horizontal="left" vertical="top" wrapText="1" indent="1"/>
    </xf>
    <xf numFmtId="0" fontId="26" fillId="13" borderId="0" xfId="0" applyFont="1" applyFill="1" applyAlignment="1">
      <alignment horizontal="center" vertical="center" wrapText="1"/>
    </xf>
    <xf numFmtId="0" fontId="7" fillId="13" borderId="7" xfId="0" applyFont="1" applyFill="1" applyBorder="1" applyAlignment="1">
      <alignment horizontal="center" vertical="top" wrapText="1"/>
    </xf>
    <xf numFmtId="0" fontId="7" fillId="13" borderId="7" xfId="0" applyFont="1" applyFill="1" applyBorder="1" applyAlignment="1">
      <alignment vertical="top" wrapText="1"/>
    </xf>
    <xf numFmtId="0" fontId="63" fillId="13" borderId="0" xfId="0" applyFont="1" applyFill="1"/>
    <xf numFmtId="0" fontId="2" fillId="13" borderId="0" xfId="0" applyFont="1" applyFill="1" applyAlignment="1">
      <alignment horizontal="left"/>
    </xf>
    <xf numFmtId="0" fontId="6" fillId="13" borderId="0" xfId="0" applyFont="1" applyFill="1" applyAlignment="1">
      <alignment horizontal="right"/>
    </xf>
    <xf numFmtId="0" fontId="0" fillId="15" borderId="0" xfId="0" applyFill="1" applyAlignment="1">
      <alignment vertical="top"/>
    </xf>
    <xf numFmtId="0" fontId="71" fillId="15" borderId="0" xfId="0" applyFont="1" applyFill="1" applyAlignment="1">
      <alignment wrapText="1"/>
    </xf>
    <xf numFmtId="0" fontId="4" fillId="15" borderId="0" xfId="0" applyFont="1" applyFill="1" applyAlignment="1">
      <alignment wrapText="1"/>
    </xf>
    <xf numFmtId="0" fontId="4" fillId="15" borderId="0" xfId="0" applyFont="1" applyFill="1"/>
    <xf numFmtId="0" fontId="0" fillId="15" borderId="7" xfId="0" applyFill="1" applyBorder="1" applyAlignment="1">
      <alignment horizontal="center"/>
    </xf>
    <xf numFmtId="0" fontId="0" fillId="15" borderId="7" xfId="0" applyFill="1" applyBorder="1"/>
    <xf numFmtId="0" fontId="0" fillId="15" borderId="11" xfId="0" applyFill="1" applyBorder="1"/>
    <xf numFmtId="0" fontId="0" fillId="15" borderId="18" xfId="0" applyFill="1" applyBorder="1" applyAlignment="1">
      <alignment horizontal="center"/>
    </xf>
    <xf numFmtId="0" fontId="0" fillId="15" borderId="13" xfId="0" applyFill="1" applyBorder="1"/>
    <xf numFmtId="0" fontId="0" fillId="15" borderId="19" xfId="0" applyFill="1" applyBorder="1" applyAlignment="1">
      <alignment horizontal="center"/>
    </xf>
    <xf numFmtId="0" fontId="0" fillId="15" borderId="0" xfId="0" applyFill="1" applyAlignment="1">
      <alignment horizontal="center"/>
    </xf>
    <xf numFmtId="0" fontId="0" fillId="15" borderId="54" xfId="0" applyFill="1" applyBorder="1" applyAlignment="1">
      <alignment horizontal="center"/>
    </xf>
    <xf numFmtId="0" fontId="0" fillId="15" borderId="0" xfId="0" applyFill="1" applyAlignment="1">
      <alignment horizontal="left" vertical="top" wrapText="1"/>
    </xf>
    <xf numFmtId="0" fontId="4" fillId="15" borderId="0" xfId="0" applyFont="1" applyFill="1" applyAlignment="1">
      <alignment horizontal="left"/>
    </xf>
    <xf numFmtId="0" fontId="4" fillId="15" borderId="0" xfId="0" applyFont="1" applyFill="1" applyAlignment="1">
      <alignment horizontal="left" vertical="center"/>
    </xf>
    <xf numFmtId="0" fontId="33" fillId="15" borderId="0" xfId="0" applyFont="1" applyFill="1" applyAlignment="1">
      <alignment horizontal="left" vertical="top"/>
    </xf>
    <xf numFmtId="0" fontId="5" fillId="15" borderId="0" xfId="0" applyFont="1" applyFill="1" applyAlignment="1">
      <alignment horizontal="left" vertical="top" wrapText="1"/>
    </xf>
    <xf numFmtId="0" fontId="3" fillId="15" borderId="0" xfId="0" applyFont="1" applyFill="1" applyAlignment="1">
      <alignment horizontal="left" vertical="center"/>
    </xf>
    <xf numFmtId="0" fontId="0" fillId="15" borderId="11" xfId="0" applyFill="1" applyBorder="1" applyAlignment="1">
      <alignment horizontal="center"/>
    </xf>
    <xf numFmtId="0" fontId="0" fillId="15" borderId="20" xfId="0" applyFill="1" applyBorder="1" applyAlignment="1">
      <alignment horizontal="center"/>
    </xf>
    <xf numFmtId="0" fontId="55" fillId="15" borderId="0" xfId="0" applyFont="1" applyFill="1"/>
    <xf numFmtId="0" fontId="2" fillId="15" borderId="0" xfId="0" applyFont="1" applyFill="1" applyAlignment="1">
      <alignment horizontal="right"/>
    </xf>
    <xf numFmtId="0" fontId="2" fillId="15" borderId="0" xfId="0" quotePrefix="1" applyFont="1" applyFill="1" applyAlignment="1">
      <alignment vertical="top" wrapText="1"/>
    </xf>
    <xf numFmtId="0" fontId="0" fillId="15" borderId="7" xfId="0" applyFill="1" applyBorder="1" applyAlignment="1">
      <alignment horizontal="center" vertical="center"/>
    </xf>
    <xf numFmtId="0" fontId="64" fillId="15" borderId="0" xfId="0" applyFont="1" applyFill="1"/>
    <xf numFmtId="0" fontId="62" fillId="15" borderId="0" xfId="0" applyFont="1" applyFill="1" applyAlignment="1">
      <alignment vertical="center"/>
    </xf>
    <xf numFmtId="0" fontId="0" fillId="15" borderId="0" xfId="0" applyFill="1" applyAlignment="1">
      <alignment horizontal="right"/>
    </xf>
    <xf numFmtId="0" fontId="0" fillId="15" borderId="55" xfId="0" applyFill="1" applyBorder="1"/>
    <xf numFmtId="0" fontId="0" fillId="15" borderId="55" xfId="0" applyFill="1" applyBorder="1" applyAlignment="1">
      <alignment vertical="center"/>
    </xf>
    <xf numFmtId="0" fontId="2" fillId="15" borderId="55" xfId="0" applyFont="1" applyFill="1" applyBorder="1" applyAlignment="1">
      <alignment horizontal="center"/>
    </xf>
    <xf numFmtId="166" fontId="0" fillId="15" borderId="0" xfId="0" applyNumberFormat="1" applyFill="1"/>
    <xf numFmtId="164" fontId="2" fillId="15" borderId="0" xfId="18" applyNumberFormat="1" applyFont="1" applyFill="1" applyAlignment="1" applyProtection="1">
      <alignment horizontal="left"/>
    </xf>
    <xf numFmtId="0" fontId="0" fillId="16" borderId="11" xfId="0" applyFill="1" applyBorder="1"/>
    <xf numFmtId="0" fontId="0" fillId="16" borderId="51" xfId="0" applyFill="1" applyBorder="1" applyAlignment="1">
      <alignment horizontal="center" vertical="center"/>
    </xf>
    <xf numFmtId="0" fontId="0" fillId="16" borderId="52" xfId="0" applyFill="1" applyBorder="1" applyAlignment="1">
      <alignment horizontal="center" vertical="center"/>
    </xf>
    <xf numFmtId="0" fontId="0" fillId="16" borderId="52" xfId="0" applyFill="1" applyBorder="1" applyAlignment="1">
      <alignment horizontal="center"/>
    </xf>
    <xf numFmtId="0" fontId="0" fillId="16" borderId="56" xfId="0" applyFill="1" applyBorder="1" applyAlignment="1">
      <alignment horizontal="center"/>
    </xf>
    <xf numFmtId="0" fontId="0" fillId="16" borderId="57" xfId="0" applyFill="1" applyBorder="1" applyAlignment="1">
      <alignment horizontal="center" vertical="center"/>
    </xf>
    <xf numFmtId="0" fontId="0" fillId="16" borderId="56" xfId="0" applyFill="1" applyBorder="1" applyAlignment="1">
      <alignment horizontal="center" vertical="center"/>
    </xf>
    <xf numFmtId="3" fontId="42" fillId="13" borderId="40" xfId="0" applyNumberFormat="1" applyFont="1" applyFill="1" applyBorder="1" applyAlignment="1">
      <alignment horizontal="center" vertical="center" wrapText="1"/>
    </xf>
    <xf numFmtId="3" fontId="42" fillId="13" borderId="41" xfId="0" applyNumberFormat="1" applyFont="1" applyFill="1" applyBorder="1" applyAlignment="1">
      <alignment horizontal="center" vertical="center"/>
    </xf>
    <xf numFmtId="0" fontId="32" fillId="26" borderId="7" xfId="0" applyFont="1" applyFill="1" applyBorder="1" applyAlignment="1">
      <alignment horizontal="center" vertical="top"/>
    </xf>
    <xf numFmtId="0" fontId="74" fillId="13" borderId="0" xfId="0" applyFont="1" applyFill="1" applyAlignment="1">
      <alignment horizontal="left" vertical="top"/>
    </xf>
    <xf numFmtId="0" fontId="32" fillId="26" borderId="7" xfId="0" applyFont="1" applyFill="1" applyBorder="1" applyAlignment="1">
      <alignment horizontal="left" vertical="top" wrapText="1"/>
    </xf>
    <xf numFmtId="0" fontId="32" fillId="26" borderId="7" xfId="0" applyFont="1" applyFill="1" applyBorder="1" applyAlignment="1">
      <alignment vertical="top"/>
    </xf>
    <xf numFmtId="0" fontId="67" fillId="13" borderId="58" xfId="0" quotePrefix="1" applyFont="1" applyFill="1" applyBorder="1" applyAlignment="1">
      <alignment horizontal="right" vertical="top" wrapText="1"/>
    </xf>
    <xf numFmtId="0" fontId="67" fillId="13" borderId="59" xfId="0" quotePrefix="1" applyFont="1" applyFill="1" applyBorder="1" applyAlignment="1">
      <alignment horizontal="right" vertical="top" wrapText="1"/>
    </xf>
    <xf numFmtId="0" fontId="5" fillId="13" borderId="58" xfId="0" quotePrefix="1" applyFont="1" applyFill="1" applyBorder="1" applyAlignment="1">
      <alignment horizontal="right" vertical="top" wrapText="1"/>
    </xf>
    <xf numFmtId="0" fontId="12" fillId="13" borderId="0" xfId="0" applyFont="1" applyFill="1" applyAlignment="1">
      <alignment vertical="top" wrapText="1"/>
    </xf>
    <xf numFmtId="0" fontId="42" fillId="13" borderId="41" xfId="0" applyFont="1" applyFill="1" applyBorder="1" applyAlignment="1">
      <alignment horizontal="center" vertical="center"/>
    </xf>
    <xf numFmtId="167" fontId="42" fillId="13" borderId="40" xfId="0" applyNumberFormat="1" applyFont="1" applyFill="1" applyBorder="1" applyAlignment="1">
      <alignment horizontal="center" vertical="center" wrapText="1"/>
    </xf>
    <xf numFmtId="10" fontId="53" fillId="24" borderId="7" xfId="0" applyNumberFormat="1" applyFont="1" applyFill="1" applyBorder="1" applyAlignment="1" applyProtection="1">
      <alignment horizontal="center" vertical="top"/>
      <protection locked="0"/>
    </xf>
    <xf numFmtId="0" fontId="53" fillId="13" borderId="7" xfId="0" applyFont="1" applyFill="1" applyBorder="1" applyAlignment="1">
      <alignment horizontal="center" vertical="top"/>
    </xf>
    <xf numFmtId="0" fontId="53" fillId="13" borderId="11" xfId="0" applyFont="1" applyFill="1" applyBorder="1" applyAlignment="1">
      <alignment vertical="top"/>
    </xf>
    <xf numFmtId="0" fontId="53" fillId="13" borderId="12" xfId="0" applyFont="1" applyFill="1" applyBorder="1" applyAlignment="1">
      <alignment vertical="top"/>
    </xf>
    <xf numFmtId="0" fontId="53" fillId="13" borderId="13" xfId="0" applyFont="1" applyFill="1" applyBorder="1" applyAlignment="1">
      <alignment vertical="top"/>
    </xf>
    <xf numFmtId="0" fontId="45" fillId="15" borderId="0" xfId="0" applyFont="1" applyFill="1" applyAlignment="1">
      <alignment vertical="center" wrapText="1"/>
    </xf>
    <xf numFmtId="0" fontId="4" fillId="13" borderId="60" xfId="0" applyFont="1" applyFill="1" applyBorder="1" applyAlignment="1">
      <alignment horizontal="center"/>
    </xf>
    <xf numFmtId="0" fontId="7" fillId="13" borderId="11" xfId="0" applyFont="1" applyFill="1" applyBorder="1" applyAlignment="1">
      <alignment vertical="top" wrapText="1"/>
    </xf>
    <xf numFmtId="0" fontId="42" fillId="13" borderId="11" xfId="0" applyFont="1" applyFill="1" applyBorder="1" applyAlignment="1">
      <alignment vertical="top" wrapText="1"/>
    </xf>
    <xf numFmtId="0" fontId="12" fillId="13" borderId="0" xfId="0" quotePrefix="1" applyFont="1" applyFill="1" applyAlignment="1">
      <alignment horizontal="right" vertical="top" wrapText="1"/>
    </xf>
    <xf numFmtId="0" fontId="0" fillId="25" borderId="7" xfId="0" applyFill="1" applyBorder="1" applyAlignment="1">
      <alignment horizontal="center"/>
    </xf>
    <xf numFmtId="0" fontId="90" fillId="13" borderId="0" xfId="0" applyFont="1" applyFill="1" applyAlignment="1">
      <alignment horizontal="left" vertical="top" wrapText="1"/>
    </xf>
    <xf numFmtId="0" fontId="7" fillId="13" borderId="11" xfId="19" applyFont="1" applyFill="1" applyBorder="1" applyAlignment="1">
      <alignment horizontal="center" vertical="top" wrapText="1"/>
    </xf>
    <xf numFmtId="0" fontId="7" fillId="13" borderId="11" xfId="19" applyFont="1" applyFill="1" applyBorder="1" applyAlignment="1">
      <alignment horizontal="left" vertical="top" wrapText="1"/>
    </xf>
    <xf numFmtId="0" fontId="90" fillId="13" borderId="0" xfId="0" applyFont="1" applyFill="1" applyAlignment="1">
      <alignment vertical="center"/>
    </xf>
    <xf numFmtId="0" fontId="7" fillId="13" borderId="7" xfId="0" applyFont="1" applyFill="1" applyBorder="1" applyAlignment="1">
      <alignment horizontal="left" vertical="top" wrapText="1"/>
    </xf>
    <xf numFmtId="0" fontId="7" fillId="13" borderId="7" xfId="0" applyFont="1" applyFill="1" applyBorder="1" applyAlignment="1">
      <alignment vertical="top"/>
    </xf>
    <xf numFmtId="0" fontId="90" fillId="13" borderId="0" xfId="0" applyFont="1" applyFill="1"/>
    <xf numFmtId="0" fontId="2" fillId="13" borderId="61" xfId="0" applyFont="1" applyFill="1" applyBorder="1" applyAlignment="1">
      <alignment horizontal="center" vertical="top"/>
    </xf>
    <xf numFmtId="0" fontId="2" fillId="13" borderId="62" xfId="0" applyFont="1" applyFill="1" applyBorder="1" applyAlignment="1">
      <alignment vertical="top"/>
    </xf>
    <xf numFmtId="0" fontId="2" fillId="13" borderId="63" xfId="0" applyFont="1" applyFill="1" applyBorder="1" applyAlignment="1">
      <alignment vertical="top"/>
    </xf>
    <xf numFmtId="0" fontId="2" fillId="13" borderId="64" xfId="0" applyFont="1" applyFill="1" applyBorder="1" applyAlignment="1">
      <alignment horizontal="center" vertical="top"/>
    </xf>
    <xf numFmtId="0" fontId="2" fillId="13" borderId="8" xfId="0" applyFont="1" applyFill="1" applyBorder="1" applyAlignment="1">
      <alignment vertical="top"/>
    </xf>
    <xf numFmtId="0" fontId="2" fillId="13" borderId="65" xfId="0" applyFont="1" applyFill="1" applyBorder="1" applyAlignment="1">
      <alignment vertical="top"/>
    </xf>
    <xf numFmtId="0" fontId="2" fillId="13" borderId="66" xfId="0" applyFont="1" applyFill="1" applyBorder="1" applyAlignment="1">
      <alignment horizontal="center" vertical="top"/>
    </xf>
    <xf numFmtId="0" fontId="2" fillId="13" borderId="9" xfId="0" applyFont="1" applyFill="1" applyBorder="1" applyAlignment="1">
      <alignment vertical="top"/>
    </xf>
    <xf numFmtId="0" fontId="2" fillId="13" borderId="67" xfId="0" applyFont="1" applyFill="1" applyBorder="1" applyAlignment="1">
      <alignment vertical="top"/>
    </xf>
    <xf numFmtId="0" fontId="2" fillId="13" borderId="68" xfId="0" applyFont="1" applyFill="1" applyBorder="1" applyAlignment="1">
      <alignment horizontal="center" vertical="top"/>
    </xf>
    <xf numFmtId="0" fontId="2" fillId="13" borderId="10" xfId="0" applyFont="1" applyFill="1" applyBorder="1" applyAlignment="1">
      <alignment vertical="top"/>
    </xf>
    <xf numFmtId="0" fontId="2" fillId="13" borderId="69" xfId="0" applyFont="1" applyFill="1" applyBorder="1" applyAlignment="1">
      <alignment vertical="top"/>
    </xf>
    <xf numFmtId="0" fontId="90" fillId="13" borderId="0" xfId="0" applyFont="1" applyFill="1" applyAlignment="1">
      <alignment horizontal="left"/>
    </xf>
    <xf numFmtId="0" fontId="32" fillId="13" borderId="0" xfId="0" applyFont="1" applyFill="1" applyAlignment="1">
      <alignment wrapText="1"/>
    </xf>
    <xf numFmtId="0" fontId="32" fillId="13" borderId="0" xfId="0" applyFont="1" applyFill="1" applyAlignment="1">
      <alignment horizontal="left" vertical="top" wrapText="1"/>
    </xf>
    <xf numFmtId="0" fontId="2" fillId="13" borderId="0" xfId="0" applyFont="1" applyFill="1" applyAlignment="1">
      <alignment horizontal="left" vertical="center" wrapText="1"/>
    </xf>
    <xf numFmtId="0" fontId="6" fillId="13" borderId="7" xfId="0" applyFont="1" applyFill="1" applyBorder="1" applyAlignment="1">
      <alignment horizontal="center" vertical="top"/>
    </xf>
    <xf numFmtId="0" fontId="2" fillId="13" borderId="7" xfId="0" applyFont="1" applyFill="1" applyBorder="1" applyAlignment="1">
      <alignment horizontal="center" vertical="top"/>
    </xf>
    <xf numFmtId="0" fontId="2" fillId="13" borderId="15" xfId="0" applyFont="1" applyFill="1" applyBorder="1" applyAlignment="1">
      <alignment horizontal="left" vertical="top" wrapText="1"/>
    </xf>
    <xf numFmtId="0" fontId="2" fillId="13" borderId="0" xfId="0" applyFont="1" applyFill="1" applyAlignment="1">
      <alignment horizontal="left" vertical="top" wrapText="1"/>
    </xf>
    <xf numFmtId="0" fontId="2" fillId="13" borderId="0" xfId="0" applyFont="1" applyFill="1" applyAlignment="1">
      <alignment vertical="top" wrapText="1"/>
    </xf>
    <xf numFmtId="0" fontId="90" fillId="13" borderId="0" xfId="0" applyFont="1" applyFill="1" applyAlignment="1">
      <alignment horizontal="center" vertical="top" wrapText="1"/>
    </xf>
    <xf numFmtId="0" fontId="90" fillId="13" borderId="0" xfId="0" applyFont="1" applyFill="1" applyAlignment="1">
      <alignment horizontal="left" vertical="top"/>
    </xf>
    <xf numFmtId="0" fontId="90" fillId="13" borderId="0" xfId="0" applyFont="1" applyFill="1" applyAlignment="1">
      <alignment horizontal="center"/>
    </xf>
    <xf numFmtId="0" fontId="90" fillId="13" borderId="0" xfId="0" applyFont="1" applyFill="1" applyAlignment="1">
      <alignment vertical="top" wrapText="1"/>
    </xf>
    <xf numFmtId="0" fontId="90" fillId="13" borderId="0" xfId="0" applyFont="1" applyFill="1" applyAlignment="1">
      <alignment wrapText="1"/>
    </xf>
    <xf numFmtId="0" fontId="32" fillId="13" borderId="0" xfId="0" applyFont="1" applyFill="1"/>
    <xf numFmtId="0" fontId="45" fillId="13" borderId="0" xfId="0" applyFont="1" applyFill="1" applyAlignment="1">
      <alignment horizontal="center" vertical="top"/>
    </xf>
    <xf numFmtId="0" fontId="90" fillId="13" borderId="0" xfId="0" applyFont="1" applyFill="1" applyAlignment="1">
      <alignment horizontal="left" vertical="top" shrinkToFit="1"/>
    </xf>
    <xf numFmtId="0" fontId="90" fillId="13" borderId="0" xfId="0" applyFont="1" applyFill="1" applyAlignment="1">
      <alignment horizontal="center" vertical="top" wrapText="1" shrinkToFit="1"/>
    </xf>
    <xf numFmtId="0" fontId="8" fillId="13" borderId="60" xfId="14" applyFill="1" applyBorder="1" applyAlignment="1" applyProtection="1">
      <alignment horizontal="center" vertical="top" wrapText="1"/>
    </xf>
    <xf numFmtId="0" fontId="81" fillId="13" borderId="0" xfId="0" applyFont="1" applyFill="1" applyAlignment="1">
      <alignment vertical="top"/>
    </xf>
    <xf numFmtId="10" fontId="53" fillId="13" borderId="7" xfId="0" applyNumberFormat="1" applyFont="1" applyFill="1" applyBorder="1" applyAlignment="1">
      <alignment horizontal="center" vertical="top"/>
    </xf>
    <xf numFmtId="0" fontId="0" fillId="13" borderId="21" xfId="0" applyFill="1" applyBorder="1" applyAlignment="1">
      <alignment vertical="top" wrapText="1"/>
    </xf>
    <xf numFmtId="0" fontId="12" fillId="13" borderId="0" xfId="0" applyFont="1" applyFill="1" applyAlignment="1">
      <alignment horizontal="left" vertical="top" wrapText="1"/>
    </xf>
    <xf numFmtId="0" fontId="90" fillId="15" borderId="0" xfId="0" applyFont="1" applyFill="1"/>
    <xf numFmtId="0" fontId="2" fillId="15" borderId="0" xfId="0" applyFont="1" applyFill="1" applyAlignment="1">
      <alignment horizontal="left" vertical="top"/>
    </xf>
    <xf numFmtId="0" fontId="0" fillId="13" borderId="7" xfId="0" applyFill="1" applyBorder="1" applyAlignment="1">
      <alignment horizontal="left" vertical="top"/>
    </xf>
    <xf numFmtId="0" fontId="0" fillId="13" borderId="7" xfId="0" applyFill="1" applyBorder="1" applyAlignment="1">
      <alignment horizontal="center" vertical="top"/>
    </xf>
    <xf numFmtId="0" fontId="67" fillId="13" borderId="59" xfId="0" applyFont="1" applyFill="1" applyBorder="1" applyAlignment="1">
      <alignment horizontal="left" vertical="top" wrapText="1"/>
    </xf>
    <xf numFmtId="0" fontId="67" fillId="13" borderId="70" xfId="0" applyFont="1" applyFill="1" applyBorder="1" applyAlignment="1">
      <alignment horizontal="left" vertical="top" wrapText="1"/>
    </xf>
    <xf numFmtId="0" fontId="81" fillId="13" borderId="0" xfId="0" applyFont="1" applyFill="1" applyAlignment="1">
      <alignment horizontal="left" vertical="top" wrapText="1"/>
    </xf>
    <xf numFmtId="0" fontId="0" fillId="15" borderId="0" xfId="0" applyFill="1" applyAlignment="1">
      <alignment wrapText="1"/>
    </xf>
    <xf numFmtId="0" fontId="4" fillId="15" borderId="7" xfId="0" applyFont="1" applyFill="1" applyBorder="1" applyAlignment="1">
      <alignment horizontal="center"/>
    </xf>
    <xf numFmtId="0" fontId="4" fillId="13" borderId="11" xfId="0" applyFont="1" applyFill="1" applyBorder="1" applyAlignment="1">
      <alignment horizontal="left" vertical="top" wrapText="1"/>
    </xf>
    <xf numFmtId="0" fontId="4" fillId="13" borderId="11" xfId="0" applyFont="1" applyFill="1" applyBorder="1" applyAlignment="1">
      <alignment horizontal="left" vertical="top"/>
    </xf>
    <xf numFmtId="0" fontId="4" fillId="13" borderId="13" xfId="0" applyFont="1" applyFill="1" applyBorder="1" applyAlignment="1">
      <alignment horizontal="left" vertical="top"/>
    </xf>
    <xf numFmtId="0" fontId="0" fillId="0" borderId="0" xfId="0" applyAlignment="1">
      <alignment vertical="top"/>
    </xf>
    <xf numFmtId="0" fontId="0" fillId="24" borderId="7" xfId="0" applyFill="1" applyBorder="1" applyAlignment="1" applyProtection="1">
      <alignment horizontal="left" vertical="top"/>
      <protection locked="0"/>
    </xf>
    <xf numFmtId="0" fontId="95" fillId="15" borderId="0" xfId="0" applyFont="1" applyFill="1"/>
    <xf numFmtId="0" fontId="25" fillId="15" borderId="0" xfId="0" applyFont="1" applyFill="1"/>
    <xf numFmtId="0" fontId="40" fillId="15" borderId="0" xfId="0" applyFont="1" applyFill="1"/>
    <xf numFmtId="0" fontId="4" fillId="15" borderId="0" xfId="0" applyFont="1" applyFill="1" applyAlignment="1">
      <alignment horizontal="center"/>
    </xf>
    <xf numFmtId="0" fontId="0" fillId="15" borderId="11" xfId="0" applyFill="1" applyBorder="1" applyAlignment="1">
      <alignment horizontal="center" vertical="center"/>
    </xf>
    <xf numFmtId="0" fontId="50" fillId="15" borderId="0" xfId="0" applyFont="1" applyFill="1"/>
    <xf numFmtId="0" fontId="49" fillId="15" borderId="0" xfId="0" applyFont="1" applyFill="1"/>
    <xf numFmtId="0" fontId="38" fillId="15" borderId="0" xfId="0" applyFont="1" applyFill="1"/>
    <xf numFmtId="0" fontId="25" fillId="15" borderId="0" xfId="0" applyFont="1" applyFill="1" applyAlignment="1">
      <alignment vertical="top" wrapText="1"/>
    </xf>
    <xf numFmtId="0" fontId="0" fillId="15" borderId="0" xfId="0" applyFill="1" applyAlignment="1">
      <alignment vertical="center" wrapText="1"/>
    </xf>
    <xf numFmtId="0" fontId="0" fillId="15" borderId="18" xfId="0" applyFill="1" applyBorder="1" applyAlignment="1">
      <alignment horizontal="center" vertical="center"/>
    </xf>
    <xf numFmtId="0" fontId="0" fillId="15" borderId="19" xfId="0" applyFill="1" applyBorder="1" applyAlignment="1">
      <alignment horizontal="center" vertical="center"/>
    </xf>
    <xf numFmtId="0" fontId="4" fillId="27" borderId="29" xfId="0" applyFont="1" applyFill="1" applyBorder="1" applyAlignment="1">
      <alignment horizontal="left" vertical="center" wrapText="1" indent="1"/>
    </xf>
    <xf numFmtId="0" fontId="87" fillId="13" borderId="0" xfId="0" applyFont="1" applyFill="1" applyAlignment="1">
      <alignment horizontal="left" vertical="top" wrapText="1"/>
    </xf>
    <xf numFmtId="0" fontId="37" fillId="13" borderId="0" xfId="0" applyFont="1" applyFill="1" applyAlignment="1">
      <alignment horizontal="left" vertical="top" wrapText="1"/>
    </xf>
    <xf numFmtId="0" fontId="88" fillId="13" borderId="0" xfId="0" applyFont="1" applyFill="1" applyAlignment="1">
      <alignment horizontal="left" vertical="top" wrapText="1"/>
    </xf>
    <xf numFmtId="0" fontId="86" fillId="13" borderId="0" xfId="0" applyFont="1" applyFill="1" applyAlignment="1">
      <alignment horizontal="left" vertical="top" wrapText="1"/>
    </xf>
    <xf numFmtId="0" fontId="29" fillId="13" borderId="0" xfId="14" applyFont="1" applyFill="1" applyAlignment="1" applyProtection="1">
      <alignment horizontal="left" vertical="top" wrapText="1"/>
    </xf>
    <xf numFmtId="0" fontId="74" fillId="13" borderId="0" xfId="0" applyFont="1" applyFill="1" applyAlignment="1">
      <alignment horizontal="left" vertical="top" wrapText="1"/>
    </xf>
    <xf numFmtId="0" fontId="84" fillId="13" borderId="0" xfId="0" applyFont="1" applyFill="1" applyAlignment="1">
      <alignment horizontal="left" vertical="top" wrapText="1" indent="2"/>
    </xf>
    <xf numFmtId="0" fontId="42" fillId="13" borderId="11" xfId="19" applyFont="1" applyFill="1" applyBorder="1" applyAlignment="1">
      <alignment horizontal="left" vertical="top" wrapText="1"/>
    </xf>
    <xf numFmtId="0" fontId="67" fillId="13" borderId="0" xfId="0" applyFont="1" applyFill="1" applyAlignment="1">
      <alignment horizontal="left" vertical="top" wrapText="1"/>
    </xf>
    <xf numFmtId="0" fontId="40" fillId="21" borderId="0" xfId="0" applyFont="1" applyFill="1" applyAlignment="1">
      <alignment horizontal="left" vertical="top" wrapText="1"/>
    </xf>
    <xf numFmtId="0" fontId="42" fillId="13" borderId="7" xfId="0" applyFont="1" applyFill="1" applyBorder="1" applyAlignment="1">
      <alignment horizontal="left" vertical="top" wrapText="1"/>
    </xf>
    <xf numFmtId="0" fontId="7" fillId="13" borderId="11" xfId="0" applyFont="1" applyFill="1" applyBorder="1" applyAlignment="1">
      <alignment horizontal="left" vertical="top" wrapText="1"/>
    </xf>
    <xf numFmtId="0" fontId="42" fillId="13" borderId="11" xfId="0" applyFont="1" applyFill="1" applyBorder="1" applyAlignment="1">
      <alignment horizontal="left" vertical="center" wrapText="1"/>
    </xf>
    <xf numFmtId="0" fontId="2" fillId="13" borderId="12" xfId="0" applyFont="1" applyFill="1" applyBorder="1" applyAlignment="1">
      <alignment horizontal="left" vertical="top" wrapText="1"/>
    </xf>
    <xf numFmtId="0" fontId="5" fillId="13" borderId="0" xfId="0" applyFont="1" applyFill="1" applyAlignment="1">
      <alignment horizontal="left" vertical="center" wrapText="1"/>
    </xf>
    <xf numFmtId="0" fontId="2" fillId="13" borderId="7" xfId="0" applyFont="1" applyFill="1" applyBorder="1" applyAlignment="1">
      <alignment horizontal="left" vertical="center"/>
    </xf>
    <xf numFmtId="0" fontId="42" fillId="13" borderId="11" xfId="0" applyFont="1" applyFill="1" applyBorder="1" applyAlignment="1">
      <alignment horizontal="left" vertical="top"/>
    </xf>
    <xf numFmtId="0" fontId="4" fillId="13" borderId="7" xfId="0" applyFont="1" applyFill="1" applyBorder="1" applyAlignment="1">
      <alignment horizontal="left" vertical="top" wrapText="1"/>
    </xf>
    <xf numFmtId="0" fontId="42" fillId="13" borderId="11" xfId="0" applyFont="1" applyFill="1" applyBorder="1" applyAlignment="1">
      <alignment horizontal="left" vertical="top" wrapText="1"/>
    </xf>
    <xf numFmtId="0" fontId="5" fillId="13" borderId="0" xfId="0" applyFont="1" applyFill="1" applyAlignment="1">
      <alignment horizontal="left" vertical="center"/>
    </xf>
    <xf numFmtId="0" fontId="7" fillId="13" borderId="37" xfId="0" applyFont="1" applyFill="1" applyBorder="1" applyAlignment="1">
      <alignment horizontal="left" vertical="top" wrapText="1"/>
    </xf>
    <xf numFmtId="0" fontId="42" fillId="13" borderId="37" xfId="0" applyFont="1" applyFill="1" applyBorder="1" applyAlignment="1">
      <alignment horizontal="left" vertical="center" wrapText="1"/>
    </xf>
    <xf numFmtId="0" fontId="2" fillId="13" borderId="7" xfId="0" applyFont="1" applyFill="1" applyBorder="1" applyAlignment="1">
      <alignment horizontal="left" vertical="top"/>
    </xf>
    <xf numFmtId="0" fontId="4" fillId="13" borderId="7" xfId="0" applyFont="1" applyFill="1" applyBorder="1" applyAlignment="1">
      <alignment horizontal="left" vertical="top"/>
    </xf>
    <xf numFmtId="0" fontId="32" fillId="13" borderId="7" xfId="0" applyFont="1" applyFill="1" applyBorder="1" applyAlignment="1">
      <alignment horizontal="left" vertical="top"/>
    </xf>
    <xf numFmtId="0" fontId="32" fillId="13" borderId="11" xfId="0" applyFont="1" applyFill="1" applyBorder="1" applyAlignment="1">
      <alignment horizontal="left" vertical="top"/>
    </xf>
    <xf numFmtId="0" fontId="5" fillId="13" borderId="59" xfId="0" applyFont="1" applyFill="1" applyBorder="1" applyAlignment="1">
      <alignment horizontal="left" vertical="top" wrapText="1"/>
    </xf>
    <xf numFmtId="0" fontId="5" fillId="13" borderId="58" xfId="0" applyFont="1" applyFill="1" applyBorder="1" applyAlignment="1">
      <alignment horizontal="left" vertical="top" wrapText="1"/>
    </xf>
    <xf numFmtId="0" fontId="5" fillId="13" borderId="70" xfId="0" applyFont="1" applyFill="1" applyBorder="1" applyAlignment="1">
      <alignment horizontal="left" vertical="top" wrapText="1"/>
    </xf>
    <xf numFmtId="0" fontId="32" fillId="13" borderId="11" xfId="0" applyFont="1" applyFill="1" applyBorder="1" applyAlignment="1">
      <alignment horizontal="left" vertical="center" wrapText="1" indent="1"/>
    </xf>
    <xf numFmtId="0" fontId="31" fillId="13" borderId="11" xfId="0" applyFont="1" applyFill="1" applyBorder="1" applyAlignment="1">
      <alignment horizontal="left" vertical="top" wrapText="1"/>
    </xf>
    <xf numFmtId="0" fontId="7" fillId="13" borderId="36" xfId="0" applyFont="1" applyFill="1" applyBorder="1" applyAlignment="1">
      <alignment horizontal="left" vertical="top" wrapText="1"/>
    </xf>
    <xf numFmtId="0" fontId="47" fillId="13" borderId="0" xfId="0" applyFont="1" applyFill="1" applyAlignment="1">
      <alignment horizontal="left" vertical="top" wrapText="1"/>
    </xf>
    <xf numFmtId="0" fontId="4" fillId="13" borderId="0" xfId="0" applyFont="1" applyFill="1" applyAlignment="1">
      <alignment horizontal="left" vertical="center" wrapText="1"/>
    </xf>
    <xf numFmtId="0" fontId="10" fillId="13" borderId="0" xfId="0" applyFont="1" applyFill="1" applyAlignment="1">
      <alignment horizontal="left" vertical="top" wrapText="1"/>
    </xf>
    <xf numFmtId="0" fontId="31" fillId="13" borderId="37" xfId="0" applyFont="1" applyFill="1" applyBorder="1" applyAlignment="1">
      <alignment horizontal="left" vertical="top" wrapText="1"/>
    </xf>
    <xf numFmtId="0" fontId="42" fillId="13" borderId="37"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23" xfId="0" applyFont="1" applyFill="1" applyBorder="1" applyAlignment="1">
      <alignment horizontal="left" vertical="top" wrapText="1"/>
    </xf>
    <xf numFmtId="0" fontId="6" fillId="13" borderId="11" xfId="0" applyFont="1" applyFill="1" applyBorder="1" applyAlignment="1">
      <alignment horizontal="left" vertical="top" wrapText="1"/>
    </xf>
    <xf numFmtId="0" fontId="28" fillId="13" borderId="0" xfId="0" applyFont="1" applyFill="1" applyAlignment="1">
      <alignment horizontal="left" vertical="center"/>
    </xf>
    <xf numFmtId="0" fontId="33" fillId="13" borderId="0" xfId="0" applyFont="1" applyFill="1" applyAlignment="1">
      <alignment horizontal="left" vertical="center"/>
    </xf>
    <xf numFmtId="0" fontId="2" fillId="13" borderId="0" xfId="0" applyFont="1" applyFill="1" applyAlignment="1">
      <alignment horizontal="left" vertical="center"/>
    </xf>
    <xf numFmtId="0" fontId="2" fillId="13" borderId="0" xfId="19" applyFill="1" applyAlignment="1">
      <alignment horizontal="left" vertical="center" wrapText="1"/>
    </xf>
    <xf numFmtId="0" fontId="0" fillId="13" borderId="48" xfId="0" applyFill="1" applyBorder="1" applyAlignment="1">
      <alignment horizontal="left" vertical="center" wrapText="1"/>
    </xf>
    <xf numFmtId="0" fontId="0" fillId="13" borderId="48" xfId="0" applyFill="1" applyBorder="1" applyAlignment="1">
      <alignment horizontal="left" vertical="center"/>
    </xf>
    <xf numFmtId="0" fontId="0" fillId="13" borderId="51" xfId="0" applyFill="1" applyBorder="1" applyAlignment="1">
      <alignment horizontal="left" vertical="center" wrapText="1"/>
    </xf>
    <xf numFmtId="0" fontId="0" fillId="13" borderId="52" xfId="0" applyFill="1" applyBorder="1" applyAlignment="1">
      <alignment horizontal="left" vertical="center" wrapText="1"/>
    </xf>
    <xf numFmtId="0" fontId="0" fillId="13" borderId="56" xfId="0" applyFill="1" applyBorder="1" applyAlignment="1">
      <alignment horizontal="left" vertical="center" wrapText="1"/>
    </xf>
    <xf numFmtId="0" fontId="4" fillId="21" borderId="71" xfId="0" applyFont="1" applyFill="1" applyBorder="1" applyAlignment="1">
      <alignment horizontal="left" vertical="top" wrapText="1"/>
    </xf>
    <xf numFmtId="0" fontId="4" fillId="21" borderId="30" xfId="0" applyFont="1" applyFill="1" applyBorder="1" applyAlignment="1">
      <alignment horizontal="left"/>
    </xf>
    <xf numFmtId="0" fontId="11" fillId="13" borderId="0" xfId="0" applyFont="1" applyFill="1" applyAlignment="1">
      <alignment horizontal="left" vertical="top" wrapText="1"/>
    </xf>
    <xf numFmtId="0" fontId="75" fillId="13" borderId="0" xfId="0" applyFont="1" applyFill="1" applyAlignment="1">
      <alignment horizontal="left" vertical="top" wrapText="1"/>
    </xf>
    <xf numFmtId="0" fontId="85" fillId="13" borderId="0" xfId="0" applyFont="1" applyFill="1" applyAlignment="1">
      <alignment horizontal="left" vertical="top" wrapText="1"/>
    </xf>
    <xf numFmtId="0" fontId="2" fillId="21" borderId="72" xfId="0" applyFont="1" applyFill="1" applyBorder="1" applyAlignment="1">
      <alignment horizontal="left" vertical="top" wrapText="1"/>
    </xf>
    <xf numFmtId="0" fontId="74" fillId="13" borderId="0" xfId="0" applyFont="1" applyFill="1" applyAlignment="1">
      <alignment horizontal="left"/>
    </xf>
    <xf numFmtId="0" fontId="75" fillId="13" borderId="0" xfId="0" applyFont="1" applyFill="1" applyAlignment="1">
      <alignment horizontal="left"/>
    </xf>
    <xf numFmtId="0" fontId="85" fillId="13" borderId="0" xfId="14" applyFont="1" applyFill="1" applyAlignment="1" applyProtection="1">
      <alignment horizontal="left"/>
    </xf>
    <xf numFmtId="0" fontId="47" fillId="13" borderId="15" xfId="0" applyFont="1" applyFill="1" applyBorder="1" applyAlignment="1">
      <alignment horizontal="left" vertical="top" wrapText="1"/>
    </xf>
    <xf numFmtId="0" fontId="88" fillId="13" borderId="47" xfId="0" applyFont="1" applyFill="1" applyBorder="1" applyAlignment="1">
      <alignment horizontal="left" vertical="top" wrapText="1"/>
    </xf>
    <xf numFmtId="0" fontId="4" fillId="21" borderId="71" xfId="0" applyFont="1" applyFill="1" applyBorder="1" applyAlignment="1">
      <alignment horizontal="left" vertical="center" wrapText="1"/>
    </xf>
    <xf numFmtId="0" fontId="42" fillId="13" borderId="7" xfId="19" applyFont="1" applyFill="1" applyBorder="1" applyAlignment="1">
      <alignment horizontal="left" vertical="top" wrapText="1"/>
    </xf>
    <xf numFmtId="0" fontId="4" fillId="13" borderId="7" xfId="0" applyFont="1" applyFill="1" applyBorder="1" applyAlignment="1">
      <alignment horizontal="left" vertical="center" wrapText="1"/>
    </xf>
    <xf numFmtId="0" fontId="26" fillId="13" borderId="0" xfId="0" applyFont="1" applyFill="1" applyAlignment="1">
      <alignment horizontal="left" vertical="top"/>
    </xf>
    <xf numFmtId="0" fontId="2" fillId="13" borderId="0" xfId="0" applyFont="1" applyFill="1" applyAlignment="1">
      <alignment horizontal="left" wrapText="1"/>
    </xf>
    <xf numFmtId="0" fontId="42" fillId="21" borderId="0" xfId="0" applyFont="1" applyFill="1" applyAlignment="1">
      <alignment horizontal="left" vertical="top" wrapText="1"/>
    </xf>
    <xf numFmtId="0" fontId="4" fillId="13" borderId="0" xfId="0" applyFont="1" applyFill="1" applyAlignment="1">
      <alignment horizontal="left" wrapText="1"/>
    </xf>
    <xf numFmtId="0" fontId="7" fillId="13" borderId="7" xfId="0" applyFont="1" applyFill="1" applyBorder="1" applyAlignment="1">
      <alignment horizontal="left" vertical="top"/>
    </xf>
    <xf numFmtId="0" fontId="41" fillId="13" borderId="7" xfId="0" applyFont="1" applyFill="1" applyBorder="1" applyAlignment="1">
      <alignment horizontal="left" vertical="top" wrapText="1"/>
    </xf>
    <xf numFmtId="1" fontId="42" fillId="13" borderId="7" xfId="0" applyNumberFormat="1" applyFont="1" applyFill="1" applyBorder="1" applyAlignment="1">
      <alignment horizontal="left" vertical="top" wrapText="1"/>
    </xf>
    <xf numFmtId="0" fontId="94" fillId="13" borderId="7" xfId="0" applyFont="1" applyFill="1" applyBorder="1" applyAlignment="1">
      <alignment horizontal="left" vertical="top" wrapText="1"/>
    </xf>
    <xf numFmtId="0" fontId="76" fillId="13" borderId="0" xfId="0" applyFont="1" applyFill="1" applyAlignment="1">
      <alignment horizontal="left" vertical="top" wrapText="1"/>
    </xf>
    <xf numFmtId="0" fontId="6" fillId="13" borderId="37" xfId="0" applyFont="1" applyFill="1" applyBorder="1" applyAlignment="1">
      <alignment horizontal="left" vertical="top" wrapText="1"/>
    </xf>
    <xf numFmtId="0" fontId="6" fillId="13" borderId="21" xfId="0" applyFont="1" applyFill="1" applyBorder="1" applyAlignment="1">
      <alignment horizontal="left" vertical="top" wrapText="1"/>
    </xf>
    <xf numFmtId="0" fontId="4" fillId="13" borderId="37" xfId="0" applyFont="1" applyFill="1" applyBorder="1" applyAlignment="1">
      <alignment horizontal="left" vertical="center" wrapText="1"/>
    </xf>
    <xf numFmtId="0" fontId="4" fillId="13" borderId="7" xfId="0" applyFont="1" applyFill="1" applyBorder="1" applyAlignment="1">
      <alignment horizontal="left" vertical="center"/>
    </xf>
    <xf numFmtId="0" fontId="4" fillId="13" borderId="37" xfId="0" applyFont="1" applyFill="1" applyBorder="1" applyAlignment="1">
      <alignment horizontal="left" vertical="center"/>
    </xf>
    <xf numFmtId="0" fontId="67" fillId="13" borderId="59" xfId="0" quotePrefix="1" applyFont="1" applyFill="1" applyBorder="1" applyAlignment="1">
      <alignment horizontal="left" vertical="top" wrapText="1"/>
    </xf>
    <xf numFmtId="0" fontId="67" fillId="13" borderId="70" xfId="0" quotePrefix="1" applyFont="1" applyFill="1" applyBorder="1" applyAlignment="1">
      <alignment horizontal="left" vertical="top" wrapText="1"/>
    </xf>
    <xf numFmtId="0" fontId="67" fillId="13" borderId="0" xfId="0" quotePrefix="1" applyFont="1" applyFill="1" applyAlignment="1">
      <alignment horizontal="left" vertical="top" wrapText="1"/>
    </xf>
    <xf numFmtId="0" fontId="67" fillId="13" borderId="58" xfId="0" quotePrefix="1" applyFont="1" applyFill="1" applyBorder="1" applyAlignment="1">
      <alignment horizontal="left" vertical="top" wrapText="1"/>
    </xf>
    <xf numFmtId="0" fontId="8" fillId="21" borderId="73" xfId="14" applyFill="1" applyBorder="1" applyAlignment="1" applyProtection="1">
      <alignment horizontal="left" vertical="top" wrapText="1"/>
    </xf>
    <xf numFmtId="0" fontId="42" fillId="13" borderId="36" xfId="0" applyFont="1" applyFill="1" applyBorder="1" applyAlignment="1">
      <alignment horizontal="left" vertical="top" wrapText="1"/>
    </xf>
    <xf numFmtId="0" fontId="42" fillId="13" borderId="36" xfId="0" applyFont="1" applyFill="1" applyBorder="1" applyAlignment="1">
      <alignment horizontal="left" vertical="center" wrapText="1"/>
    </xf>
    <xf numFmtId="0" fontId="4" fillId="13" borderId="15" xfId="0" applyFont="1" applyFill="1" applyBorder="1" applyAlignment="1">
      <alignment horizontal="left" vertical="top" wrapText="1"/>
    </xf>
    <xf numFmtId="0" fontId="12" fillId="13" borderId="15" xfId="0" applyFont="1" applyFill="1" applyBorder="1" applyAlignment="1">
      <alignment horizontal="left" vertical="top" wrapText="1"/>
    </xf>
    <xf numFmtId="0" fontId="2" fillId="13" borderId="11" xfId="0" applyFont="1" applyFill="1" applyBorder="1" applyAlignment="1">
      <alignment horizontal="left" vertical="top"/>
    </xf>
    <xf numFmtId="0" fontId="36" fillId="13" borderId="0" xfId="0" applyFont="1" applyFill="1" applyAlignment="1">
      <alignment horizontal="left"/>
    </xf>
    <xf numFmtId="0" fontId="0" fillId="15" borderId="0" xfId="0" applyFill="1" applyAlignment="1">
      <alignment horizontal="left"/>
    </xf>
    <xf numFmtId="0" fontId="2" fillId="15" borderId="0" xfId="0" applyFont="1" applyFill="1" applyAlignment="1">
      <alignment horizontal="left"/>
    </xf>
    <xf numFmtId="0" fontId="32" fillId="0" borderId="0" xfId="0" applyFont="1" applyAlignment="1">
      <alignment horizontal="left"/>
    </xf>
    <xf numFmtId="0" fontId="2" fillId="0" borderId="0" xfId="0" applyFont="1" applyAlignment="1">
      <alignment horizontal="left"/>
    </xf>
    <xf numFmtId="0" fontId="58" fillId="19" borderId="0" xfId="0" applyFont="1" applyFill="1" applyAlignment="1">
      <alignment horizontal="left"/>
    </xf>
    <xf numFmtId="49" fontId="56" fillId="16" borderId="0" xfId="0" applyNumberFormat="1" applyFont="1" applyFill="1" applyAlignment="1">
      <alignment horizontal="left"/>
    </xf>
    <xf numFmtId="0" fontId="70" fillId="19" borderId="0" xfId="0" applyFont="1" applyFill="1" applyAlignment="1">
      <alignment horizontal="left"/>
    </xf>
    <xf numFmtId="0" fontId="0" fillId="0" borderId="7" xfId="0" applyBorder="1" applyAlignment="1">
      <alignment horizontal="center" vertical="top"/>
    </xf>
    <xf numFmtId="0" fontId="2" fillId="0" borderId="0" xfId="0" applyFont="1" applyAlignment="1">
      <alignment horizontal="left" wrapText="1"/>
    </xf>
    <xf numFmtId="0" fontId="55" fillId="0" borderId="0" xfId="0" applyFont="1" applyAlignment="1">
      <alignment horizontal="left" wrapText="1"/>
    </xf>
    <xf numFmtId="0" fontId="2" fillId="24" borderId="11" xfId="0" applyFont="1" applyFill="1" applyBorder="1" applyAlignment="1" applyProtection="1">
      <alignment vertical="top"/>
      <protection locked="0"/>
    </xf>
    <xf numFmtId="3" fontId="42" fillId="13" borderId="7" xfId="0" applyNumberFormat="1" applyFont="1" applyFill="1" applyBorder="1" applyAlignment="1">
      <alignment vertical="top" wrapText="1"/>
    </xf>
    <xf numFmtId="0" fontId="0" fillId="0" borderId="7" xfId="0" applyBorder="1" applyAlignment="1">
      <alignment horizontal="center"/>
    </xf>
    <xf numFmtId="0" fontId="0" fillId="0" borderId="7" xfId="0" applyBorder="1"/>
    <xf numFmtId="0" fontId="0" fillId="16" borderId="7" xfId="0" applyFill="1" applyBorder="1" applyAlignment="1">
      <alignment horizontal="left"/>
    </xf>
    <xf numFmtId="0" fontId="0" fillId="21" borderId="7" xfId="0" applyFill="1" applyBorder="1"/>
    <xf numFmtId="0" fontId="0" fillId="0" borderId="0" xfId="0" applyAlignment="1">
      <alignment horizontal="center"/>
    </xf>
    <xf numFmtId="0" fontId="0" fillId="24" borderId="7" xfId="0" applyFill="1" applyBorder="1" applyAlignment="1" applyProtection="1">
      <alignment horizontal="center"/>
      <protection locked="0"/>
    </xf>
    <xf numFmtId="0" fontId="74" fillId="13" borderId="0" xfId="0" applyFont="1" applyFill="1" applyAlignment="1">
      <alignment vertical="top" wrapText="1"/>
    </xf>
    <xf numFmtId="0" fontId="99" fillId="0" borderId="0" xfId="0" applyFont="1"/>
    <xf numFmtId="0" fontId="97" fillId="15" borderId="0" xfId="0" applyFont="1" applyFill="1" applyAlignment="1">
      <alignment horizontal="left" vertical="top" wrapText="1"/>
    </xf>
    <xf numFmtId="14" fontId="0" fillId="23" borderId="74" xfId="0" applyNumberFormat="1" applyFill="1" applyBorder="1" applyAlignment="1">
      <alignment horizontal="center"/>
    </xf>
    <xf numFmtId="0" fontId="6" fillId="13" borderId="21" xfId="0" applyFont="1" applyFill="1" applyBorder="1" applyAlignment="1">
      <alignment vertical="top" wrapText="1"/>
    </xf>
    <xf numFmtId="0" fontId="6" fillId="13" borderId="22" xfId="0" applyFont="1" applyFill="1" applyBorder="1" applyAlignment="1">
      <alignment vertical="top" wrapText="1"/>
    </xf>
    <xf numFmtId="0" fontId="6" fillId="13" borderId="23" xfId="0" applyFont="1" applyFill="1" applyBorder="1" applyAlignment="1">
      <alignment vertical="top" wrapText="1"/>
    </xf>
    <xf numFmtId="0" fontId="6" fillId="13" borderId="24" xfId="0" applyFont="1" applyFill="1" applyBorder="1" applyAlignment="1">
      <alignment vertical="top" wrapText="1"/>
    </xf>
    <xf numFmtId="0" fontId="2" fillId="18" borderId="21" xfId="0" applyFont="1" applyFill="1" applyBorder="1"/>
    <xf numFmtId="0" fontId="100" fillId="13" borderId="0" xfId="0" applyFont="1" applyFill="1" applyAlignment="1">
      <alignment horizontal="left"/>
    </xf>
    <xf numFmtId="0" fontId="58" fillId="19" borderId="7" xfId="0" quotePrefix="1" applyFont="1" applyFill="1" applyBorder="1" applyAlignment="1">
      <alignment horizontal="center" wrapText="1"/>
    </xf>
    <xf numFmtId="0" fontId="58" fillId="19" borderId="7" xfId="0" applyFont="1" applyFill="1" applyBorder="1" applyAlignment="1">
      <alignment wrapText="1"/>
    </xf>
    <xf numFmtId="0" fontId="58" fillId="19" borderId="7" xfId="0" applyFont="1" applyFill="1" applyBorder="1" applyAlignment="1">
      <alignment horizontal="center" wrapText="1"/>
    </xf>
    <xf numFmtId="0" fontId="0" fillId="29" borderId="74" xfId="0" applyFill="1" applyBorder="1" applyAlignment="1">
      <alignment horizontal="center"/>
    </xf>
    <xf numFmtId="0" fontId="0" fillId="29" borderId="74" xfId="0" applyFill="1" applyBorder="1"/>
    <xf numFmtId="14" fontId="0" fillId="13" borderId="11" xfId="0" applyNumberFormat="1" applyFill="1" applyBorder="1" applyAlignment="1">
      <alignment horizontal="left" vertical="center"/>
    </xf>
    <xf numFmtId="0" fontId="104" fillId="16" borderId="0" xfId="0" applyFont="1" applyFill="1"/>
    <xf numFmtId="0" fontId="105" fillId="13" borderId="0" xfId="0" applyFont="1" applyFill="1" applyAlignment="1">
      <alignment horizontal="right" vertical="top"/>
    </xf>
    <xf numFmtId="0" fontId="2" fillId="0" borderId="7" xfId="0" applyFont="1" applyBorder="1"/>
    <xf numFmtId="0" fontId="2" fillId="0" borderId="7" xfId="0" applyFont="1" applyBorder="1" applyAlignment="1">
      <alignment horizontal="center"/>
    </xf>
    <xf numFmtId="0" fontId="2" fillId="13" borderId="75" xfId="0" applyFont="1" applyFill="1" applyBorder="1" applyAlignment="1">
      <alignment horizontal="center" vertical="top"/>
    </xf>
    <xf numFmtId="0" fontId="2" fillId="13" borderId="76" xfId="0" applyFont="1" applyFill="1" applyBorder="1" applyAlignment="1">
      <alignment vertical="top"/>
    </xf>
    <xf numFmtId="0" fontId="2" fillId="17" borderId="76" xfId="0" applyFont="1" applyFill="1" applyBorder="1" applyAlignment="1">
      <alignment vertical="top"/>
    </xf>
    <xf numFmtId="0" fontId="2" fillId="13" borderId="77" xfId="0" applyFont="1" applyFill="1" applyBorder="1" applyAlignment="1">
      <alignment vertical="top"/>
    </xf>
    <xf numFmtId="0" fontId="106" fillId="16" borderId="0" xfId="0" applyFont="1" applyFill="1"/>
    <xf numFmtId="0" fontId="2" fillId="30" borderId="0" xfId="0" applyFont="1" applyFill="1"/>
    <xf numFmtId="0" fontId="104" fillId="16" borderId="0" xfId="0" applyFont="1" applyFill="1" applyAlignment="1">
      <alignment wrapText="1" shrinkToFit="1"/>
    </xf>
    <xf numFmtId="49" fontId="56" fillId="16" borderId="0" xfId="0" applyNumberFormat="1" applyFont="1" applyFill="1" applyAlignment="1">
      <alignment horizontal="left" wrapText="1"/>
    </xf>
    <xf numFmtId="49" fontId="104" fillId="16" borderId="0" xfId="0" applyNumberFormat="1" applyFont="1" applyFill="1" applyAlignment="1">
      <alignment horizontal="center"/>
    </xf>
    <xf numFmtId="49" fontId="104" fillId="16" borderId="0" xfId="0" applyNumberFormat="1" applyFont="1" applyFill="1" applyAlignment="1">
      <alignment horizontal="left" wrapText="1"/>
    </xf>
    <xf numFmtId="0" fontId="104" fillId="16" borderId="0" xfId="0" applyFont="1" applyFill="1" applyAlignment="1">
      <alignment horizontal="left" wrapText="1"/>
    </xf>
    <xf numFmtId="0" fontId="104" fillId="16" borderId="0" xfId="0" applyFont="1" applyFill="1" applyAlignment="1">
      <alignment horizontal="center"/>
    </xf>
    <xf numFmtId="0" fontId="58" fillId="19" borderId="0" xfId="0" applyFont="1" applyFill="1" applyAlignment="1">
      <alignment wrapText="1"/>
    </xf>
    <xf numFmtId="0" fontId="0" fillId="29" borderId="7" xfId="0" applyFill="1" applyBorder="1"/>
    <xf numFmtId="0" fontId="2" fillId="29" borderId="7" xfId="0" applyFont="1" applyFill="1" applyBorder="1"/>
    <xf numFmtId="0" fontId="0" fillId="31" borderId="7" xfId="0" applyFill="1" applyBorder="1" applyAlignment="1">
      <alignment horizontal="center"/>
    </xf>
    <xf numFmtId="0" fontId="0" fillId="30" borderId="7" xfId="0" applyFill="1" applyBorder="1"/>
    <xf numFmtId="0" fontId="0" fillId="31" borderId="7" xfId="0" applyFill="1" applyBorder="1"/>
    <xf numFmtId="0" fontId="2" fillId="31" borderId="0" xfId="0" applyFont="1" applyFill="1"/>
    <xf numFmtId="0" fontId="0" fillId="29" borderId="0" xfId="0" applyFill="1" applyAlignment="1">
      <alignment vertical="center"/>
    </xf>
    <xf numFmtId="0" fontId="28" fillId="29" borderId="0" xfId="0" applyFont="1" applyFill="1" applyAlignment="1">
      <alignment vertical="center"/>
    </xf>
    <xf numFmtId="0" fontId="29" fillId="29" borderId="0" xfId="0" applyFont="1" applyFill="1" applyAlignment="1">
      <alignment vertical="center"/>
    </xf>
    <xf numFmtId="0" fontId="2" fillId="29" borderId="0" xfId="0" applyFont="1" applyFill="1" applyAlignment="1">
      <alignment vertical="center"/>
    </xf>
    <xf numFmtId="0" fontId="33" fillId="29" borderId="0" xfId="0" applyFont="1" applyFill="1" applyAlignment="1">
      <alignment vertical="center"/>
    </xf>
    <xf numFmtId="0" fontId="8" fillId="29" borderId="0" xfId="14" applyFill="1" applyBorder="1" applyAlignment="1" applyProtection="1">
      <alignment vertical="center"/>
    </xf>
    <xf numFmtId="0" fontId="8" fillId="29" borderId="0" xfId="14" quotePrefix="1" applyFill="1" applyBorder="1" applyAlignment="1" applyProtection="1">
      <alignment vertical="center"/>
    </xf>
    <xf numFmtId="0" fontId="8" fillId="29" borderId="0" xfId="14" quotePrefix="1" applyFill="1" applyAlignment="1" applyProtection="1"/>
    <xf numFmtId="0" fontId="35" fillId="29" borderId="0" xfId="0" applyFont="1" applyFill="1" applyAlignment="1">
      <alignment vertical="center"/>
    </xf>
    <xf numFmtId="0" fontId="24" fillId="29" borderId="0" xfId="0" applyFont="1" applyFill="1" applyAlignment="1">
      <alignment vertical="center"/>
    </xf>
    <xf numFmtId="0" fontId="104" fillId="31" borderId="0" xfId="0" applyFont="1" applyFill="1"/>
    <xf numFmtId="0" fontId="0" fillId="13" borderId="78" xfId="0" applyFill="1" applyBorder="1"/>
    <xf numFmtId="0" fontId="0" fillId="13" borderId="79" xfId="0" applyFill="1" applyBorder="1"/>
    <xf numFmtId="0" fontId="0" fillId="13" borderId="80" xfId="0" applyFill="1" applyBorder="1"/>
    <xf numFmtId="0" fontId="0" fillId="13" borderId="81" xfId="0" applyFill="1" applyBorder="1"/>
    <xf numFmtId="0" fontId="0" fillId="13" borderId="82" xfId="0" applyFill="1" applyBorder="1"/>
    <xf numFmtId="0" fontId="0" fillId="13" borderId="83" xfId="0" applyFill="1" applyBorder="1"/>
    <xf numFmtId="0" fontId="0" fillId="13" borderId="84" xfId="0" applyFill="1" applyBorder="1"/>
    <xf numFmtId="0" fontId="0" fillId="13" borderId="85" xfId="0" applyFill="1" applyBorder="1"/>
    <xf numFmtId="0" fontId="0" fillId="13" borderId="18" xfId="0" applyFill="1" applyBorder="1"/>
    <xf numFmtId="0" fontId="0" fillId="13" borderId="19" xfId="0" applyFill="1" applyBorder="1"/>
    <xf numFmtId="0" fontId="0" fillId="13" borderId="20" xfId="0" applyFill="1" applyBorder="1"/>
    <xf numFmtId="0" fontId="32" fillId="13" borderId="12" xfId="0" applyFont="1" applyFill="1" applyBorder="1" applyAlignment="1">
      <alignment vertical="top" wrapText="1"/>
    </xf>
    <xf numFmtId="0" fontId="32" fillId="13" borderId="13" xfId="0" applyFont="1" applyFill="1" applyBorder="1" applyAlignment="1">
      <alignment vertical="top" wrapText="1"/>
    </xf>
    <xf numFmtId="0" fontId="42" fillId="13" borderId="11" xfId="19" applyFont="1" applyFill="1" applyBorder="1" applyAlignment="1">
      <alignment vertical="top" wrapText="1"/>
    </xf>
    <xf numFmtId="0" fontId="42" fillId="13" borderId="12" xfId="19" applyFont="1" applyFill="1" applyBorder="1" applyAlignment="1">
      <alignment vertical="top" wrapText="1"/>
    </xf>
    <xf numFmtId="0" fontId="4" fillId="18" borderId="56" xfId="0" applyFont="1" applyFill="1" applyBorder="1" applyAlignment="1">
      <alignment horizontal="left" vertical="center"/>
    </xf>
    <xf numFmtId="0" fontId="6" fillId="32" borderId="11" xfId="19" applyFont="1" applyFill="1" applyBorder="1" applyAlignment="1" applyProtection="1">
      <alignment horizontal="center" vertical="top" wrapText="1"/>
      <protection locked="0"/>
    </xf>
    <xf numFmtId="14" fontId="6" fillId="32" borderId="7" xfId="19" applyNumberFormat="1" applyFont="1" applyFill="1" applyBorder="1" applyAlignment="1" applyProtection="1">
      <alignment horizontal="center" vertical="top" wrapText="1"/>
      <protection locked="0"/>
    </xf>
    <xf numFmtId="0" fontId="6" fillId="32" borderId="11" xfId="19" applyFont="1" applyFill="1" applyBorder="1" applyAlignment="1" applyProtection="1">
      <alignment vertical="top" wrapText="1"/>
      <protection locked="0"/>
    </xf>
    <xf numFmtId="0" fontId="6" fillId="32" borderId="12" xfId="19" applyFont="1" applyFill="1" applyBorder="1" applyAlignment="1" applyProtection="1">
      <alignment vertical="top" wrapText="1"/>
      <protection locked="0"/>
    </xf>
    <xf numFmtId="0" fontId="6" fillId="32" borderId="12" xfId="0" applyFont="1" applyFill="1" applyBorder="1" applyAlignment="1" applyProtection="1">
      <alignment vertical="top" wrapText="1"/>
      <protection locked="0"/>
    </xf>
    <xf numFmtId="0" fontId="6" fillId="32" borderId="13" xfId="0" applyFont="1" applyFill="1" applyBorder="1" applyAlignment="1" applyProtection="1">
      <alignment vertical="top" wrapText="1"/>
      <protection locked="0"/>
    </xf>
    <xf numFmtId="0" fontId="42" fillId="13" borderId="36" xfId="0" applyFont="1" applyFill="1" applyBorder="1" applyAlignment="1">
      <alignment vertical="center" wrapText="1"/>
    </xf>
    <xf numFmtId="0" fontId="42" fillId="13" borderId="37" xfId="0" applyFont="1" applyFill="1" applyBorder="1" applyAlignment="1">
      <alignment vertical="center" wrapText="1"/>
    </xf>
    <xf numFmtId="0" fontId="42" fillId="13" borderId="38" xfId="0" applyFont="1" applyFill="1" applyBorder="1" applyAlignment="1">
      <alignment vertical="center" wrapText="1"/>
    </xf>
    <xf numFmtId="0" fontId="42" fillId="13" borderId="74" xfId="0" applyFont="1" applyFill="1" applyBorder="1" applyAlignment="1">
      <alignment vertical="center" wrapText="1"/>
    </xf>
    <xf numFmtId="0" fontId="42" fillId="13" borderId="23" xfId="0" applyFont="1" applyFill="1" applyBorder="1" applyAlignment="1">
      <alignment vertical="center" wrapText="1"/>
    </xf>
    <xf numFmtId="0" fontId="42" fillId="13" borderId="24" xfId="0" applyFont="1" applyFill="1" applyBorder="1" applyAlignment="1">
      <alignment vertical="center" wrapText="1"/>
    </xf>
    <xf numFmtId="0" fontId="7" fillId="13" borderId="36" xfId="0" applyFont="1" applyFill="1" applyBorder="1" applyAlignment="1">
      <alignment vertical="center" wrapText="1"/>
    </xf>
    <xf numFmtId="0" fontId="7" fillId="13" borderId="74" xfId="0" applyFont="1" applyFill="1" applyBorder="1" applyAlignment="1">
      <alignment vertical="center" wrapText="1"/>
    </xf>
    <xf numFmtId="0" fontId="40" fillId="24" borderId="7" xfId="0" applyFont="1" applyFill="1" applyBorder="1" applyAlignment="1" applyProtection="1">
      <alignment horizontal="center" vertical="center" wrapText="1"/>
      <protection locked="0"/>
    </xf>
    <xf numFmtId="0" fontId="40" fillId="13" borderId="7" xfId="0" applyFont="1" applyFill="1" applyBorder="1" applyAlignment="1">
      <alignment horizontal="center" vertical="top" wrapText="1"/>
    </xf>
    <xf numFmtId="14" fontId="40" fillId="33" borderId="7" xfId="0" applyNumberFormat="1" applyFont="1" applyFill="1" applyBorder="1" applyAlignment="1">
      <alignment horizontal="center" vertical="top" wrapText="1"/>
    </xf>
    <xf numFmtId="0" fontId="8" fillId="13" borderId="0" xfId="14" applyFill="1" applyAlignment="1" applyProtection="1">
      <alignment horizontal="left" vertical="top" wrapText="1"/>
    </xf>
    <xf numFmtId="0" fontId="3" fillId="19" borderId="0" xfId="0" applyFont="1" applyFill="1" applyAlignment="1">
      <alignment horizontal="left" vertical="top" wrapText="1"/>
    </xf>
    <xf numFmtId="0" fontId="8" fillId="29" borderId="0" xfId="14" applyFill="1" applyBorder="1" applyAlignment="1" applyProtection="1">
      <alignment horizontal="left" vertical="center" wrapText="1"/>
    </xf>
    <xf numFmtId="0" fontId="96" fillId="29" borderId="0" xfId="14" applyFont="1" applyFill="1" applyBorder="1" applyAlignment="1" applyProtection="1">
      <alignment horizontal="left" vertical="top" wrapText="1"/>
    </xf>
    <xf numFmtId="0" fontId="104" fillId="16" borderId="0" xfId="0" applyFont="1" applyFill="1" applyAlignment="1">
      <alignment horizontal="left"/>
    </xf>
    <xf numFmtId="0" fontId="0" fillId="34" borderId="0" xfId="0" applyFill="1" applyAlignment="1">
      <alignment horizontal="center"/>
    </xf>
    <xf numFmtId="0" fontId="0" fillId="34" borderId="0" xfId="0" applyFill="1"/>
    <xf numFmtId="0" fontId="8" fillId="0" borderId="0" xfId="14" applyAlignment="1" applyProtection="1">
      <alignment horizontal="left"/>
    </xf>
    <xf numFmtId="0" fontId="2" fillId="13" borderId="0" xfId="0" applyFont="1" applyFill="1" applyAlignment="1">
      <alignment wrapText="1"/>
    </xf>
    <xf numFmtId="0" fontId="97" fillId="15" borderId="0" xfId="0" applyFont="1" applyFill="1" applyAlignment="1">
      <alignment vertical="top"/>
    </xf>
    <xf numFmtId="0" fontId="0" fillId="31" borderId="0" xfId="0" applyFill="1"/>
    <xf numFmtId="0" fontId="45" fillId="31" borderId="0" xfId="0" applyFont="1" applyFill="1" applyAlignment="1">
      <alignment vertical="center" wrapText="1"/>
    </xf>
    <xf numFmtId="0" fontId="90" fillId="31" borderId="0" xfId="0" applyFont="1" applyFill="1" applyAlignment="1">
      <alignment vertical="top"/>
    </xf>
    <xf numFmtId="0" fontId="0" fillId="31" borderId="0" xfId="0" applyFill="1" applyAlignment="1">
      <alignment vertical="top"/>
    </xf>
    <xf numFmtId="0" fontId="2" fillId="31" borderId="0" xfId="0" applyFont="1" applyFill="1" applyAlignment="1">
      <alignment horizontal="center"/>
    </xf>
    <xf numFmtId="0" fontId="107" fillId="19" borderId="0" xfId="0" applyFont="1" applyFill="1"/>
    <xf numFmtId="0" fontId="108" fillId="13" borderId="0" xfId="0" applyFont="1" applyFill="1" applyAlignment="1">
      <alignment horizontal="right" vertical="top"/>
    </xf>
    <xf numFmtId="0" fontId="90" fillId="31" borderId="0" xfId="0" applyFont="1" applyFill="1"/>
    <xf numFmtId="0" fontId="8" fillId="29" borderId="0" xfId="14" applyFill="1" applyBorder="1" applyAlignment="1" applyProtection="1">
      <alignment horizontal="right" vertical="center"/>
    </xf>
    <xf numFmtId="0" fontId="41" fillId="13" borderId="7" xfId="0" applyFont="1" applyFill="1" applyBorder="1" applyAlignment="1">
      <alignment horizontal="center" vertical="top" wrapText="1"/>
    </xf>
    <xf numFmtId="0" fontId="58" fillId="19" borderId="74" xfId="0" applyFont="1" applyFill="1" applyBorder="1" applyAlignment="1">
      <alignment horizontal="center" wrapText="1"/>
    </xf>
    <xf numFmtId="0" fontId="8" fillId="29" borderId="0" xfId="14" applyFill="1" applyAlignment="1" applyProtection="1"/>
    <xf numFmtId="0" fontId="4" fillId="29" borderId="0" xfId="0" applyFont="1" applyFill="1" applyAlignment="1">
      <alignment horizontal="left" vertical="top" wrapText="1"/>
    </xf>
    <xf numFmtId="0" fontId="0" fillId="29" borderId="0" xfId="0" applyFill="1"/>
    <xf numFmtId="0" fontId="0" fillId="29" borderId="0" xfId="0" applyFill="1" applyAlignment="1">
      <alignment horizontal="center"/>
    </xf>
    <xf numFmtId="0" fontId="0" fillId="29" borderId="0" xfId="0" applyFill="1" applyAlignment="1">
      <alignment wrapText="1"/>
    </xf>
    <xf numFmtId="0" fontId="0" fillId="31" borderId="0" xfId="0" applyFill="1" applyAlignment="1">
      <alignment wrapText="1"/>
    </xf>
    <xf numFmtId="0" fontId="0" fillId="29" borderId="74" xfId="0" applyFill="1" applyBorder="1" applyAlignment="1">
      <alignment horizontal="left"/>
    </xf>
    <xf numFmtId="3" fontId="0" fillId="29" borderId="74" xfId="0" applyNumberFormat="1" applyFill="1" applyBorder="1"/>
    <xf numFmtId="0" fontId="0" fillId="31" borderId="0" xfId="0" applyFill="1" applyAlignment="1">
      <alignment horizontal="center"/>
    </xf>
    <xf numFmtId="0" fontId="0" fillId="31" borderId="0" xfId="0" applyFill="1" applyAlignment="1">
      <alignment vertical="center"/>
    </xf>
    <xf numFmtId="0" fontId="0" fillId="0" borderId="74" xfId="0" applyBorder="1" applyAlignment="1">
      <alignment horizontal="center"/>
    </xf>
    <xf numFmtId="0" fontId="0" fillId="0" borderId="74" xfId="0" applyBorder="1"/>
    <xf numFmtId="3" fontId="0" fillId="0" borderId="74" xfId="0" applyNumberFormat="1" applyBorder="1"/>
    <xf numFmtId="0" fontId="0" fillId="0" borderId="74" xfId="0" applyBorder="1" applyAlignment="1">
      <alignment horizontal="center" wrapText="1"/>
    </xf>
    <xf numFmtId="164" fontId="0" fillId="0" borderId="74" xfId="18" applyNumberFormat="1" applyFont="1" applyBorder="1" applyAlignment="1" applyProtection="1">
      <alignment horizontal="center" wrapText="1"/>
    </xf>
    <xf numFmtId="0" fontId="109" fillId="31" borderId="0" xfId="0" applyFont="1" applyFill="1"/>
    <xf numFmtId="3" fontId="0" fillId="0" borderId="7" xfId="0" applyNumberFormat="1" applyBorder="1"/>
    <xf numFmtId="0" fontId="0" fillId="35" borderId="74" xfId="0" applyFill="1" applyBorder="1" applyAlignment="1">
      <alignment horizontal="center" wrapText="1"/>
    </xf>
    <xf numFmtId="0" fontId="0" fillId="29" borderId="0" xfId="0" applyFill="1" applyAlignment="1">
      <alignment vertical="center" wrapText="1"/>
    </xf>
    <xf numFmtId="0" fontId="0" fillId="15" borderId="82" xfId="0" applyFill="1" applyBorder="1" applyAlignment="1">
      <alignment horizontal="center"/>
    </xf>
    <xf numFmtId="0" fontId="67" fillId="13" borderId="70" xfId="0" quotePrefix="1" applyFont="1" applyFill="1" applyBorder="1" applyAlignment="1">
      <alignment horizontal="right" vertical="top" wrapText="1"/>
    </xf>
    <xf numFmtId="0" fontId="97" fillId="15" borderId="0" xfId="0" applyFont="1" applyFill="1" applyAlignment="1">
      <alignment horizontal="left" vertical="center" wrapText="1"/>
    </xf>
    <xf numFmtId="0" fontId="0" fillId="0" borderId="0" xfId="0" quotePrefix="1"/>
    <xf numFmtId="0" fontId="96" fillId="29" borderId="0" xfId="14" applyFont="1" applyFill="1" applyBorder="1" applyAlignment="1" applyProtection="1">
      <alignment vertical="top" wrapText="1"/>
    </xf>
    <xf numFmtId="0" fontId="96" fillId="29" borderId="0" xfId="14" applyFont="1" applyFill="1" applyAlignment="1" applyProtection="1">
      <alignment vertical="top" wrapText="1"/>
    </xf>
    <xf numFmtId="0" fontId="8" fillId="29" borderId="0" xfId="14" applyFill="1" applyBorder="1" applyAlignment="1" applyProtection="1">
      <alignment vertical="center" wrapText="1"/>
    </xf>
    <xf numFmtId="0" fontId="8" fillId="29" borderId="0" xfId="14" applyFill="1" applyAlignment="1" applyProtection="1"/>
    <xf numFmtId="0" fontId="4" fillId="29" borderId="0" xfId="0" applyFont="1" applyFill="1" applyAlignment="1">
      <alignment vertical="top" wrapText="1"/>
    </xf>
    <xf numFmtId="0" fontId="0" fillId="13" borderId="56" xfId="0" applyFill="1" applyBorder="1" applyAlignment="1">
      <alignment vertical="center" wrapText="1"/>
    </xf>
    <xf numFmtId="0" fontId="0" fillId="13" borderId="45" xfId="0" applyFill="1" applyBorder="1" applyAlignment="1">
      <alignment vertical="center" wrapText="1"/>
    </xf>
    <xf numFmtId="0" fontId="0" fillId="13" borderId="86" xfId="0" applyFill="1" applyBorder="1" applyAlignment="1">
      <alignment vertical="center" wrapText="1"/>
    </xf>
    <xf numFmtId="0" fontId="0" fillId="13" borderId="0" xfId="0" applyFill="1" applyAlignment="1">
      <alignment vertical="top" wrapText="1"/>
    </xf>
    <xf numFmtId="0" fontId="0" fillId="13" borderId="48" xfId="0" applyFill="1" applyBorder="1" applyAlignment="1">
      <alignment horizontal="center" vertical="center" wrapText="1"/>
    </xf>
    <xf numFmtId="0" fontId="0" fillId="13" borderId="51" xfId="0" applyFill="1" applyBorder="1" applyAlignment="1">
      <alignment vertical="center" wrapText="1"/>
    </xf>
    <xf numFmtId="0" fontId="0" fillId="13" borderId="42" xfId="0" applyFill="1" applyBorder="1" applyAlignment="1">
      <alignment vertical="center" wrapText="1"/>
    </xf>
    <xf numFmtId="0" fontId="0" fillId="13" borderId="87" xfId="0" applyFill="1" applyBorder="1" applyAlignment="1">
      <alignment vertical="center" wrapText="1"/>
    </xf>
    <xf numFmtId="0" fontId="0" fillId="13" borderId="52" xfId="0" applyFill="1" applyBorder="1" applyAlignment="1">
      <alignment vertical="center" wrapText="1"/>
    </xf>
    <xf numFmtId="0" fontId="0" fillId="13" borderId="12" xfId="0" applyFill="1" applyBorder="1" applyAlignment="1">
      <alignment vertical="center" wrapText="1"/>
    </xf>
    <xf numFmtId="0" fontId="0" fillId="13" borderId="13" xfId="0" applyFill="1" applyBorder="1" applyAlignment="1">
      <alignment vertical="center" wrapText="1"/>
    </xf>
    <xf numFmtId="0" fontId="0" fillId="13" borderId="0" xfId="0" applyFill="1" applyAlignment="1">
      <alignment vertical="center" wrapText="1"/>
    </xf>
    <xf numFmtId="0" fontId="0" fillId="29" borderId="0" xfId="0" applyFill="1" applyAlignment="1">
      <alignment vertical="center" wrapText="1"/>
    </xf>
    <xf numFmtId="0" fontId="2" fillId="21" borderId="0" xfId="0" applyFont="1" applyFill="1" applyAlignment="1">
      <alignment vertical="top" wrapText="1"/>
    </xf>
    <xf numFmtId="0" fontId="90" fillId="13" borderId="0" xfId="0" applyFont="1" applyFill="1" applyAlignment="1">
      <alignment vertical="top" wrapText="1"/>
    </xf>
    <xf numFmtId="0" fontId="75" fillId="13" borderId="0" xfId="0" applyFont="1" applyFill="1" applyAlignment="1">
      <alignment horizontal="justify" vertical="top" wrapText="1"/>
    </xf>
    <xf numFmtId="0" fontId="0" fillId="21" borderId="7" xfId="0" applyFill="1" applyBorder="1" applyAlignment="1">
      <alignment vertical="top" wrapText="1"/>
    </xf>
    <xf numFmtId="0" fontId="90" fillId="13" borderId="0" xfId="0" applyFont="1" applyFill="1" applyAlignment="1">
      <alignment horizontal="justify" vertical="top" wrapText="1"/>
    </xf>
    <xf numFmtId="0" fontId="4" fillId="27" borderId="29" xfId="0" applyFont="1" applyFill="1" applyBorder="1" applyAlignment="1">
      <alignment horizontal="left" vertical="center" wrapText="1" indent="1"/>
    </xf>
    <xf numFmtId="0" fontId="4" fillId="27" borderId="30" xfId="0" applyFont="1" applyFill="1" applyBorder="1" applyAlignment="1">
      <alignment horizontal="left" vertical="center" wrapText="1" indent="1"/>
    </xf>
    <xf numFmtId="0" fontId="90" fillId="13" borderId="31" xfId="0" applyFont="1" applyFill="1" applyBorder="1" applyAlignment="1">
      <alignment horizontal="left" vertical="center" wrapText="1" indent="1"/>
    </xf>
    <xf numFmtId="0" fontId="88" fillId="13" borderId="0" xfId="0" applyFont="1" applyFill="1" applyAlignment="1">
      <alignment horizontal="left" vertical="top" wrapText="1"/>
    </xf>
    <xf numFmtId="0" fontId="90" fillId="13" borderId="0" xfId="0" applyFont="1" applyFill="1" applyAlignment="1">
      <alignment horizontal="left" vertical="top" wrapText="1"/>
    </xf>
    <xf numFmtId="0" fontId="87" fillId="13" borderId="0" xfId="0" applyFont="1" applyFill="1" applyAlignment="1">
      <alignment horizontal="left" vertical="top" wrapText="1"/>
    </xf>
    <xf numFmtId="0" fontId="47" fillId="13" borderId="15" xfId="0" applyFont="1" applyFill="1" applyBorder="1" applyAlignment="1">
      <alignment vertical="top" wrapText="1"/>
    </xf>
    <xf numFmtId="0" fontId="0" fillId="28" borderId="7" xfId="0" applyFill="1" applyBorder="1" applyAlignment="1">
      <alignment vertical="top" wrapText="1"/>
    </xf>
    <xf numFmtId="165" fontId="0" fillId="18" borderId="7" xfId="0" applyNumberFormat="1" applyFill="1" applyBorder="1" applyAlignment="1">
      <alignment vertical="top" wrapText="1"/>
    </xf>
    <xf numFmtId="0" fontId="90" fillId="13" borderId="7" xfId="0" applyFont="1" applyFill="1" applyBorder="1" applyAlignment="1">
      <alignment vertical="top" wrapText="1"/>
    </xf>
    <xf numFmtId="0" fontId="85" fillId="13" borderId="0" xfId="0" applyFont="1" applyFill="1" applyAlignment="1">
      <alignment horizontal="justify" vertical="top" wrapText="1"/>
    </xf>
    <xf numFmtId="0" fontId="0" fillId="24" borderId="7" xfId="0" applyFill="1" applyBorder="1" applyAlignment="1" applyProtection="1">
      <alignment vertical="top" wrapText="1"/>
      <protection locked="0"/>
    </xf>
    <xf numFmtId="0" fontId="90" fillId="13" borderId="7" xfId="0" applyFont="1" applyFill="1" applyBorder="1" applyAlignment="1" applyProtection="1">
      <alignment vertical="top" wrapText="1"/>
      <protection locked="0"/>
    </xf>
    <xf numFmtId="0" fontId="74" fillId="13" borderId="0" xfId="0" applyFont="1" applyFill="1" applyAlignment="1">
      <alignment horizontal="justify" vertical="top" wrapText="1"/>
    </xf>
    <xf numFmtId="0" fontId="0" fillId="26" borderId="7" xfId="0" applyFill="1" applyBorder="1" applyAlignment="1">
      <alignment vertical="top" wrapText="1"/>
    </xf>
    <xf numFmtId="0" fontId="37" fillId="13" borderId="0" xfId="0" applyFont="1" applyFill="1" applyAlignment="1">
      <alignment horizontal="left" vertical="top" wrapText="1"/>
    </xf>
    <xf numFmtId="0" fontId="2" fillId="13" borderId="0" xfId="0" applyFont="1" applyFill="1" applyAlignment="1">
      <alignment horizontal="left" vertical="top" wrapText="1"/>
    </xf>
    <xf numFmtId="165" fontId="0" fillId="14" borderId="7" xfId="0" applyNumberFormat="1" applyFill="1" applyBorder="1" applyAlignment="1" applyProtection="1">
      <alignment vertical="top" wrapText="1"/>
      <protection locked="0"/>
    </xf>
    <xf numFmtId="0" fontId="86" fillId="13" borderId="0" xfId="0" applyFont="1" applyFill="1" applyAlignment="1">
      <alignment horizontal="left" vertical="top" wrapText="1"/>
    </xf>
    <xf numFmtId="0" fontId="85" fillId="13" borderId="0" xfId="14" applyFont="1" applyFill="1" applyAlignment="1" applyProtection="1"/>
    <xf numFmtId="0" fontId="75" fillId="13" borderId="0" xfId="0" applyFont="1" applyFill="1"/>
    <xf numFmtId="0" fontId="84" fillId="13" borderId="0" xfId="0" applyFont="1" applyFill="1" applyAlignment="1">
      <alignment horizontal="left" vertical="top" wrapText="1" indent="2"/>
    </xf>
    <xf numFmtId="0" fontId="2" fillId="21" borderId="72" xfId="0" applyFont="1" applyFill="1" applyBorder="1" applyAlignment="1">
      <alignment horizontal="center" vertical="top" wrapText="1"/>
    </xf>
    <xf numFmtId="0" fontId="2" fillId="21" borderId="0" xfId="0" applyFont="1" applyFill="1" applyAlignment="1">
      <alignment horizontal="center" vertical="top" wrapText="1"/>
    </xf>
    <xf numFmtId="0" fontId="8" fillId="13" borderId="0" xfId="14" applyFill="1" applyAlignment="1" applyProtection="1">
      <alignment horizontal="left" vertical="top" wrapText="1"/>
    </xf>
    <xf numFmtId="0" fontId="29" fillId="13" borderId="0" xfId="14" applyFont="1" applyFill="1" applyAlignment="1" applyProtection="1">
      <alignment horizontal="left" vertical="top" wrapText="1"/>
    </xf>
    <xf numFmtId="0" fontId="74" fillId="13" borderId="0" xfId="0" applyFont="1" applyFill="1" applyAlignment="1">
      <alignment horizontal="left" vertical="top" wrapText="1"/>
    </xf>
    <xf numFmtId="0" fontId="97" fillId="15" borderId="0" xfId="0" applyFont="1" applyFill="1" applyAlignment="1">
      <alignment horizontal="left" vertical="center" wrapText="1"/>
    </xf>
    <xf numFmtId="0" fontId="98" fillId="15" borderId="0" xfId="0" applyFont="1" applyFill="1" applyAlignment="1">
      <alignment horizontal="left" vertical="center" wrapText="1"/>
    </xf>
    <xf numFmtId="0" fontId="0" fillId="0" borderId="0" xfId="0" applyAlignment="1">
      <alignment vertical="center" wrapText="1"/>
    </xf>
    <xf numFmtId="0" fontId="11" fillId="13" borderId="0" xfId="0" applyFont="1" applyFill="1" applyAlignment="1">
      <alignment vertical="top" wrapText="1"/>
    </xf>
    <xf numFmtId="0" fontId="2" fillId="13" borderId="0" xfId="0" applyFont="1" applyFill="1" applyAlignment="1">
      <alignment vertical="top" wrapText="1"/>
    </xf>
    <xf numFmtId="0" fontId="8" fillId="0" borderId="0" xfId="14" applyAlignment="1" applyProtection="1"/>
    <xf numFmtId="0" fontId="74" fillId="13" borderId="0" xfId="0" applyFont="1" applyFill="1" applyAlignment="1">
      <alignment vertical="top" wrapText="1"/>
    </xf>
    <xf numFmtId="0" fontId="8" fillId="21" borderId="7" xfId="14" applyFill="1" applyBorder="1" applyAlignment="1" applyProtection="1">
      <alignment horizontal="center" vertical="center"/>
    </xf>
    <xf numFmtId="0" fontId="8" fillId="21" borderId="29" xfId="14" applyFill="1" applyBorder="1" applyAlignment="1" applyProtection="1">
      <alignment horizontal="center"/>
    </xf>
    <xf numFmtId="0" fontId="8" fillId="21" borderId="31" xfId="14" applyFill="1" applyBorder="1" applyAlignment="1" applyProtection="1">
      <alignment horizontal="center"/>
    </xf>
    <xf numFmtId="0" fontId="4" fillId="13" borderId="60" xfId="0" applyFont="1" applyFill="1" applyBorder="1" applyAlignment="1">
      <alignment horizontal="center"/>
    </xf>
    <xf numFmtId="0" fontId="4" fillId="13" borderId="0" xfId="0" applyFont="1" applyFill="1" applyAlignment="1">
      <alignment horizontal="center"/>
    </xf>
    <xf numFmtId="0" fontId="8" fillId="21" borderId="88" xfId="14" applyFill="1" applyBorder="1" applyAlignment="1" applyProtection="1">
      <alignment horizontal="center" vertical="top" wrapText="1"/>
    </xf>
    <xf numFmtId="0" fontId="8" fillId="21" borderId="73" xfId="14" applyFill="1" applyBorder="1" applyAlignment="1" applyProtection="1">
      <alignment horizontal="center" vertical="top" wrapText="1"/>
    </xf>
    <xf numFmtId="0" fontId="8" fillId="13" borderId="89" xfId="14" applyFill="1" applyBorder="1" applyAlignment="1" applyProtection="1">
      <alignment horizontal="center" vertical="top" wrapText="1"/>
    </xf>
    <xf numFmtId="0" fontId="8" fillId="13" borderId="90" xfId="14" applyFill="1" applyBorder="1" applyAlignment="1" applyProtection="1">
      <alignment horizontal="center" vertical="top" wrapText="1"/>
    </xf>
    <xf numFmtId="0" fontId="4" fillId="21" borderId="30" xfId="0" applyFont="1" applyFill="1" applyBorder="1" applyAlignment="1">
      <alignment horizontal="center"/>
    </xf>
    <xf numFmtId="0" fontId="4" fillId="21" borderId="31" xfId="0" applyFont="1" applyFill="1" applyBorder="1" applyAlignment="1">
      <alignment horizontal="center"/>
    </xf>
    <xf numFmtId="0" fontId="4" fillId="21" borderId="71" xfId="0" applyFont="1" applyFill="1" applyBorder="1" applyAlignment="1">
      <alignment horizontal="center" vertical="top" wrapText="1"/>
    </xf>
    <xf numFmtId="0" fontId="0" fillId="0" borderId="91" xfId="0" applyBorder="1" applyAlignment="1">
      <alignment horizontal="center" vertical="top" wrapText="1"/>
    </xf>
    <xf numFmtId="0" fontId="0" fillId="0" borderId="60" xfId="0" applyBorder="1" applyAlignment="1">
      <alignment horizontal="center" vertical="top" wrapText="1"/>
    </xf>
    <xf numFmtId="0" fontId="0" fillId="0" borderId="92" xfId="0" applyBorder="1" applyAlignment="1">
      <alignment horizontal="center" vertical="top" wrapText="1"/>
    </xf>
    <xf numFmtId="0" fontId="0" fillId="0" borderId="93" xfId="0" applyBorder="1" applyAlignment="1">
      <alignment horizontal="center" vertical="top" wrapText="1"/>
    </xf>
    <xf numFmtId="0" fontId="0" fillId="0" borderId="94" xfId="0" applyBorder="1" applyAlignment="1">
      <alignment horizontal="center" vertical="top" wrapText="1"/>
    </xf>
    <xf numFmtId="0" fontId="6" fillId="32" borderId="7" xfId="19" applyFont="1" applyFill="1" applyBorder="1" applyAlignment="1" applyProtection="1">
      <alignment horizontal="left" vertical="top" wrapText="1"/>
      <protection locked="0"/>
    </xf>
    <xf numFmtId="0" fontId="42" fillId="13" borderId="11" xfId="19" applyFont="1" applyFill="1" applyBorder="1" applyAlignment="1">
      <alignment horizontal="left" vertical="top" wrapText="1"/>
    </xf>
    <xf numFmtId="0" fontId="42" fillId="13" borderId="12" xfId="19" applyFont="1" applyFill="1" applyBorder="1" applyAlignment="1">
      <alignment horizontal="left" vertical="top" wrapText="1"/>
    </xf>
    <xf numFmtId="0" fontId="42" fillId="13" borderId="13" xfId="19" applyFont="1" applyFill="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42" fillId="13" borderId="7" xfId="19" applyFont="1" applyFill="1" applyBorder="1" applyAlignment="1">
      <alignment horizontal="left" vertical="top" wrapText="1"/>
    </xf>
    <xf numFmtId="0" fontId="4" fillId="13" borderId="7" xfId="0" applyFont="1" applyFill="1" applyBorder="1" applyAlignment="1">
      <alignment horizontal="center" vertical="center" wrapText="1"/>
    </xf>
    <xf numFmtId="0" fontId="90" fillId="13" borderId="7" xfId="0" applyFont="1" applyFill="1" applyBorder="1" applyAlignment="1">
      <alignment wrapText="1"/>
    </xf>
    <xf numFmtId="0" fontId="12" fillId="13" borderId="0" xfId="19" applyFont="1" applyFill="1" applyAlignment="1">
      <alignment horizontal="left" vertical="top" wrapText="1"/>
    </xf>
    <xf numFmtId="0" fontId="0" fillId="0" borderId="0" xfId="0" applyAlignment="1">
      <alignment horizontal="left" vertical="top" wrapText="1"/>
    </xf>
    <xf numFmtId="0" fontId="67" fillId="13" borderId="0" xfId="0" applyFont="1" applyFill="1" applyAlignment="1">
      <alignment horizontal="left" vertical="top" wrapText="1"/>
    </xf>
    <xf numFmtId="0" fontId="7" fillId="13" borderId="11" xfId="19" applyFont="1" applyFill="1" applyBorder="1" applyAlignment="1">
      <alignment horizontal="left" vertical="top" wrapText="1"/>
    </xf>
    <xf numFmtId="0" fontId="7" fillId="13" borderId="12" xfId="19" applyFont="1" applyFill="1" applyBorder="1" applyAlignment="1">
      <alignment horizontal="left" vertical="top" wrapText="1"/>
    </xf>
    <xf numFmtId="0" fontId="7" fillId="13" borderId="13" xfId="19" applyFont="1" applyFill="1" applyBorder="1" applyAlignment="1">
      <alignment horizontal="left" vertical="top" wrapText="1"/>
    </xf>
    <xf numFmtId="0" fontId="7" fillId="13" borderId="7" xfId="19" applyFont="1" applyFill="1" applyBorder="1" applyAlignment="1">
      <alignment horizontal="center" vertical="top" wrapText="1"/>
    </xf>
    <xf numFmtId="0" fontId="4" fillId="21" borderId="71" xfId="0" applyFont="1" applyFill="1" applyBorder="1" applyAlignment="1">
      <alignment horizontal="center" vertical="center" wrapText="1"/>
    </xf>
    <xf numFmtId="0" fontId="2" fillId="21" borderId="48" xfId="0" applyFont="1" applyFill="1" applyBorder="1" applyAlignment="1">
      <alignment horizontal="center" vertical="center" wrapText="1"/>
    </xf>
    <xf numFmtId="0" fontId="2" fillId="21" borderId="91" xfId="0" applyFont="1" applyFill="1" applyBorder="1" applyAlignment="1">
      <alignment horizontal="center" vertical="center" wrapText="1"/>
    </xf>
    <xf numFmtId="0" fontId="0" fillId="21" borderId="60" xfId="0" applyFill="1" applyBorder="1" applyAlignment="1">
      <alignment horizontal="center" vertical="center" wrapText="1"/>
    </xf>
    <xf numFmtId="0" fontId="0" fillId="21" borderId="0" xfId="0" applyFill="1" applyAlignment="1">
      <alignment horizontal="center" vertical="center" wrapText="1"/>
    </xf>
    <xf numFmtId="0" fontId="0" fillId="21" borderId="92" xfId="0" applyFill="1" applyBorder="1" applyAlignment="1">
      <alignment horizontal="center" vertical="center" wrapText="1"/>
    </xf>
    <xf numFmtId="0" fontId="0" fillId="21" borderId="93" xfId="0" applyFill="1" applyBorder="1" applyAlignment="1">
      <alignment horizontal="center" vertical="center" wrapText="1"/>
    </xf>
    <xf numFmtId="0" fontId="0" fillId="21" borderId="47" xfId="0" applyFill="1" applyBorder="1" applyAlignment="1">
      <alignment horizontal="center" vertical="center" wrapText="1"/>
    </xf>
    <xf numFmtId="0" fontId="0" fillId="21" borderId="94" xfId="0" applyFill="1" applyBorder="1" applyAlignment="1">
      <alignment horizontal="center" vertical="center" wrapText="1"/>
    </xf>
    <xf numFmtId="0" fontId="11" fillId="13" borderId="0" xfId="0" applyFont="1" applyFill="1" applyAlignment="1">
      <alignment horizontal="left" vertical="center" wrapText="1"/>
    </xf>
    <xf numFmtId="0" fontId="3" fillId="19" borderId="0" xfId="19" applyFont="1" applyFill="1" applyAlignment="1">
      <alignment horizontal="left"/>
    </xf>
    <xf numFmtId="0" fontId="4" fillId="21" borderId="29" xfId="0" applyFont="1" applyFill="1" applyBorder="1" applyAlignment="1">
      <alignment horizontal="center"/>
    </xf>
    <xf numFmtId="0" fontId="6" fillId="14" borderId="7" xfId="0" applyFont="1" applyFill="1" applyBorder="1" applyAlignment="1" applyProtection="1">
      <alignment horizontal="left" vertical="top" wrapText="1"/>
      <protection locked="0"/>
    </xf>
    <xf numFmtId="0" fontId="2" fillId="14" borderId="7" xfId="0" applyFont="1" applyFill="1" applyBorder="1" applyAlignment="1" applyProtection="1">
      <alignment horizontal="left" vertical="center" shrinkToFit="1"/>
      <protection locked="0"/>
    </xf>
    <xf numFmtId="0" fontId="6" fillId="24" borderId="7" xfId="0" applyFont="1" applyFill="1" applyBorder="1" applyAlignment="1" applyProtection="1">
      <alignment horizontal="left" vertical="top" wrapText="1"/>
      <protection locked="0"/>
    </xf>
    <xf numFmtId="0" fontId="2" fillId="24" borderId="11" xfId="0" applyFont="1" applyFill="1" applyBorder="1" applyAlignment="1" applyProtection="1">
      <alignment horizontal="left" vertical="center" shrinkToFit="1"/>
      <protection locked="0"/>
    </xf>
    <xf numFmtId="0" fontId="2" fillId="24" borderId="12" xfId="0" applyFont="1" applyFill="1" applyBorder="1" applyAlignment="1" applyProtection="1">
      <alignment horizontal="left" vertical="center" shrinkToFit="1"/>
      <protection locked="0"/>
    </xf>
    <xf numFmtId="0" fontId="2" fillId="24" borderId="13" xfId="0" applyFont="1" applyFill="1" applyBorder="1" applyAlignment="1" applyProtection="1">
      <alignment horizontal="left" vertical="center" shrinkToFit="1"/>
      <protection locked="0"/>
    </xf>
    <xf numFmtId="0" fontId="42" fillId="21" borderId="0" xfId="0" applyFont="1" applyFill="1" applyAlignment="1">
      <alignment vertical="top" wrapText="1"/>
    </xf>
    <xf numFmtId="0" fontId="32" fillId="13" borderId="0" xfId="0" applyFont="1" applyFill="1" applyAlignment="1">
      <alignment vertical="top" wrapText="1"/>
    </xf>
    <xf numFmtId="0" fontId="2" fillId="13" borderId="0" xfId="0" applyFont="1" applyFill="1" applyAlignment="1">
      <alignment wrapText="1"/>
    </xf>
    <xf numFmtId="0" fontId="0" fillId="29" borderId="0" xfId="0" applyFill="1" applyAlignment="1">
      <alignment wrapText="1"/>
    </xf>
    <xf numFmtId="0" fontId="4" fillId="13" borderId="0" xfId="0" applyFont="1" applyFill="1" applyAlignment="1">
      <alignment horizontal="left" vertical="top"/>
    </xf>
    <xf numFmtId="0" fontId="3" fillId="19" borderId="0" xfId="0" applyFont="1" applyFill="1" applyAlignment="1">
      <alignment horizontal="left"/>
    </xf>
    <xf numFmtId="0" fontId="5" fillId="13" borderId="0" xfId="0" applyFont="1" applyFill="1" applyAlignment="1">
      <alignment vertical="top" wrapText="1"/>
    </xf>
    <xf numFmtId="0" fontId="8" fillId="21" borderId="95" xfId="14" applyFill="1" applyBorder="1" applyAlignment="1" applyProtection="1">
      <alignment horizontal="center" vertical="top" wrapText="1"/>
    </xf>
    <xf numFmtId="0" fontId="8" fillId="21" borderId="96" xfId="14" applyFill="1" applyBorder="1" applyAlignment="1" applyProtection="1">
      <alignment horizontal="center" vertical="top" wrapText="1"/>
    </xf>
    <xf numFmtId="0" fontId="8" fillId="21" borderId="97" xfId="14" applyFill="1" applyBorder="1" applyAlignment="1" applyProtection="1">
      <alignment horizontal="center" vertical="top" wrapText="1"/>
    </xf>
    <xf numFmtId="0" fontId="8" fillId="21" borderId="98" xfId="14" applyFill="1" applyBorder="1" applyAlignment="1" applyProtection="1">
      <alignment horizontal="center" vertical="top" wrapText="1"/>
    </xf>
    <xf numFmtId="0" fontId="8" fillId="21" borderId="99" xfId="14" applyFill="1" applyBorder="1" applyAlignment="1" applyProtection="1">
      <alignment horizontal="center" vertical="top" wrapText="1"/>
    </xf>
    <xf numFmtId="0" fontId="8" fillId="21" borderId="100" xfId="14" applyFill="1" applyBorder="1" applyAlignment="1" applyProtection="1">
      <alignment horizontal="center" vertical="top" wrapText="1"/>
    </xf>
    <xf numFmtId="0" fontId="8" fillId="21" borderId="101" xfId="14" applyFill="1" applyBorder="1" applyAlignment="1" applyProtection="1">
      <alignment horizontal="center" vertical="top" wrapText="1"/>
    </xf>
    <xf numFmtId="0" fontId="8" fillId="13" borderId="0" xfId="14" applyFill="1" applyBorder="1" applyAlignment="1" applyProtection="1">
      <alignment horizontal="center" vertical="top" wrapText="1"/>
    </xf>
    <xf numFmtId="0" fontId="8" fillId="21" borderId="102" xfId="14" applyFill="1" applyBorder="1" applyAlignment="1" applyProtection="1">
      <alignment horizontal="center" vertical="top" wrapText="1"/>
    </xf>
    <xf numFmtId="0" fontId="2" fillId="32" borderId="11" xfId="0" applyFont="1" applyFill="1" applyBorder="1" applyAlignment="1" applyProtection="1">
      <alignment horizontal="left" vertical="center" shrinkToFit="1"/>
      <protection locked="0"/>
    </xf>
    <xf numFmtId="0" fontId="2" fillId="32" borderId="12" xfId="0" applyFont="1" applyFill="1" applyBorder="1" applyAlignment="1" applyProtection="1">
      <alignment horizontal="left" vertical="center" shrinkToFit="1"/>
      <protection locked="0"/>
    </xf>
    <xf numFmtId="0" fontId="2" fillId="32" borderId="13" xfId="0" applyFont="1" applyFill="1" applyBorder="1" applyAlignment="1" applyProtection="1">
      <alignment horizontal="left" vertical="center" shrinkToFit="1"/>
      <protection locked="0"/>
    </xf>
    <xf numFmtId="0" fontId="4" fillId="21" borderId="48" xfId="0" applyFont="1" applyFill="1" applyBorder="1" applyAlignment="1">
      <alignment horizontal="center" vertical="center" wrapText="1"/>
    </xf>
    <xf numFmtId="0" fontId="4" fillId="21" borderId="91" xfId="0" applyFont="1" applyFill="1" applyBorder="1" applyAlignment="1">
      <alignment horizontal="center" vertical="center" wrapText="1"/>
    </xf>
    <xf numFmtId="0" fontId="4" fillId="21" borderId="60" xfId="0" applyFont="1" applyFill="1" applyBorder="1" applyAlignment="1">
      <alignment horizontal="center" vertical="center" wrapText="1"/>
    </xf>
    <xf numFmtId="0" fontId="4" fillId="21" borderId="0" xfId="0" applyFont="1" applyFill="1" applyAlignment="1">
      <alignment horizontal="center" vertical="center" wrapText="1"/>
    </xf>
    <xf numFmtId="0" fontId="4" fillId="21" borderId="92" xfId="0" applyFont="1" applyFill="1" applyBorder="1" applyAlignment="1">
      <alignment horizontal="center" vertical="center" wrapText="1"/>
    </xf>
    <xf numFmtId="0" fontId="4" fillId="13" borderId="0" xfId="0" applyFont="1" applyFill="1" applyAlignment="1">
      <alignment wrapText="1"/>
    </xf>
    <xf numFmtId="0" fontId="26" fillId="13" borderId="0" xfId="0" applyFont="1" applyFill="1" applyAlignment="1">
      <alignment horizontal="left" vertical="top" wrapText="1"/>
    </xf>
    <xf numFmtId="0" fontId="0" fillId="29" borderId="0" xfId="0" applyFill="1"/>
    <xf numFmtId="0" fontId="0" fillId="13" borderId="0" xfId="0" applyFill="1"/>
    <xf numFmtId="0" fontId="2" fillId="24" borderId="7" xfId="0" applyFont="1" applyFill="1" applyBorder="1" applyAlignment="1" applyProtection="1">
      <alignment horizontal="left" vertical="center" shrinkToFit="1"/>
      <protection locked="0"/>
    </xf>
    <xf numFmtId="0" fontId="40" fillId="24" borderId="11" xfId="0" applyFont="1" applyFill="1" applyBorder="1" applyAlignment="1" applyProtection="1">
      <alignment vertical="top" wrapText="1"/>
      <protection locked="0"/>
    </xf>
    <xf numFmtId="0" fontId="0" fillId="24" borderId="12" xfId="0" applyFill="1" applyBorder="1" applyAlignment="1" applyProtection="1">
      <alignment vertical="top" wrapText="1"/>
      <protection locked="0"/>
    </xf>
    <xf numFmtId="0" fontId="0" fillId="24" borderId="13" xfId="0" applyFill="1" applyBorder="1" applyAlignment="1" applyProtection="1">
      <alignment vertical="top" wrapText="1"/>
      <protection locked="0"/>
    </xf>
    <xf numFmtId="0" fontId="40" fillId="21" borderId="0" xfId="0" applyFont="1" applyFill="1" applyAlignment="1">
      <alignment horizontal="left" vertical="top" wrapText="1"/>
    </xf>
    <xf numFmtId="0" fontId="90" fillId="13" borderId="22" xfId="0" applyFont="1" applyFill="1" applyBorder="1"/>
    <xf numFmtId="0" fontId="2" fillId="24" borderId="11" xfId="0" applyFont="1" applyFill="1" applyBorder="1" applyAlignment="1" applyProtection="1">
      <alignment horizontal="left" vertical="center"/>
      <protection locked="0"/>
    </xf>
    <xf numFmtId="0" fontId="2" fillId="24" borderId="12" xfId="0" applyFont="1" applyFill="1" applyBorder="1" applyAlignment="1" applyProtection="1">
      <alignment horizontal="left" vertical="center"/>
      <protection locked="0"/>
    </xf>
    <xf numFmtId="0" fontId="2" fillId="24" borderId="13" xfId="0" applyFont="1" applyFill="1" applyBorder="1" applyAlignment="1" applyProtection="1">
      <alignment horizontal="left" vertical="center"/>
      <protection locked="0"/>
    </xf>
    <xf numFmtId="0" fontId="6" fillId="24" borderId="11" xfId="0" applyFont="1" applyFill="1" applyBorder="1" applyAlignment="1" applyProtection="1">
      <alignment horizontal="left" vertical="top"/>
      <protection locked="0"/>
    </xf>
    <xf numFmtId="0" fontId="6" fillId="24" borderId="12" xfId="0" applyFont="1" applyFill="1" applyBorder="1" applyAlignment="1" applyProtection="1">
      <alignment horizontal="left" vertical="top"/>
      <protection locked="0"/>
    </xf>
    <xf numFmtId="0" fontId="6" fillId="24" borderId="13" xfId="0" applyFont="1" applyFill="1" applyBorder="1" applyAlignment="1" applyProtection="1">
      <alignment horizontal="left" vertical="top"/>
      <protection locked="0"/>
    </xf>
    <xf numFmtId="0" fontId="6" fillId="24" borderId="7" xfId="0" applyFont="1" applyFill="1" applyBorder="1" applyAlignment="1" applyProtection="1">
      <alignment vertical="top" wrapText="1"/>
      <protection locked="0"/>
    </xf>
    <xf numFmtId="0" fontId="5" fillId="13" borderId="0" xfId="0" applyFont="1" applyFill="1" applyAlignment="1">
      <alignment horizontal="left" vertical="center" wrapText="1"/>
    </xf>
    <xf numFmtId="0" fontId="6" fillId="24" borderId="21" xfId="0" applyFont="1" applyFill="1" applyBorder="1" applyAlignment="1" applyProtection="1">
      <alignment horizontal="left" vertical="top" wrapText="1"/>
      <protection locked="0"/>
    </xf>
    <xf numFmtId="0" fontId="6" fillId="24" borderId="0" xfId="0" applyFont="1" applyFill="1" applyAlignment="1" applyProtection="1">
      <alignment horizontal="left" vertical="top" wrapText="1"/>
      <protection locked="0"/>
    </xf>
    <xf numFmtId="0" fontId="6" fillId="24" borderId="22" xfId="0" applyFont="1" applyFill="1" applyBorder="1" applyAlignment="1" applyProtection="1">
      <alignment horizontal="left" vertical="top" wrapText="1"/>
      <protection locked="0"/>
    </xf>
    <xf numFmtId="0" fontId="6" fillId="24" borderId="23" xfId="0" applyFont="1" applyFill="1" applyBorder="1" applyAlignment="1" applyProtection="1">
      <alignment horizontal="left" vertical="top" wrapText="1"/>
      <protection locked="0"/>
    </xf>
    <xf numFmtId="0" fontId="6" fillId="24" borderId="15" xfId="0" applyFont="1" applyFill="1" applyBorder="1" applyAlignment="1" applyProtection="1">
      <alignment horizontal="left" vertical="top" wrapText="1"/>
      <protection locked="0"/>
    </xf>
    <xf numFmtId="0" fontId="6" fillId="24" borderId="24" xfId="0" applyFont="1" applyFill="1" applyBorder="1" applyAlignment="1" applyProtection="1">
      <alignment horizontal="left" vertical="top" wrapText="1"/>
      <protection locked="0"/>
    </xf>
    <xf numFmtId="0" fontId="5" fillId="13" borderId="0" xfId="0" applyFont="1" applyFill="1" applyAlignment="1">
      <alignment horizontal="left" vertical="top" wrapText="1"/>
    </xf>
    <xf numFmtId="0" fontId="6" fillId="24" borderId="11" xfId="0" applyFont="1" applyFill="1"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42" fillId="13" borderId="7" xfId="0" applyFont="1" applyFill="1" applyBorder="1" applyAlignment="1">
      <alignment vertical="top" wrapText="1"/>
    </xf>
    <xf numFmtId="0" fontId="32" fillId="13" borderId="7" xfId="0" applyFont="1" applyFill="1" applyBorder="1" applyAlignment="1">
      <alignment vertical="top" wrapText="1"/>
    </xf>
    <xf numFmtId="0" fontId="42" fillId="13" borderId="11" xfId="0" applyFont="1" applyFill="1" applyBorder="1" applyAlignment="1">
      <alignment horizontal="left" vertical="top"/>
    </xf>
    <xf numFmtId="0" fontId="42" fillId="13" borderId="12" xfId="0" applyFont="1" applyFill="1" applyBorder="1" applyAlignment="1">
      <alignment horizontal="left" vertical="top"/>
    </xf>
    <xf numFmtId="0" fontId="42" fillId="13" borderId="13" xfId="0" applyFont="1" applyFill="1" applyBorder="1" applyAlignment="1">
      <alignment horizontal="left" vertical="top"/>
    </xf>
    <xf numFmtId="0" fontId="90" fillId="13" borderId="22" xfId="0" applyFont="1" applyFill="1" applyBorder="1" applyAlignment="1">
      <alignment vertical="top" wrapText="1"/>
    </xf>
    <xf numFmtId="0" fontId="7" fillId="13" borderId="11" xfId="0" applyFont="1" applyFill="1" applyBorder="1" applyAlignment="1">
      <alignment horizontal="left" vertical="top" wrapText="1"/>
    </xf>
    <xf numFmtId="0" fontId="7" fillId="13" borderId="12" xfId="0" applyFont="1" applyFill="1" applyBorder="1" applyAlignment="1">
      <alignment horizontal="left" vertical="top" wrapText="1"/>
    </xf>
    <xf numFmtId="0" fontId="7" fillId="13" borderId="13" xfId="0" applyFont="1" applyFill="1" applyBorder="1" applyAlignment="1">
      <alignment horizontal="left" vertical="top" wrapText="1"/>
    </xf>
    <xf numFmtId="0" fontId="2" fillId="13" borderId="12" xfId="0" applyFont="1" applyFill="1" applyBorder="1" applyAlignment="1">
      <alignment horizontal="left" vertical="top" wrapText="1"/>
    </xf>
    <xf numFmtId="0" fontId="90" fillId="13" borderId="44" xfId="0" applyFont="1" applyFill="1" applyBorder="1" applyAlignment="1">
      <alignment vertical="top" wrapText="1"/>
    </xf>
    <xf numFmtId="0" fontId="3" fillId="19" borderId="0" xfId="0" applyFont="1" applyFill="1" applyAlignment="1">
      <alignment horizontal="left" vertical="center"/>
    </xf>
    <xf numFmtId="0" fontId="6" fillId="18" borderId="11" xfId="0" applyFont="1" applyFill="1" applyBorder="1" applyAlignment="1">
      <alignment vertical="top" wrapText="1"/>
    </xf>
    <xf numFmtId="0" fontId="6" fillId="18" borderId="12" xfId="0" applyFont="1" applyFill="1" applyBorder="1" applyAlignment="1">
      <alignment vertical="top" wrapText="1"/>
    </xf>
    <xf numFmtId="0" fontId="90" fillId="13" borderId="13" xfId="0" applyFont="1" applyFill="1" applyBorder="1" applyAlignment="1">
      <alignment vertical="top" wrapText="1"/>
    </xf>
    <xf numFmtId="0" fontId="42" fillId="13" borderId="11" xfId="0" applyFont="1" applyFill="1" applyBorder="1" applyAlignment="1">
      <alignment vertical="top" wrapText="1"/>
    </xf>
    <xf numFmtId="0" fontId="32" fillId="0" borderId="12" xfId="0" applyFont="1" applyBorder="1" applyAlignment="1">
      <alignment vertical="top" wrapText="1"/>
    </xf>
    <xf numFmtId="0" fontId="32" fillId="0" borderId="13" xfId="0" applyFont="1" applyBorder="1" applyAlignment="1">
      <alignment vertical="top" wrapText="1"/>
    </xf>
    <xf numFmtId="0" fontId="7" fillId="13" borderId="11" xfId="0" applyFont="1" applyFill="1" applyBorder="1" applyAlignment="1">
      <alignment vertical="top" wrapText="1"/>
    </xf>
    <xf numFmtId="0" fontId="4" fillId="13" borderId="12" xfId="0" applyFont="1" applyFill="1" applyBorder="1" applyAlignment="1">
      <alignment vertical="top" wrapText="1"/>
    </xf>
    <xf numFmtId="0" fontId="60" fillId="18" borderId="11" xfId="0" applyFont="1" applyFill="1" applyBorder="1" applyAlignment="1">
      <alignment vertical="top" wrapText="1"/>
    </xf>
    <xf numFmtId="0" fontId="60" fillId="18" borderId="12" xfId="0" applyFont="1" applyFill="1" applyBorder="1" applyAlignment="1">
      <alignment vertical="top" wrapText="1"/>
    </xf>
    <xf numFmtId="0" fontId="6" fillId="24" borderId="11" xfId="0" applyFont="1" applyFill="1" applyBorder="1" applyAlignment="1" applyProtection="1">
      <alignment horizontal="left" vertical="center" wrapText="1"/>
      <protection locked="0"/>
    </xf>
    <xf numFmtId="0" fontId="6" fillId="24" borderId="12" xfId="0" applyFont="1" applyFill="1" applyBorder="1" applyAlignment="1" applyProtection="1">
      <alignment horizontal="left" vertical="center" wrapText="1"/>
      <protection locked="0"/>
    </xf>
    <xf numFmtId="0" fontId="6" fillId="24" borderId="13" xfId="0" applyFont="1" applyFill="1" applyBorder="1" applyAlignment="1" applyProtection="1">
      <alignment horizontal="left" vertical="center" wrapText="1"/>
      <protection locked="0"/>
    </xf>
    <xf numFmtId="0" fontId="5" fillId="13" borderId="0" xfId="0" applyFont="1" applyFill="1" applyAlignment="1">
      <alignment horizontal="left" vertical="top"/>
    </xf>
    <xf numFmtId="0" fontId="42" fillId="13" borderId="11" xfId="0" applyFont="1" applyFill="1" applyBorder="1" applyAlignment="1">
      <alignment horizontal="left" vertical="center" wrapText="1"/>
    </xf>
    <xf numFmtId="0" fontId="42" fillId="13" borderId="12" xfId="0" applyFont="1" applyFill="1" applyBorder="1" applyAlignment="1">
      <alignment horizontal="left" vertical="center" wrapText="1"/>
    </xf>
    <xf numFmtId="0" fontId="42" fillId="13" borderId="13" xfId="0" applyFont="1" applyFill="1" applyBorder="1" applyAlignment="1">
      <alignment horizontal="left" vertical="center" wrapText="1"/>
    </xf>
    <xf numFmtId="0" fontId="6" fillId="24" borderId="11" xfId="0" applyFont="1" applyFill="1" applyBorder="1" applyAlignment="1" applyProtection="1">
      <alignment vertical="top" wrapText="1"/>
      <protection locked="0"/>
    </xf>
    <xf numFmtId="0" fontId="6" fillId="24" borderId="12" xfId="0" applyFont="1" applyFill="1" applyBorder="1" applyAlignment="1" applyProtection="1">
      <alignment vertical="top" wrapText="1"/>
      <protection locked="0"/>
    </xf>
    <xf numFmtId="0" fontId="6" fillId="24" borderId="13" xfId="0" applyFont="1" applyFill="1" applyBorder="1" applyAlignment="1" applyProtection="1">
      <alignment vertical="top" wrapText="1"/>
      <protection locked="0"/>
    </xf>
    <xf numFmtId="0" fontId="4" fillId="13" borderId="12" xfId="0" applyFont="1" applyFill="1" applyBorder="1" applyAlignment="1">
      <alignment horizontal="left" vertical="top" wrapText="1"/>
    </xf>
    <xf numFmtId="0" fontId="4" fillId="13" borderId="13" xfId="0" applyFont="1" applyFill="1" applyBorder="1" applyAlignment="1">
      <alignment horizontal="left" vertical="top" wrapText="1"/>
    </xf>
    <xf numFmtId="0" fontId="6" fillId="24" borderId="7" xfId="0" applyFont="1" applyFill="1" applyBorder="1" applyAlignment="1" applyProtection="1">
      <alignment horizontal="left" vertical="center" wrapText="1"/>
      <protection locked="0"/>
    </xf>
    <xf numFmtId="0" fontId="0" fillId="24" borderId="7" xfId="0" applyFill="1" applyBorder="1" applyAlignment="1" applyProtection="1">
      <alignment wrapText="1"/>
      <protection locked="0"/>
    </xf>
    <xf numFmtId="0" fontId="0" fillId="13" borderId="7" xfId="0" applyFill="1" applyBorder="1" applyAlignment="1">
      <alignment wrapText="1"/>
    </xf>
    <xf numFmtId="0" fontId="7" fillId="13" borderId="12" xfId="0" applyFont="1" applyFill="1" applyBorder="1" applyAlignment="1">
      <alignment vertical="top" wrapText="1"/>
    </xf>
    <xf numFmtId="0" fontId="42" fillId="13" borderId="11" xfId="0" applyFont="1" applyFill="1" applyBorder="1" applyAlignment="1">
      <alignment horizontal="left" vertical="top" wrapText="1"/>
    </xf>
    <xf numFmtId="0" fontId="42" fillId="13" borderId="12" xfId="0" applyFont="1" applyFill="1" applyBorder="1" applyAlignment="1">
      <alignment horizontal="left" vertical="top" wrapText="1"/>
    </xf>
    <xf numFmtId="0" fontId="42" fillId="13" borderId="13" xfId="0" applyFont="1" applyFill="1" applyBorder="1" applyAlignment="1">
      <alignment horizontal="left" vertical="top" wrapText="1"/>
    </xf>
    <xf numFmtId="0" fontId="4" fillId="18" borderId="11" xfId="0" applyFont="1" applyFill="1" applyBorder="1" applyAlignment="1">
      <alignment horizontal="center" vertical="center"/>
    </xf>
    <xf numFmtId="0" fontId="4" fillId="18" borderId="12" xfId="0" applyFont="1" applyFill="1" applyBorder="1" applyAlignment="1">
      <alignment horizontal="center" vertical="center"/>
    </xf>
    <xf numFmtId="0" fontId="4" fillId="18" borderId="13" xfId="0" applyFont="1" applyFill="1" applyBorder="1" applyAlignment="1">
      <alignment horizontal="center" vertical="center"/>
    </xf>
    <xf numFmtId="0" fontId="0" fillId="13" borderId="0" xfId="0" applyFill="1" applyAlignment="1">
      <alignment horizontal="left" vertical="top" wrapText="1"/>
    </xf>
    <xf numFmtId="0" fontId="78" fillId="21" borderId="7" xfId="0" applyFont="1" applyFill="1" applyBorder="1" applyAlignment="1">
      <alignment horizontal="left"/>
    </xf>
    <xf numFmtId="0" fontId="42" fillId="13" borderId="7" xfId="0" applyFont="1" applyFill="1" applyBorder="1" applyAlignment="1">
      <alignment horizontal="left" vertical="top" wrapText="1"/>
    </xf>
    <xf numFmtId="0" fontId="32" fillId="13" borderId="7" xfId="0" applyFont="1" applyFill="1" applyBorder="1" applyAlignment="1">
      <alignment horizontal="left" vertical="top" wrapText="1"/>
    </xf>
    <xf numFmtId="0" fontId="2" fillId="13" borderId="7" xfId="0" applyFont="1" applyFill="1" applyBorder="1" applyAlignment="1">
      <alignment horizontal="left" vertical="center"/>
    </xf>
    <xf numFmtId="0" fontId="2" fillId="18" borderId="7" xfId="0" applyFont="1" applyFill="1" applyBorder="1" applyAlignment="1">
      <alignment horizontal="left" vertical="top" wrapText="1" indent="1"/>
    </xf>
    <xf numFmtId="0" fontId="0" fillId="18" borderId="7" xfId="0" applyFill="1" applyBorder="1" applyAlignment="1">
      <alignment horizontal="left" vertical="top" wrapText="1" indent="1"/>
    </xf>
    <xf numFmtId="0" fontId="4" fillId="13" borderId="0" xfId="0" applyFont="1" applyFill="1" applyAlignment="1">
      <alignment horizontal="left" vertical="top" wrapText="1"/>
    </xf>
    <xf numFmtId="0" fontId="4" fillId="13" borderId="22" xfId="0" applyFont="1" applyFill="1" applyBorder="1" applyAlignment="1">
      <alignment horizontal="left" vertical="top" wrapText="1"/>
    </xf>
    <xf numFmtId="0" fontId="7" fillId="13" borderId="7" xfId="0" applyFont="1" applyFill="1" applyBorder="1" applyAlignment="1">
      <alignment horizontal="left" vertical="top" wrapText="1"/>
    </xf>
    <xf numFmtId="0" fontId="4" fillId="13" borderId="7" xfId="0" applyFont="1" applyFill="1" applyBorder="1" applyAlignment="1">
      <alignment horizontal="left" vertical="top" wrapText="1"/>
    </xf>
    <xf numFmtId="0" fontId="8" fillId="13" borderId="0" xfId="14" applyFill="1" applyAlignment="1" applyProtection="1">
      <alignment horizontal="left"/>
    </xf>
    <xf numFmtId="0" fontId="90" fillId="13" borderId="12" xfId="0" applyFont="1" applyFill="1" applyBorder="1" applyAlignment="1">
      <alignment vertical="top" wrapText="1"/>
    </xf>
    <xf numFmtId="0" fontId="42" fillId="13" borderId="12" xfId="0" applyFont="1" applyFill="1" applyBorder="1" applyAlignment="1">
      <alignment vertical="top" wrapText="1"/>
    </xf>
    <xf numFmtId="0" fontId="32" fillId="13" borderId="12" xfId="0" applyFont="1" applyFill="1" applyBorder="1" applyAlignment="1">
      <alignment vertical="top" wrapText="1"/>
    </xf>
    <xf numFmtId="0" fontId="32" fillId="13" borderId="13" xfId="0" applyFont="1" applyFill="1" applyBorder="1" applyAlignment="1">
      <alignment vertical="top" wrapText="1"/>
    </xf>
    <xf numFmtId="0" fontId="2" fillId="13" borderId="7" xfId="0" applyFont="1" applyFill="1" applyBorder="1" applyAlignment="1">
      <alignment wrapText="1"/>
    </xf>
    <xf numFmtId="0" fontId="0" fillId="13" borderId="12" xfId="0" applyFill="1" applyBorder="1" applyAlignment="1">
      <alignment vertical="top" wrapText="1"/>
    </xf>
    <xf numFmtId="0" fontId="0" fillId="13" borderId="13" xfId="0" applyFill="1" applyBorder="1" applyAlignment="1">
      <alignment vertical="top" wrapText="1"/>
    </xf>
    <xf numFmtId="0" fontId="6" fillId="24" borderId="37" xfId="0" applyFont="1" applyFill="1" applyBorder="1" applyAlignment="1" applyProtection="1">
      <alignment horizontal="left" vertical="top" wrapText="1"/>
      <protection locked="0"/>
    </xf>
    <xf numFmtId="0" fontId="6" fillId="24" borderId="72" xfId="0" applyFont="1" applyFill="1" applyBorder="1" applyAlignment="1" applyProtection="1">
      <alignment horizontal="left" vertical="top" wrapText="1"/>
      <protection locked="0"/>
    </xf>
    <xf numFmtId="0" fontId="6" fillId="24" borderId="38" xfId="0" applyFont="1" applyFill="1" applyBorder="1" applyAlignment="1" applyProtection="1">
      <alignment horizontal="left" vertical="top" wrapText="1"/>
      <protection locked="0"/>
    </xf>
    <xf numFmtId="0" fontId="2" fillId="18" borderId="21" xfId="0" applyFont="1" applyFill="1" applyBorder="1" applyAlignment="1">
      <alignment horizontal="left"/>
    </xf>
    <xf numFmtId="0" fontId="2" fillId="18" borderId="0" xfId="0" applyFont="1" applyFill="1" applyAlignment="1">
      <alignment horizontal="left"/>
    </xf>
    <xf numFmtId="0" fontId="81" fillId="13" borderId="0" xfId="0" applyFont="1" applyFill="1" applyAlignment="1">
      <alignment horizontal="left" vertical="top" wrapText="1"/>
    </xf>
    <xf numFmtId="0" fontId="6" fillId="14" borderId="11" xfId="0" applyFont="1" applyFill="1" applyBorder="1" applyAlignment="1" applyProtection="1">
      <alignment horizontal="left" vertical="top" wrapText="1"/>
      <protection locked="0"/>
    </xf>
    <xf numFmtId="0" fontId="103" fillId="13" borderId="0" xfId="14" applyFont="1" applyFill="1" applyBorder="1" applyAlignment="1" applyProtection="1">
      <alignment horizontal="left" vertical="top" wrapText="1"/>
    </xf>
    <xf numFmtId="0" fontId="5" fillId="13" borderId="0" xfId="0" applyFont="1" applyFill="1" applyAlignment="1">
      <alignment horizontal="left" vertical="center"/>
    </xf>
    <xf numFmtId="0" fontId="4" fillId="13" borderId="0" xfId="0" applyFont="1" applyFill="1" applyAlignment="1">
      <alignment horizontal="left"/>
    </xf>
    <xf numFmtId="0" fontId="4" fillId="13" borderId="0" xfId="0" applyFont="1" applyFill="1" applyAlignment="1">
      <alignment vertical="top" wrapText="1"/>
    </xf>
    <xf numFmtId="0" fontId="25" fillId="13" borderId="0" xfId="0" applyFont="1" applyFill="1" applyAlignment="1">
      <alignment vertical="top" wrapText="1"/>
    </xf>
    <xf numFmtId="0" fontId="0" fillId="24" borderId="7" xfId="0" applyFill="1" applyBorder="1" applyAlignment="1" applyProtection="1">
      <alignment horizontal="left" vertical="center" wrapText="1"/>
      <protection locked="0"/>
    </xf>
    <xf numFmtId="0" fontId="4" fillId="29" borderId="0" xfId="0" applyFont="1" applyFill="1" applyAlignment="1">
      <alignment horizontal="left" vertical="top" wrapText="1"/>
    </xf>
    <xf numFmtId="0" fontId="6" fillId="13" borderId="11" xfId="0" applyFont="1" applyFill="1" applyBorder="1" applyAlignment="1">
      <alignment vertical="top" wrapText="1"/>
    </xf>
    <xf numFmtId="0" fontId="6" fillId="13" borderId="13" xfId="0" applyFont="1" applyFill="1" applyBorder="1" applyAlignment="1">
      <alignment vertical="top" wrapText="1"/>
    </xf>
    <xf numFmtId="0" fontId="6" fillId="13" borderId="37" xfId="0" applyFont="1" applyFill="1" applyBorder="1" applyAlignment="1">
      <alignment vertical="top" wrapText="1"/>
    </xf>
    <xf numFmtId="0" fontId="6" fillId="13" borderId="38" xfId="0" applyFont="1" applyFill="1" applyBorder="1" applyAlignment="1">
      <alignment vertical="top" wrapText="1"/>
    </xf>
    <xf numFmtId="0" fontId="6" fillId="24" borderId="37" xfId="0" applyFont="1" applyFill="1" applyBorder="1" applyAlignment="1" applyProtection="1">
      <alignment vertical="top" wrapText="1"/>
      <protection locked="0"/>
    </xf>
    <xf numFmtId="0" fontId="0" fillId="24" borderId="72" xfId="0" applyFill="1" applyBorder="1" applyAlignment="1" applyProtection="1">
      <alignment vertical="top" wrapText="1"/>
      <protection locked="0"/>
    </xf>
    <xf numFmtId="0" fontId="0" fillId="24" borderId="38" xfId="0" applyFill="1" applyBorder="1" applyAlignment="1" applyProtection="1">
      <alignment vertical="top" wrapText="1"/>
      <protection locked="0"/>
    </xf>
    <xf numFmtId="0" fontId="6" fillId="24" borderId="21" xfId="0" applyFont="1" applyFill="1" applyBorder="1" applyAlignment="1" applyProtection="1">
      <alignment vertical="top" wrapText="1"/>
      <protection locked="0"/>
    </xf>
    <xf numFmtId="0" fontId="0" fillId="24" borderId="0" xfId="0" applyFill="1" applyAlignment="1" applyProtection="1">
      <alignment vertical="top" wrapText="1"/>
      <protection locked="0"/>
    </xf>
    <xf numFmtId="0" fontId="0" fillId="24" borderId="22" xfId="0" applyFill="1" applyBorder="1" applyAlignment="1" applyProtection="1">
      <alignment vertical="top" wrapText="1"/>
      <protection locked="0"/>
    </xf>
    <xf numFmtId="0" fontId="6" fillId="24" borderId="23" xfId="0" applyFont="1" applyFill="1" applyBorder="1" applyAlignment="1" applyProtection="1">
      <alignment vertical="top" wrapText="1"/>
      <protection locked="0"/>
    </xf>
    <xf numFmtId="0" fontId="0" fillId="24" borderId="15" xfId="0" applyFill="1" applyBorder="1" applyAlignment="1" applyProtection="1">
      <alignment vertical="top" wrapText="1"/>
      <protection locked="0"/>
    </xf>
    <xf numFmtId="0" fontId="0" fillId="24" borderId="24" xfId="0" applyFill="1" applyBorder="1" applyAlignment="1" applyProtection="1">
      <alignment vertical="top" wrapText="1"/>
      <protection locked="0"/>
    </xf>
    <xf numFmtId="0" fontId="7" fillId="13" borderId="11" xfId="0" applyFont="1" applyFill="1" applyBorder="1" applyAlignment="1">
      <alignment horizontal="center" vertical="top" wrapText="1"/>
    </xf>
    <xf numFmtId="0" fontId="7" fillId="13" borderId="12" xfId="0" applyFont="1" applyFill="1" applyBorder="1" applyAlignment="1">
      <alignment horizontal="center" vertical="top" wrapText="1"/>
    </xf>
    <xf numFmtId="0" fontId="7" fillId="13" borderId="13" xfId="0" applyFont="1" applyFill="1" applyBorder="1" applyAlignment="1">
      <alignment horizontal="center" vertical="top" wrapText="1"/>
    </xf>
    <xf numFmtId="0" fontId="7" fillId="13" borderId="36" xfId="0" applyFont="1" applyFill="1" applyBorder="1" applyAlignment="1">
      <alignment horizontal="center" vertical="top" wrapText="1"/>
    </xf>
    <xf numFmtId="0" fontId="7" fillId="13" borderId="74" xfId="0" applyFont="1" applyFill="1" applyBorder="1" applyAlignment="1">
      <alignment horizontal="center" vertical="top" wrapText="1"/>
    </xf>
    <xf numFmtId="0" fontId="7" fillId="13" borderId="37" xfId="0" applyFont="1" applyFill="1" applyBorder="1" applyAlignment="1">
      <alignment horizontal="left" vertical="top" wrapText="1"/>
    </xf>
    <xf numFmtId="0" fontId="7" fillId="13" borderId="38" xfId="0" applyFont="1" applyFill="1" applyBorder="1" applyAlignment="1">
      <alignment horizontal="left" vertical="top" wrapText="1"/>
    </xf>
    <xf numFmtId="0" fontId="7" fillId="13" borderId="23" xfId="0" applyFont="1" applyFill="1" applyBorder="1" applyAlignment="1">
      <alignment horizontal="left" vertical="top" wrapText="1"/>
    </xf>
    <xf numFmtId="0" fontId="7" fillId="13" borderId="24" xfId="0" applyFont="1" applyFill="1" applyBorder="1" applyAlignment="1">
      <alignment horizontal="left" vertical="top" wrapText="1"/>
    </xf>
    <xf numFmtId="0" fontId="6" fillId="24" borderId="13" xfId="0" applyFont="1" applyFill="1" applyBorder="1" applyAlignment="1" applyProtection="1">
      <alignment horizontal="left" vertical="top" wrapText="1"/>
      <protection locked="0"/>
    </xf>
    <xf numFmtId="0" fontId="6" fillId="24" borderId="37" xfId="0" applyFont="1" applyFill="1" applyBorder="1" applyAlignment="1" applyProtection="1">
      <alignment horizontal="left" vertical="center" wrapText="1"/>
      <protection locked="0"/>
    </xf>
    <xf numFmtId="0" fontId="6" fillId="24" borderId="38" xfId="0" applyFont="1" applyFill="1" applyBorder="1" applyAlignment="1" applyProtection="1">
      <alignment horizontal="left" vertical="center" wrapText="1"/>
      <protection locked="0"/>
    </xf>
    <xf numFmtId="0" fontId="6" fillId="24" borderId="23" xfId="0" applyFont="1" applyFill="1" applyBorder="1" applyAlignment="1" applyProtection="1">
      <alignment horizontal="left" vertical="center" wrapText="1"/>
      <protection locked="0"/>
    </xf>
    <xf numFmtId="0" fontId="6" fillId="24" borderId="24" xfId="0" applyFont="1" applyFill="1" applyBorder="1" applyAlignment="1" applyProtection="1">
      <alignment horizontal="left" vertical="center" wrapText="1"/>
      <protection locked="0"/>
    </xf>
    <xf numFmtId="0" fontId="42" fillId="13" borderId="23" xfId="0" applyFont="1" applyFill="1" applyBorder="1" applyAlignment="1">
      <alignment vertical="top" wrapText="1"/>
    </xf>
    <xf numFmtId="0" fontId="32" fillId="13" borderId="15" xfId="0" applyFont="1" applyFill="1" applyBorder="1" applyAlignment="1">
      <alignment vertical="top" wrapText="1"/>
    </xf>
    <xf numFmtId="0" fontId="32" fillId="13" borderId="24" xfId="0" applyFont="1" applyFill="1" applyBorder="1" applyAlignment="1">
      <alignment vertical="top" wrapText="1"/>
    </xf>
    <xf numFmtId="49" fontId="6" fillId="24" borderId="37" xfId="0" applyNumberFormat="1" applyFont="1" applyFill="1" applyBorder="1" applyAlignment="1" applyProtection="1">
      <alignment horizontal="left" vertical="top" wrapText="1"/>
      <protection locked="0"/>
    </xf>
    <xf numFmtId="49" fontId="6" fillId="24" borderId="72" xfId="0" applyNumberFormat="1" applyFont="1" applyFill="1" applyBorder="1" applyAlignment="1" applyProtection="1">
      <alignment horizontal="left" vertical="top" wrapText="1"/>
      <protection locked="0"/>
    </xf>
    <xf numFmtId="49" fontId="6" fillId="24" borderId="38" xfId="0" applyNumberFormat="1" applyFont="1" applyFill="1" applyBorder="1" applyAlignment="1" applyProtection="1">
      <alignment horizontal="left" vertical="top" wrapText="1"/>
      <protection locked="0"/>
    </xf>
    <xf numFmtId="49" fontId="6" fillId="24" borderId="21" xfId="0" applyNumberFormat="1" applyFont="1" applyFill="1" applyBorder="1" applyAlignment="1" applyProtection="1">
      <alignment horizontal="left" vertical="top" wrapText="1"/>
      <protection locked="0"/>
    </xf>
    <xf numFmtId="49" fontId="6" fillId="24" borderId="0" xfId="0" applyNumberFormat="1" applyFont="1" applyFill="1" applyAlignment="1" applyProtection="1">
      <alignment horizontal="left" vertical="top" wrapText="1"/>
      <protection locked="0"/>
    </xf>
    <xf numFmtId="49" fontId="6" fillId="24" borderId="22" xfId="0" applyNumberFormat="1" applyFont="1" applyFill="1" applyBorder="1" applyAlignment="1" applyProtection="1">
      <alignment horizontal="left" vertical="top" wrapText="1"/>
      <protection locked="0"/>
    </xf>
    <xf numFmtId="0" fontId="6" fillId="13" borderId="21" xfId="0" applyFont="1" applyFill="1" applyBorder="1" applyAlignment="1">
      <alignment vertical="top" wrapText="1"/>
    </xf>
    <xf numFmtId="0" fontId="6" fillId="13" borderId="0" xfId="0" applyFont="1" applyFill="1" applyAlignment="1">
      <alignment vertical="top" wrapText="1"/>
    </xf>
    <xf numFmtId="0" fontId="6" fillId="13" borderId="22" xfId="0" applyFont="1" applyFill="1" applyBorder="1" applyAlignment="1">
      <alignment vertical="top" wrapText="1"/>
    </xf>
    <xf numFmtId="0" fontId="6" fillId="13" borderId="72" xfId="0" applyFont="1" applyFill="1" applyBorder="1" applyAlignment="1">
      <alignment vertical="top" wrapText="1"/>
    </xf>
    <xf numFmtId="0" fontId="4" fillId="13" borderId="0" xfId="0" applyFont="1" applyFill="1" applyAlignment="1">
      <alignment vertical="center" wrapText="1"/>
    </xf>
    <xf numFmtId="0" fontId="90" fillId="13" borderId="0" xfId="0" applyFont="1" applyFill="1" applyAlignment="1">
      <alignment vertical="center" wrapText="1"/>
    </xf>
    <xf numFmtId="0" fontId="6" fillId="24" borderId="36" xfId="0" applyFont="1" applyFill="1" applyBorder="1" applyAlignment="1" applyProtection="1">
      <alignment horizontal="center" vertical="center" wrapText="1"/>
      <protection locked="0"/>
    </xf>
    <xf numFmtId="0" fontId="6" fillId="24" borderId="74" xfId="0" applyFont="1" applyFill="1" applyBorder="1" applyAlignment="1" applyProtection="1">
      <alignment horizontal="center" vertical="center" wrapText="1"/>
      <protection locked="0"/>
    </xf>
    <xf numFmtId="0" fontId="42" fillId="13" borderId="36" xfId="0" applyFont="1" applyFill="1" applyBorder="1" applyAlignment="1">
      <alignment horizontal="center" vertical="center" wrapText="1"/>
    </xf>
    <xf numFmtId="0" fontId="42" fillId="13" borderId="74" xfId="0" applyFont="1" applyFill="1" applyBorder="1" applyAlignment="1">
      <alignment horizontal="center" vertical="center" wrapText="1"/>
    </xf>
    <xf numFmtId="0" fontId="32" fillId="13" borderId="0" xfId="0" applyFont="1" applyFill="1" applyAlignment="1">
      <alignment horizontal="left" vertical="top" wrapText="1"/>
    </xf>
    <xf numFmtId="49" fontId="6" fillId="24" borderId="23" xfId="0" applyNumberFormat="1" applyFont="1" applyFill="1" applyBorder="1" applyAlignment="1" applyProtection="1">
      <alignment horizontal="left" vertical="top" wrapText="1"/>
      <protection locked="0"/>
    </xf>
    <xf numFmtId="49" fontId="6" fillId="24" borderId="15" xfId="0" applyNumberFormat="1" applyFont="1" applyFill="1" applyBorder="1" applyAlignment="1" applyProtection="1">
      <alignment horizontal="left" vertical="top" wrapText="1"/>
      <protection locked="0"/>
    </xf>
    <xf numFmtId="49" fontId="6" fillId="24" borderId="24" xfId="0" applyNumberFormat="1" applyFont="1" applyFill="1" applyBorder="1" applyAlignment="1" applyProtection="1">
      <alignment horizontal="left" vertical="top" wrapText="1"/>
      <protection locked="0"/>
    </xf>
    <xf numFmtId="0" fontId="33" fillId="18" borderId="29" xfId="0" applyFont="1" applyFill="1" applyBorder="1" applyAlignment="1">
      <alignment horizontal="center" vertical="center"/>
    </xf>
    <xf numFmtId="0" fontId="33" fillId="18" borderId="30" xfId="0" applyFont="1" applyFill="1" applyBorder="1" applyAlignment="1">
      <alignment horizontal="center" vertical="center"/>
    </xf>
    <xf numFmtId="0" fontId="33" fillId="18" borderId="31" xfId="0" applyFont="1" applyFill="1" applyBorder="1" applyAlignment="1">
      <alignment horizontal="center" vertical="center"/>
    </xf>
    <xf numFmtId="0" fontId="76" fillId="13" borderId="0" xfId="0" applyFont="1" applyFill="1" applyAlignment="1">
      <alignment vertical="top" wrapText="1"/>
    </xf>
    <xf numFmtId="0" fontId="0" fillId="0" borderId="0" xfId="0" applyAlignment="1">
      <alignment vertical="top" wrapText="1"/>
    </xf>
    <xf numFmtId="0" fontId="0" fillId="0" borderId="22" xfId="0" applyBorder="1" applyAlignment="1">
      <alignment vertical="top" wrapText="1"/>
    </xf>
    <xf numFmtId="0" fontId="32" fillId="13" borderId="11" xfId="0" applyFont="1" applyFill="1" applyBorder="1" applyAlignment="1">
      <alignment horizontal="left" vertical="top" wrapText="1"/>
    </xf>
    <xf numFmtId="0" fontId="32" fillId="13" borderId="13" xfId="0" applyFont="1" applyFill="1" applyBorder="1" applyAlignment="1">
      <alignment horizontal="left" vertical="top" wrapText="1"/>
    </xf>
    <xf numFmtId="0" fontId="32" fillId="13" borderId="12" xfId="0" applyFont="1" applyFill="1" applyBorder="1" applyAlignment="1">
      <alignment horizontal="left" vertical="top" wrapText="1"/>
    </xf>
    <xf numFmtId="0" fontId="0" fillId="16" borderId="11" xfId="0" applyFill="1" applyBorder="1" applyAlignment="1">
      <alignment horizontal="center" vertical="center"/>
    </xf>
    <xf numFmtId="0" fontId="0" fillId="16" borderId="7" xfId="0" applyFill="1" applyBorder="1" applyAlignment="1">
      <alignment horizontal="center" vertical="center"/>
    </xf>
    <xf numFmtId="0" fontId="42" fillId="13" borderId="37" xfId="0" applyFont="1" applyFill="1" applyBorder="1" applyAlignment="1">
      <alignment vertical="top" wrapText="1"/>
    </xf>
    <xf numFmtId="0" fontId="32" fillId="13" borderId="72" xfId="0" applyFont="1" applyFill="1" applyBorder="1" applyAlignment="1">
      <alignment vertical="top" wrapText="1"/>
    </xf>
    <xf numFmtId="0" fontId="32" fillId="13" borderId="38" xfId="0" applyFont="1" applyFill="1" applyBorder="1" applyAlignment="1">
      <alignment vertical="top" wrapText="1"/>
    </xf>
    <xf numFmtId="0" fontId="42" fillId="13" borderId="21" xfId="0" applyFont="1" applyFill="1" applyBorder="1" applyAlignment="1">
      <alignment vertical="top" wrapText="1"/>
    </xf>
    <xf numFmtId="0" fontId="32" fillId="13" borderId="22" xfId="0" applyFont="1" applyFill="1" applyBorder="1" applyAlignment="1">
      <alignment vertical="top" wrapText="1"/>
    </xf>
    <xf numFmtId="0" fontId="4" fillId="13" borderId="37" xfId="0" applyFont="1" applyFill="1" applyBorder="1" applyAlignment="1">
      <alignment horizontal="center" vertical="center" wrapText="1"/>
    </xf>
    <xf numFmtId="0" fontId="4" fillId="13" borderId="72" xfId="0" applyFont="1" applyFill="1" applyBorder="1" applyAlignment="1">
      <alignment horizontal="center" vertical="center" wrapText="1"/>
    </xf>
    <xf numFmtId="0" fontId="90" fillId="13" borderId="38" xfId="0" applyFont="1" applyFill="1" applyBorder="1" applyAlignment="1">
      <alignment vertical="center" wrapText="1"/>
    </xf>
    <xf numFmtId="0" fontId="4" fillId="13" borderId="21" xfId="0" applyFont="1" applyFill="1" applyBorder="1" applyAlignment="1">
      <alignment horizontal="center" vertical="center" wrapText="1"/>
    </xf>
    <xf numFmtId="0" fontId="4" fillId="13" borderId="0" xfId="0" applyFont="1" applyFill="1" applyAlignment="1">
      <alignment horizontal="center" vertical="center" wrapText="1"/>
    </xf>
    <xf numFmtId="0" fontId="90" fillId="13" borderId="22" xfId="0" applyFont="1" applyFill="1" applyBorder="1" applyAlignment="1">
      <alignment vertical="center" wrapText="1"/>
    </xf>
    <xf numFmtId="0" fontId="4" fillId="13" borderId="23" xfId="0" applyFont="1" applyFill="1" applyBorder="1" applyAlignment="1">
      <alignment horizontal="center" vertical="center" wrapText="1"/>
    </xf>
    <xf numFmtId="0" fontId="4" fillId="13" borderId="15" xfId="0" applyFont="1" applyFill="1" applyBorder="1" applyAlignment="1">
      <alignment horizontal="center" vertical="center" wrapText="1"/>
    </xf>
    <xf numFmtId="0" fontId="90" fillId="13" borderId="24" xfId="0" applyFont="1" applyFill="1" applyBorder="1" applyAlignment="1">
      <alignment vertical="center" wrapText="1"/>
    </xf>
    <xf numFmtId="0" fontId="4" fillId="13" borderId="37" xfId="0" applyFont="1" applyFill="1" applyBorder="1" applyAlignment="1">
      <alignment horizontal="center" vertical="center"/>
    </xf>
    <xf numFmtId="0" fontId="4" fillId="13" borderId="72" xfId="0" applyFont="1" applyFill="1" applyBorder="1" applyAlignment="1">
      <alignment horizontal="center" vertical="center"/>
    </xf>
    <xf numFmtId="0" fontId="90" fillId="13" borderId="38" xfId="0" applyFont="1" applyFill="1" applyBorder="1"/>
    <xf numFmtId="0" fontId="4" fillId="13" borderId="21" xfId="0" applyFont="1" applyFill="1" applyBorder="1" applyAlignment="1">
      <alignment horizontal="center" vertical="center"/>
    </xf>
    <xf numFmtId="0" fontId="4" fillId="13" borderId="0" xfId="0" applyFont="1" applyFill="1" applyAlignment="1">
      <alignment horizontal="center" vertical="center"/>
    </xf>
    <xf numFmtId="0" fontId="4" fillId="13" borderId="23" xfId="0" applyFont="1" applyFill="1" applyBorder="1" applyAlignment="1">
      <alignment horizontal="center" vertical="center"/>
    </xf>
    <xf numFmtId="0" fontId="4" fillId="13" borderId="15" xfId="0" applyFont="1" applyFill="1" applyBorder="1" applyAlignment="1">
      <alignment horizontal="center" vertical="center"/>
    </xf>
    <xf numFmtId="0" fontId="90" fillId="13" borderId="24" xfId="0" applyFont="1" applyFill="1" applyBorder="1"/>
    <xf numFmtId="0" fontId="83" fillId="13" borderId="0" xfId="0" applyFont="1" applyFill="1" applyAlignment="1">
      <alignment horizontal="left" vertical="top" wrapText="1"/>
    </xf>
    <xf numFmtId="0" fontId="4" fillId="13" borderId="7" xfId="0" applyFont="1" applyFill="1" applyBorder="1" applyAlignment="1">
      <alignment horizontal="center" vertical="center"/>
    </xf>
    <xf numFmtId="0" fontId="90" fillId="13" borderId="7" xfId="0" applyFont="1" applyFill="1" applyBorder="1"/>
    <xf numFmtId="0" fontId="6" fillId="24" borderId="12" xfId="0" applyFont="1" applyFill="1" applyBorder="1" applyAlignment="1" applyProtection="1">
      <alignment horizontal="left" vertical="top" wrapText="1"/>
      <protection locked="0"/>
    </xf>
    <xf numFmtId="0" fontId="53" fillId="24" borderId="21" xfId="0" applyFont="1" applyFill="1" applyBorder="1" applyAlignment="1" applyProtection="1">
      <alignment vertical="top" wrapText="1"/>
      <protection locked="0"/>
    </xf>
    <xf numFmtId="0" fontId="53" fillId="24" borderId="23" xfId="0" applyFont="1" applyFill="1" applyBorder="1" applyAlignment="1" applyProtection="1">
      <alignment vertical="top" wrapText="1"/>
      <protection locked="0"/>
    </xf>
    <xf numFmtId="0" fontId="2" fillId="13" borderId="7" xfId="0" applyFont="1" applyFill="1" applyBorder="1" applyAlignment="1">
      <alignment horizontal="left" vertical="top"/>
    </xf>
    <xf numFmtId="0" fontId="51" fillId="13" borderId="0" xfId="0" applyFont="1" applyFill="1" applyAlignment="1">
      <alignment horizontal="left" vertical="center" wrapText="1"/>
    </xf>
    <xf numFmtId="0" fontId="53" fillId="18" borderId="11" xfId="0" applyFont="1" applyFill="1" applyBorder="1" applyAlignment="1">
      <alignment horizontal="left" vertical="top"/>
    </xf>
    <xf numFmtId="0" fontId="53" fillId="18" borderId="12" xfId="0" applyFont="1" applyFill="1" applyBorder="1" applyAlignment="1">
      <alignment horizontal="left" vertical="top"/>
    </xf>
    <xf numFmtId="0" fontId="53" fillId="18" borderId="13" xfId="0" applyFont="1" applyFill="1" applyBorder="1" applyAlignment="1">
      <alignment horizontal="left" vertical="top"/>
    </xf>
    <xf numFmtId="0" fontId="4" fillId="13" borderId="7" xfId="0" applyFont="1" applyFill="1" applyBorder="1" applyAlignment="1">
      <alignment horizontal="left" vertical="top"/>
    </xf>
    <xf numFmtId="0" fontId="53" fillId="24" borderId="37" xfId="0" applyFont="1" applyFill="1" applyBorder="1" applyAlignment="1" applyProtection="1">
      <alignment vertical="top" wrapText="1"/>
      <protection locked="0"/>
    </xf>
    <xf numFmtId="0" fontId="4" fillId="13" borderId="11" xfId="0" applyFont="1" applyFill="1" applyBorder="1" applyAlignment="1">
      <alignment horizontal="left" vertical="top"/>
    </xf>
    <xf numFmtId="0" fontId="4" fillId="13" borderId="12" xfId="0" applyFont="1" applyFill="1" applyBorder="1" applyAlignment="1">
      <alignment horizontal="left" vertical="top"/>
    </xf>
    <xf numFmtId="0" fontId="4" fillId="13" borderId="13" xfId="0" applyFont="1" applyFill="1" applyBorder="1" applyAlignment="1">
      <alignment horizontal="left" vertical="top"/>
    </xf>
    <xf numFmtId="0" fontId="2" fillId="13" borderId="0" xfId="0" applyFont="1" applyFill="1" applyAlignment="1">
      <alignment horizontal="left" vertical="top"/>
    </xf>
    <xf numFmtId="0" fontId="2" fillId="13" borderId="22" xfId="0" applyFont="1" applyFill="1" applyBorder="1" applyAlignment="1">
      <alignment horizontal="left" vertical="top"/>
    </xf>
    <xf numFmtId="0" fontId="2" fillId="24" borderId="37" xfId="0" applyFont="1" applyFill="1" applyBorder="1" applyAlignment="1" applyProtection="1">
      <alignment horizontal="left" vertical="top"/>
      <protection locked="0"/>
    </xf>
    <xf numFmtId="0" fontId="53" fillId="24" borderId="72" xfId="0" applyFont="1" applyFill="1" applyBorder="1" applyAlignment="1" applyProtection="1">
      <alignment horizontal="left" vertical="top"/>
      <protection locked="0"/>
    </xf>
    <xf numFmtId="0" fontId="53" fillId="24" borderId="38" xfId="0" applyFont="1" applyFill="1" applyBorder="1" applyAlignment="1" applyProtection="1">
      <alignment horizontal="left" vertical="top"/>
      <protection locked="0"/>
    </xf>
    <xf numFmtId="0" fontId="53" fillId="24" borderId="21" xfId="0" applyFont="1" applyFill="1" applyBorder="1" applyAlignment="1" applyProtection="1">
      <alignment horizontal="left" vertical="top" wrapText="1"/>
      <protection locked="0"/>
    </xf>
    <xf numFmtId="0" fontId="53" fillId="24" borderId="0" xfId="0" applyFont="1" applyFill="1" applyAlignment="1" applyProtection="1">
      <alignment horizontal="left" vertical="top" wrapText="1"/>
      <protection locked="0"/>
    </xf>
    <xf numFmtId="0" fontId="53" fillId="24" borderId="22" xfId="0" applyFont="1" applyFill="1" applyBorder="1" applyAlignment="1" applyProtection="1">
      <alignment horizontal="left" vertical="top" wrapText="1"/>
      <protection locked="0"/>
    </xf>
    <xf numFmtId="0" fontId="53" fillId="24" borderId="23" xfId="0" applyFont="1" applyFill="1" applyBorder="1" applyAlignment="1" applyProtection="1">
      <alignment horizontal="left" vertical="top" wrapText="1"/>
      <protection locked="0"/>
    </xf>
    <xf numFmtId="0" fontId="53" fillId="24" borderId="15" xfId="0" applyFont="1" applyFill="1" applyBorder="1" applyAlignment="1" applyProtection="1">
      <alignment horizontal="left" vertical="top" wrapText="1"/>
      <protection locked="0"/>
    </xf>
    <xf numFmtId="0" fontId="53" fillId="24" borderId="24" xfId="0" applyFont="1" applyFill="1" applyBorder="1" applyAlignment="1" applyProtection="1">
      <alignment horizontal="left" vertical="top" wrapText="1"/>
      <protection locked="0"/>
    </xf>
    <xf numFmtId="0" fontId="53" fillId="24" borderId="11" xfId="0" applyFont="1" applyFill="1" applyBorder="1" applyAlignment="1" applyProtection="1">
      <alignment horizontal="left" vertical="top"/>
      <protection locked="0"/>
    </xf>
    <xf numFmtId="0" fontId="53" fillId="24" borderId="13" xfId="0" applyFont="1" applyFill="1" applyBorder="1" applyAlignment="1" applyProtection="1">
      <alignment horizontal="left" vertical="top"/>
      <protection locked="0"/>
    </xf>
    <xf numFmtId="0" fontId="2" fillId="18" borderId="7" xfId="0" applyFont="1" applyFill="1" applyBorder="1" applyAlignment="1">
      <alignment horizontal="left" vertical="top"/>
    </xf>
    <xf numFmtId="0" fontId="53" fillId="18" borderId="11" xfId="0" applyFont="1" applyFill="1" applyBorder="1" applyAlignment="1">
      <alignment horizontal="left" vertical="center" wrapText="1" indent="1"/>
    </xf>
    <xf numFmtId="0" fontId="53" fillId="18" borderId="12" xfId="0" applyFont="1" applyFill="1" applyBorder="1" applyAlignment="1">
      <alignment horizontal="left" vertical="center" wrapText="1" indent="1"/>
    </xf>
    <xf numFmtId="0" fontId="53" fillId="18" borderId="13" xfId="0" applyFont="1" applyFill="1" applyBorder="1" applyAlignment="1">
      <alignment horizontal="left" vertical="center" wrapText="1" indent="1"/>
    </xf>
    <xf numFmtId="0" fontId="51" fillId="13" borderId="22" xfId="0" applyFont="1" applyFill="1" applyBorder="1" applyAlignment="1">
      <alignment horizontal="left" vertical="center" wrapText="1"/>
    </xf>
    <xf numFmtId="0" fontId="52" fillId="18" borderId="7" xfId="0" applyFont="1" applyFill="1" applyBorder="1" applyAlignment="1">
      <alignment horizontal="left" vertical="center" wrapText="1"/>
    </xf>
    <xf numFmtId="0" fontId="52" fillId="18" borderId="11" xfId="0" applyFont="1" applyFill="1" applyBorder="1" applyAlignment="1">
      <alignment horizontal="left" vertical="center" wrapText="1"/>
    </xf>
    <xf numFmtId="0" fontId="4" fillId="18" borderId="61" xfId="0" applyFont="1" applyFill="1" applyBorder="1" applyAlignment="1">
      <alignment horizontal="center" vertical="center"/>
    </xf>
    <xf numFmtId="0" fontId="4" fillId="18" borderId="63" xfId="0" applyFont="1" applyFill="1" applyBorder="1" applyAlignment="1">
      <alignment horizontal="center" vertical="center"/>
    </xf>
    <xf numFmtId="0" fontId="0" fillId="18" borderId="11" xfId="0" applyFill="1" applyBorder="1" applyAlignment="1">
      <alignment horizontal="left"/>
    </xf>
    <xf numFmtId="0" fontId="0" fillId="18" borderId="12" xfId="0" applyFill="1" applyBorder="1" applyAlignment="1">
      <alignment horizontal="left"/>
    </xf>
    <xf numFmtId="0" fontId="0" fillId="18" borderId="13" xfId="0" applyFill="1" applyBorder="1" applyAlignment="1">
      <alignment horizontal="left"/>
    </xf>
    <xf numFmtId="0" fontId="67" fillId="13" borderId="70" xfId="0" quotePrefix="1" applyFont="1" applyFill="1" applyBorder="1" applyAlignment="1">
      <alignment horizontal="right" vertical="top" wrapText="1"/>
    </xf>
    <xf numFmtId="0" fontId="67" fillId="13" borderId="0" xfId="0" quotePrefix="1" applyFont="1" applyFill="1" applyAlignment="1">
      <alignment horizontal="right" vertical="top" wrapText="1"/>
    </xf>
    <xf numFmtId="0" fontId="67" fillId="13" borderId="58" xfId="0" quotePrefix="1" applyFont="1" applyFill="1" applyBorder="1" applyAlignment="1">
      <alignment horizontal="right" vertical="top" wrapText="1"/>
    </xf>
    <xf numFmtId="0" fontId="5" fillId="13" borderId="58" xfId="0" applyFont="1" applyFill="1" applyBorder="1" applyAlignment="1">
      <alignment horizontal="left" vertical="top" wrapText="1"/>
    </xf>
    <xf numFmtId="0" fontId="5" fillId="13" borderId="59" xfId="0" applyFont="1" applyFill="1" applyBorder="1" applyAlignment="1">
      <alignment horizontal="left" vertical="top" wrapText="1"/>
    </xf>
    <xf numFmtId="0" fontId="5" fillId="13" borderId="70" xfId="0" applyFont="1" applyFill="1" applyBorder="1" applyAlignment="1">
      <alignment horizontal="left" vertical="top" wrapText="1"/>
    </xf>
    <xf numFmtId="0" fontId="0" fillId="0" borderId="0" xfId="0" applyAlignment="1">
      <alignment horizontal="right" vertical="top" wrapText="1"/>
    </xf>
    <xf numFmtId="0" fontId="0" fillId="0" borderId="58" xfId="0" applyBorder="1" applyAlignment="1">
      <alignment horizontal="right" vertical="top" wrapText="1"/>
    </xf>
    <xf numFmtId="0" fontId="32" fillId="26" borderId="11" xfId="0" applyFont="1" applyFill="1" applyBorder="1" applyAlignment="1">
      <alignment horizontal="left" vertical="top"/>
    </xf>
    <xf numFmtId="0" fontId="32" fillId="26" borderId="13" xfId="0" applyFont="1" applyFill="1" applyBorder="1" applyAlignment="1">
      <alignment horizontal="left" vertical="top"/>
    </xf>
    <xf numFmtId="0" fontId="32" fillId="13" borderId="11" xfId="0" applyFont="1" applyFill="1" applyBorder="1" applyAlignment="1">
      <alignment horizontal="left" vertical="top"/>
    </xf>
    <xf numFmtId="0" fontId="32" fillId="13" borderId="13" xfId="0" applyFont="1" applyFill="1" applyBorder="1" applyAlignment="1">
      <alignment horizontal="left" vertical="top"/>
    </xf>
    <xf numFmtId="0" fontId="32" fillId="13" borderId="11" xfId="0" applyFont="1" applyFill="1" applyBorder="1" applyAlignment="1">
      <alignment horizontal="left" vertical="center" wrapText="1" indent="1"/>
    </xf>
    <xf numFmtId="0" fontId="32" fillId="13" borderId="12" xfId="0" applyFont="1" applyFill="1" applyBorder="1" applyAlignment="1">
      <alignment horizontal="left" vertical="center" wrapText="1" indent="1"/>
    </xf>
    <xf numFmtId="0" fontId="32" fillId="13" borderId="13" xfId="0" applyFont="1" applyFill="1" applyBorder="1" applyAlignment="1">
      <alignment horizontal="left" vertical="center" wrapText="1" indent="1"/>
    </xf>
    <xf numFmtId="0" fontId="32" fillId="13" borderId="7" xfId="0" applyFont="1" applyFill="1" applyBorder="1" applyAlignment="1">
      <alignment horizontal="left" vertical="top"/>
    </xf>
    <xf numFmtId="0" fontId="82" fillId="13" borderId="7" xfId="0" applyFont="1" applyFill="1" applyBorder="1" applyAlignment="1">
      <alignment horizontal="left" vertical="center" wrapText="1"/>
    </xf>
    <xf numFmtId="0" fontId="82" fillId="13" borderId="11" xfId="0" applyFont="1" applyFill="1" applyBorder="1" applyAlignment="1">
      <alignment horizontal="left" vertical="center" wrapText="1"/>
    </xf>
    <xf numFmtId="0" fontId="32" fillId="13" borderId="11" xfId="0" applyFont="1" applyFill="1" applyBorder="1" applyAlignment="1">
      <alignment horizontal="left"/>
    </xf>
    <xf numFmtId="0" fontId="32" fillId="13" borderId="12" xfId="0" applyFont="1" applyFill="1" applyBorder="1" applyAlignment="1">
      <alignment horizontal="left"/>
    </xf>
    <xf numFmtId="0" fontId="32" fillId="13" borderId="13" xfId="0" applyFont="1" applyFill="1" applyBorder="1" applyAlignment="1">
      <alignment horizontal="left"/>
    </xf>
    <xf numFmtId="0" fontId="32" fillId="26" borderId="12" xfId="0" applyFont="1" applyFill="1" applyBorder="1" applyAlignment="1">
      <alignment horizontal="left" vertical="top"/>
    </xf>
    <xf numFmtId="0" fontId="32" fillId="13" borderId="12" xfId="0" applyFont="1" applyFill="1" applyBorder="1" applyAlignment="1">
      <alignment horizontal="left" vertical="top"/>
    </xf>
    <xf numFmtId="0" fontId="83" fillId="13" borderId="61" xfId="0" applyFont="1" applyFill="1" applyBorder="1" applyAlignment="1">
      <alignment horizontal="center" vertical="center"/>
    </xf>
    <xf numFmtId="0" fontId="83" fillId="13" borderId="63" xfId="0" applyFont="1" applyFill="1" applyBorder="1" applyAlignment="1">
      <alignment horizontal="center" vertical="center"/>
    </xf>
    <xf numFmtId="0" fontId="53" fillId="24" borderId="37" xfId="0" applyFont="1" applyFill="1" applyBorder="1" applyAlignment="1" applyProtection="1">
      <alignment horizontal="left" vertical="top"/>
      <protection locked="0"/>
    </xf>
    <xf numFmtId="0" fontId="4" fillId="13" borderId="22" xfId="0" applyFont="1" applyFill="1" applyBorder="1" applyAlignment="1">
      <alignment horizontal="left" vertical="top"/>
    </xf>
    <xf numFmtId="0" fontId="53" fillId="24" borderId="7" xfId="0" applyFont="1" applyFill="1" applyBorder="1" applyAlignment="1" applyProtection="1">
      <alignment horizontal="left" vertical="top"/>
      <protection locked="0"/>
    </xf>
    <xf numFmtId="0" fontId="6" fillId="13" borderId="11" xfId="0" applyFont="1" applyFill="1" applyBorder="1" applyAlignment="1">
      <alignment horizontal="left" vertical="top" wrapText="1"/>
    </xf>
    <xf numFmtId="0" fontId="2" fillId="13" borderId="13" xfId="0" applyFont="1" applyFill="1" applyBorder="1" applyAlignment="1">
      <alignment horizontal="left" vertical="top" wrapText="1"/>
    </xf>
    <xf numFmtId="0" fontId="6" fillId="13" borderId="37" xfId="0" applyFont="1" applyFill="1" applyBorder="1" applyAlignment="1">
      <alignment horizontal="left" vertical="top" wrapText="1"/>
    </xf>
    <xf numFmtId="0" fontId="2" fillId="13" borderId="38" xfId="0" applyFont="1" applyFill="1" applyBorder="1" applyAlignment="1">
      <alignment horizontal="left" vertical="top" wrapText="1"/>
    </xf>
    <xf numFmtId="0" fontId="32" fillId="13" borderId="61" xfId="0" applyFont="1" applyFill="1" applyBorder="1" applyAlignment="1">
      <alignment horizontal="center" vertical="center"/>
    </xf>
    <xf numFmtId="0" fontId="32" fillId="13" borderId="63" xfId="0" applyFont="1" applyFill="1" applyBorder="1" applyAlignment="1">
      <alignment horizontal="center" vertical="center"/>
    </xf>
    <xf numFmtId="0" fontId="0" fillId="15" borderId="7" xfId="0" applyFill="1" applyBorder="1" applyAlignment="1">
      <alignment horizontal="center" vertical="center"/>
    </xf>
    <xf numFmtId="0" fontId="0" fillId="15" borderId="11" xfId="0" applyFill="1" applyBorder="1" applyAlignment="1">
      <alignment horizontal="center" vertical="center"/>
    </xf>
    <xf numFmtId="0" fontId="7" fillId="13" borderId="7" xfId="0" applyFont="1" applyFill="1" applyBorder="1" applyAlignment="1">
      <alignment horizontal="center" vertical="top" wrapText="1"/>
    </xf>
    <xf numFmtId="0" fontId="90" fillId="13" borderId="7" xfId="0" applyFont="1" applyFill="1" applyBorder="1" applyAlignment="1">
      <alignment horizontal="center" vertical="top" wrapText="1"/>
    </xf>
    <xf numFmtId="0" fontId="90" fillId="13" borderId="74" xfId="0" applyFont="1" applyFill="1" applyBorder="1" applyProtection="1">
      <protection locked="0"/>
    </xf>
    <xf numFmtId="0" fontId="90" fillId="13" borderId="7" xfId="0" applyFont="1" applyFill="1" applyBorder="1" applyAlignment="1" applyProtection="1">
      <alignment wrapText="1"/>
      <protection locked="0"/>
    </xf>
    <xf numFmtId="0" fontId="42" fillId="13" borderId="36" xfId="0" applyFont="1" applyFill="1" applyBorder="1" applyAlignment="1">
      <alignment vertical="top" wrapText="1"/>
    </xf>
    <xf numFmtId="0" fontId="42" fillId="13" borderId="74" xfId="0" applyFont="1" applyFill="1" applyBorder="1" applyAlignment="1">
      <alignment vertical="top" wrapText="1"/>
    </xf>
    <xf numFmtId="0" fontId="32" fillId="13" borderId="7" xfId="0" applyFont="1" applyFill="1" applyBorder="1" applyAlignment="1">
      <alignment wrapText="1"/>
    </xf>
    <xf numFmtId="3" fontId="42" fillId="13" borderId="36" xfId="0" applyNumberFormat="1" applyFont="1" applyFill="1" applyBorder="1" applyAlignment="1">
      <alignment horizontal="center" vertical="center" wrapText="1"/>
    </xf>
    <xf numFmtId="3" fontId="42" fillId="13" borderId="74" xfId="0" applyNumberFormat="1" applyFont="1" applyFill="1" applyBorder="1" applyAlignment="1">
      <alignment horizontal="center" vertical="center" wrapText="1"/>
    </xf>
    <xf numFmtId="3" fontId="32" fillId="13" borderId="74" xfId="0" applyNumberFormat="1" applyFont="1" applyFill="1" applyBorder="1"/>
    <xf numFmtId="0" fontId="32" fillId="13" borderId="74" xfId="0" applyFont="1" applyFill="1" applyBorder="1"/>
    <xf numFmtId="0" fontId="7" fillId="13" borderId="36" xfId="0" applyFont="1" applyFill="1" applyBorder="1" applyAlignment="1">
      <alignment horizontal="left" vertical="top" wrapText="1"/>
    </xf>
    <xf numFmtId="0" fontId="7" fillId="13" borderId="74" xfId="0" applyFont="1" applyFill="1" applyBorder="1" applyAlignment="1">
      <alignment horizontal="left" vertical="top" wrapText="1"/>
    </xf>
    <xf numFmtId="0" fontId="6" fillId="24" borderId="36" xfId="0" applyFont="1" applyFill="1" applyBorder="1" applyAlignment="1" applyProtection="1">
      <alignment vertical="top" wrapText="1"/>
      <protection locked="0"/>
    </xf>
    <xf numFmtId="0" fontId="6" fillId="24" borderId="74" xfId="0" applyFont="1" applyFill="1" applyBorder="1" applyAlignment="1" applyProtection="1">
      <alignment vertical="top" wrapText="1"/>
      <protection locked="0"/>
    </xf>
    <xf numFmtId="0" fontId="42" fillId="13" borderId="7" xfId="0" applyFont="1" applyFill="1" applyBorder="1" applyAlignment="1">
      <alignment horizontal="center" vertical="top" wrapText="1"/>
    </xf>
    <xf numFmtId="0" fontId="0" fillId="24" borderId="74" xfId="0" applyFill="1" applyBorder="1" applyProtection="1">
      <protection locked="0"/>
    </xf>
    <xf numFmtId="0" fontId="93" fillId="13" borderId="0" xfId="0" applyFont="1" applyFill="1" applyAlignment="1">
      <alignment horizontal="left" vertical="center" wrapText="1"/>
    </xf>
    <xf numFmtId="0" fontId="93" fillId="13" borderId="22" xfId="0" applyFont="1" applyFill="1" applyBorder="1" applyAlignment="1">
      <alignment horizontal="left" vertical="center" wrapText="1"/>
    </xf>
    <xf numFmtId="0" fontId="92" fillId="13" borderId="7" xfId="0" applyFont="1" applyFill="1" applyBorder="1" applyAlignment="1">
      <alignment horizontal="left" vertical="center" wrapText="1"/>
    </xf>
    <xf numFmtId="0" fontId="92" fillId="13" borderId="11" xfId="0" applyFont="1" applyFill="1" applyBorder="1" applyAlignment="1">
      <alignment horizontal="left" vertical="center" wrapText="1"/>
    </xf>
    <xf numFmtId="0" fontId="8" fillId="13" borderId="103" xfId="14" applyFill="1" applyBorder="1" applyAlignment="1" applyProtection="1">
      <alignment horizontal="center" vertical="top" wrapText="1"/>
    </xf>
    <xf numFmtId="0" fontId="0" fillId="24" borderId="21" xfId="0" applyFill="1" applyBorder="1" applyAlignment="1" applyProtection="1">
      <alignment vertical="top" wrapText="1"/>
      <protection locked="0"/>
    </xf>
    <xf numFmtId="0" fontId="0" fillId="24" borderId="37" xfId="0" applyFill="1" applyBorder="1" applyAlignment="1" applyProtection="1">
      <alignment vertical="top" wrapText="1"/>
      <protection locked="0"/>
    </xf>
    <xf numFmtId="0" fontId="3" fillId="19" borderId="0" xfId="0" applyFont="1" applyFill="1" applyAlignment="1">
      <alignment horizontal="left" vertical="top" wrapText="1"/>
    </xf>
    <xf numFmtId="0" fontId="110" fillId="13" borderId="0" xfId="0" applyFont="1" applyFill="1" applyAlignment="1">
      <alignment horizontal="left" vertical="top" wrapText="1"/>
    </xf>
    <xf numFmtId="0" fontId="111" fillId="0" borderId="0" xfId="0" applyFont="1" applyAlignment="1">
      <alignment vertical="top" wrapText="1"/>
    </xf>
    <xf numFmtId="0" fontId="90" fillId="13" borderId="0" xfId="0" applyFont="1" applyFill="1" applyAlignment="1">
      <alignment wrapText="1"/>
    </xf>
    <xf numFmtId="0" fontId="4" fillId="13" borderId="0" xfId="0" applyFont="1" applyFill="1" applyAlignment="1">
      <alignment horizontal="left" vertical="center" wrapText="1"/>
    </xf>
    <xf numFmtId="0" fontId="0" fillId="24" borderId="23" xfId="0" applyFill="1" applyBorder="1" applyAlignment="1" applyProtection="1">
      <alignment vertical="top" wrapText="1"/>
      <protection locked="0"/>
    </xf>
    <xf numFmtId="0" fontId="90" fillId="13" borderId="12" xfId="0" applyFont="1" applyFill="1" applyBorder="1" applyAlignment="1" applyProtection="1">
      <alignment vertical="top" wrapText="1"/>
      <protection locked="0"/>
    </xf>
    <xf numFmtId="0" fontId="90" fillId="13" borderId="13" xfId="0" applyFont="1" applyFill="1" applyBorder="1" applyAlignment="1" applyProtection="1">
      <alignment vertical="top" wrapText="1"/>
      <protection locked="0"/>
    </xf>
    <xf numFmtId="0" fontId="90" fillId="13" borderId="72" xfId="0" applyFont="1" applyFill="1" applyBorder="1" applyAlignment="1" applyProtection="1">
      <alignment vertical="top" wrapText="1"/>
      <protection locked="0"/>
    </xf>
    <xf numFmtId="0" fontId="90" fillId="13" borderId="38" xfId="0" applyFont="1" applyFill="1" applyBorder="1" applyAlignment="1" applyProtection="1">
      <alignment vertical="top" wrapText="1"/>
      <protection locked="0"/>
    </xf>
    <xf numFmtId="0" fontId="90" fillId="13" borderId="0" xfId="0" applyFont="1" applyFill="1" applyAlignment="1" applyProtection="1">
      <alignment vertical="top" wrapText="1"/>
      <protection locked="0"/>
    </xf>
    <xf numFmtId="0" fontId="90" fillId="13" borderId="22" xfId="0" applyFont="1" applyFill="1" applyBorder="1" applyAlignment="1" applyProtection="1">
      <alignment vertical="top" wrapText="1"/>
      <protection locked="0"/>
    </xf>
    <xf numFmtId="0" fontId="90" fillId="13" borderId="15" xfId="0" applyFont="1" applyFill="1" applyBorder="1" applyAlignment="1" applyProtection="1">
      <alignment vertical="top" wrapText="1"/>
      <protection locked="0"/>
    </xf>
    <xf numFmtId="0" fontId="90" fillId="13" borderId="24" xfId="0" applyFont="1" applyFill="1" applyBorder="1" applyAlignment="1" applyProtection="1">
      <alignment vertical="top" wrapText="1"/>
      <protection locked="0"/>
    </xf>
    <xf numFmtId="0" fontId="4" fillId="13" borderId="15" xfId="0" applyFont="1" applyFill="1" applyBorder="1" applyAlignment="1">
      <alignment vertical="top" wrapText="1"/>
    </xf>
    <xf numFmtId="0" fontId="90" fillId="13" borderId="0" xfId="0" applyFont="1" applyFill="1" applyAlignment="1" applyProtection="1">
      <alignment wrapText="1"/>
      <protection locked="0"/>
    </xf>
    <xf numFmtId="0" fontId="90" fillId="13" borderId="22" xfId="0" applyFont="1" applyFill="1" applyBorder="1" applyAlignment="1" applyProtection="1">
      <alignment wrapText="1"/>
      <protection locked="0"/>
    </xf>
    <xf numFmtId="0" fontId="12" fillId="13" borderId="15" xfId="0" applyFont="1" applyFill="1" applyBorder="1" applyAlignment="1">
      <alignment vertical="top" wrapText="1"/>
    </xf>
    <xf numFmtId="0" fontId="90" fillId="13" borderId="15" xfId="0" applyFont="1" applyFill="1" applyBorder="1" applyAlignment="1">
      <alignment vertical="top" wrapText="1"/>
    </xf>
    <xf numFmtId="0" fontId="90" fillId="13" borderId="72" xfId="0" applyFont="1" applyFill="1" applyBorder="1" applyAlignment="1" applyProtection="1">
      <alignment wrapText="1"/>
      <protection locked="0"/>
    </xf>
    <xf numFmtId="0" fontId="90" fillId="13" borderId="38" xfId="0" applyFont="1" applyFill="1" applyBorder="1" applyAlignment="1" applyProtection="1">
      <alignment wrapText="1"/>
      <protection locked="0"/>
    </xf>
    <xf numFmtId="0" fontId="90" fillId="13" borderId="15" xfId="0" applyFont="1" applyFill="1" applyBorder="1" applyAlignment="1" applyProtection="1">
      <alignment wrapText="1"/>
      <protection locked="0"/>
    </xf>
    <xf numFmtId="0" fontId="90" fillId="13" borderId="24" xfId="0" applyFont="1" applyFill="1" applyBorder="1" applyAlignment="1" applyProtection="1">
      <alignment wrapText="1"/>
      <protection locked="0"/>
    </xf>
    <xf numFmtId="0" fontId="81" fillId="13" borderId="0" xfId="0" applyFont="1" applyFill="1" applyAlignment="1">
      <alignment vertical="top" wrapText="1"/>
    </xf>
    <xf numFmtId="0" fontId="0" fillId="0" borderId="0" xfId="0" applyAlignment="1">
      <alignment wrapText="1"/>
    </xf>
    <xf numFmtId="0" fontId="4" fillId="13" borderId="11" xfId="0" applyFont="1" applyFill="1" applyBorder="1" applyAlignment="1">
      <alignment vertical="top"/>
    </xf>
    <xf numFmtId="0" fontId="0" fillId="0" borderId="12" xfId="0" applyBorder="1" applyAlignment="1">
      <alignment vertical="top"/>
    </xf>
    <xf numFmtId="0" fontId="0" fillId="0" borderId="13" xfId="0" applyBorder="1" applyAlignment="1">
      <alignment vertical="top"/>
    </xf>
    <xf numFmtId="0" fontId="2" fillId="24" borderId="11" xfId="0" applyFont="1" applyFill="1" applyBorder="1" applyAlignment="1" applyProtection="1">
      <alignment vertical="top" wrapText="1"/>
      <protection locked="0"/>
    </xf>
    <xf numFmtId="0" fontId="2" fillId="18" borderId="11" xfId="0" applyFont="1" applyFill="1" applyBorder="1" applyAlignment="1">
      <alignment vertical="top" wrapText="1"/>
    </xf>
    <xf numFmtId="0" fontId="2" fillId="24" borderId="37" xfId="0" applyFont="1" applyFill="1" applyBorder="1" applyAlignment="1" applyProtection="1">
      <alignment horizontal="left" vertical="top" wrapText="1"/>
      <protection locked="0"/>
    </xf>
    <xf numFmtId="0" fontId="2" fillId="24" borderId="72" xfId="0" applyFont="1" applyFill="1" applyBorder="1" applyAlignment="1" applyProtection="1">
      <alignment horizontal="left" vertical="top" wrapText="1"/>
      <protection locked="0"/>
    </xf>
    <xf numFmtId="0" fontId="2" fillId="24" borderId="38" xfId="0" applyFont="1" applyFill="1" applyBorder="1" applyAlignment="1" applyProtection="1">
      <alignment horizontal="left" vertical="top" wrapText="1"/>
      <protection locked="0"/>
    </xf>
    <xf numFmtId="0" fontId="2" fillId="24" borderId="23" xfId="0" applyFont="1" applyFill="1" applyBorder="1" applyAlignment="1" applyProtection="1">
      <alignment horizontal="left" vertical="top" wrapText="1"/>
      <protection locked="0"/>
    </xf>
    <xf numFmtId="0" fontId="2" fillId="24" borderId="15" xfId="0" applyFont="1" applyFill="1" applyBorder="1" applyAlignment="1" applyProtection="1">
      <alignment horizontal="left" vertical="top" wrapText="1"/>
      <protection locked="0"/>
    </xf>
    <xf numFmtId="0" fontId="2" fillId="24" borderId="24" xfId="0" applyFont="1" applyFill="1" applyBorder="1" applyAlignment="1" applyProtection="1">
      <alignment horizontal="left" vertical="top" wrapText="1"/>
      <protection locked="0"/>
    </xf>
    <xf numFmtId="0" fontId="2" fillId="24" borderId="21" xfId="0" applyFont="1" applyFill="1" applyBorder="1" applyAlignment="1" applyProtection="1">
      <alignment horizontal="left" vertical="top" wrapText="1"/>
      <protection locked="0"/>
    </xf>
    <xf numFmtId="0" fontId="2" fillId="24" borderId="0" xfId="0" applyFont="1" applyFill="1" applyAlignment="1" applyProtection="1">
      <alignment horizontal="left" vertical="top" wrapText="1"/>
      <protection locked="0"/>
    </xf>
    <xf numFmtId="0" fontId="2" fillId="24" borderId="22" xfId="0" applyFont="1" applyFill="1" applyBorder="1" applyAlignment="1" applyProtection="1">
      <alignment horizontal="left" vertical="top" wrapText="1"/>
      <protection locked="0"/>
    </xf>
    <xf numFmtId="0" fontId="2" fillId="18" borderId="7" xfId="0" applyFont="1" applyFill="1" applyBorder="1" applyAlignment="1">
      <alignment horizontal="left" vertical="top" wrapText="1"/>
    </xf>
    <xf numFmtId="1" fontId="6" fillId="24" borderId="7" xfId="0" applyNumberFormat="1" applyFont="1" applyFill="1" applyBorder="1" applyAlignment="1" applyProtection="1">
      <alignment horizontal="left" vertical="top" wrapText="1"/>
      <protection locked="0"/>
    </xf>
    <xf numFmtId="0" fontId="2" fillId="18" borderId="11" xfId="0" applyFont="1" applyFill="1" applyBorder="1" applyAlignment="1">
      <alignment horizontal="left" vertical="top" wrapText="1"/>
    </xf>
    <xf numFmtId="0" fontId="2" fillId="18" borderId="12" xfId="0" applyFont="1" applyFill="1" applyBorder="1" applyAlignment="1">
      <alignment horizontal="left" vertical="top" wrapText="1"/>
    </xf>
    <xf numFmtId="0" fontId="2" fillId="18" borderId="13" xfId="0" applyFont="1" applyFill="1" applyBorder="1" applyAlignment="1">
      <alignment horizontal="left" vertical="top" wrapText="1"/>
    </xf>
    <xf numFmtId="0" fontId="12" fillId="13" borderId="0" xfId="0" applyFont="1" applyFill="1" applyAlignment="1">
      <alignment vertical="top" wrapText="1"/>
    </xf>
    <xf numFmtId="0" fontId="90" fillId="13" borderId="12" xfId="0" applyFont="1" applyFill="1" applyBorder="1" applyAlignment="1">
      <alignment horizontal="left" vertical="top" wrapText="1"/>
    </xf>
    <xf numFmtId="0" fontId="90" fillId="13" borderId="13" xfId="0" applyFont="1" applyFill="1" applyBorder="1" applyAlignment="1">
      <alignment horizontal="left" vertical="top" wrapText="1"/>
    </xf>
    <xf numFmtId="0" fontId="4" fillId="13" borderId="11" xfId="0" applyFont="1" applyFill="1" applyBorder="1" applyAlignment="1">
      <alignment vertical="top" wrapText="1"/>
    </xf>
    <xf numFmtId="0" fontId="2" fillId="13" borderId="12" xfId="0" applyFont="1" applyFill="1" applyBorder="1" applyAlignment="1">
      <alignment vertical="top" wrapText="1"/>
    </xf>
    <xf numFmtId="0" fontId="2" fillId="13" borderId="13" xfId="0" applyFont="1" applyFill="1" applyBorder="1" applyAlignment="1">
      <alignment vertical="top" wrapText="1"/>
    </xf>
    <xf numFmtId="0" fontId="0" fillId="24" borderId="21" xfId="0" applyFill="1" applyBorder="1" applyAlignment="1" applyProtection="1">
      <alignment wrapText="1"/>
      <protection locked="0"/>
    </xf>
    <xf numFmtId="0" fontId="8" fillId="21" borderId="104" xfId="14" applyFill="1" applyBorder="1" applyAlignment="1" applyProtection="1">
      <alignment horizontal="center" vertical="top" wrapText="1"/>
    </xf>
    <xf numFmtId="0" fontId="8" fillId="21" borderId="105" xfId="14" applyFill="1" applyBorder="1" applyAlignment="1" applyProtection="1">
      <alignment horizontal="center" vertical="top" wrapText="1"/>
    </xf>
    <xf numFmtId="0" fontId="8" fillId="21" borderId="106" xfId="14" applyFill="1" applyBorder="1" applyAlignment="1" applyProtection="1">
      <alignment horizontal="center" vertical="top" wrapText="1"/>
    </xf>
    <xf numFmtId="0" fontId="8" fillId="21" borderId="107" xfId="14" applyFill="1" applyBorder="1" applyAlignment="1" applyProtection="1">
      <alignment horizontal="center" vertical="top" wrapText="1"/>
    </xf>
    <xf numFmtId="0" fontId="0" fillId="24" borderId="23" xfId="0" applyFill="1" applyBorder="1" applyAlignment="1" applyProtection="1">
      <alignment wrapText="1"/>
      <protection locked="0"/>
    </xf>
    <xf numFmtId="0" fontId="4" fillId="13" borderId="22" xfId="0" applyFont="1" applyFill="1" applyBorder="1" applyAlignment="1">
      <alignment vertical="top" wrapText="1"/>
    </xf>
    <xf numFmtId="0" fontId="12" fillId="13" borderId="0" xfId="0" applyFont="1" applyFill="1" applyAlignment="1">
      <alignment horizontal="left" vertical="top" wrapText="1"/>
    </xf>
    <xf numFmtId="0" fontId="24" fillId="21" borderId="7" xfId="0" applyFont="1" applyFill="1" applyBorder="1" applyAlignment="1">
      <alignment horizontal="left"/>
    </xf>
    <xf numFmtId="0" fontId="8" fillId="21" borderId="108" xfId="14" applyFill="1" applyBorder="1" applyAlignment="1" applyProtection="1"/>
    <xf numFmtId="0" fontId="8" fillId="21" borderId="106" xfId="14" applyFill="1" applyBorder="1" applyAlignment="1" applyProtection="1"/>
    <xf numFmtId="0" fontId="8" fillId="21" borderId="97" xfId="14" quotePrefix="1" applyFill="1" applyBorder="1" applyAlignment="1" applyProtection="1">
      <alignment horizontal="center"/>
    </xf>
    <xf numFmtId="0" fontId="8" fillId="21" borderId="98" xfId="14" applyFill="1" applyBorder="1" applyAlignment="1" applyProtection="1">
      <alignment horizontal="center"/>
    </xf>
    <xf numFmtId="0" fontId="8" fillId="21" borderId="109" xfId="14" applyFill="1" applyBorder="1" applyAlignment="1" applyProtection="1">
      <alignment horizontal="center" vertical="top" wrapText="1"/>
    </xf>
    <xf numFmtId="0" fontId="0" fillId="24" borderId="11" xfId="0" applyFill="1" applyBorder="1" applyAlignment="1" applyProtection="1">
      <alignment vertical="top" wrapText="1"/>
      <protection locked="0"/>
    </xf>
    <xf numFmtId="0" fontId="3" fillId="19" borderId="0" xfId="0" applyFont="1" applyFill="1" applyAlignment="1">
      <alignment vertical="top" wrapText="1"/>
    </xf>
    <xf numFmtId="0" fontId="67" fillId="13" borderId="70" xfId="0" applyFont="1" applyFill="1" applyBorder="1" applyAlignment="1">
      <alignment horizontal="left" vertical="top" wrapText="1"/>
    </xf>
    <xf numFmtId="0" fontId="0" fillId="0" borderId="0" xfId="0" applyAlignment="1" applyProtection="1">
      <alignment vertical="top" wrapText="1"/>
      <protection locked="0"/>
    </xf>
    <xf numFmtId="0" fontId="0" fillId="0" borderId="22" xfId="0" applyBorder="1" applyAlignment="1" applyProtection="1">
      <alignment vertical="top" wrapText="1"/>
      <protection locked="0"/>
    </xf>
    <xf numFmtId="0" fontId="4" fillId="13" borderId="11" xfId="0" applyFont="1" applyFill="1" applyBorder="1" applyAlignment="1">
      <alignment horizontal="left" vertical="top" wrapText="1"/>
    </xf>
    <xf numFmtId="0" fontId="0" fillId="24" borderId="11" xfId="0" applyFill="1" applyBorder="1" applyAlignment="1" applyProtection="1">
      <alignment horizontal="left" vertical="top" wrapText="1"/>
      <protection locked="0"/>
    </xf>
    <xf numFmtId="0" fontId="0" fillId="24" borderId="13" xfId="0" applyFill="1" applyBorder="1" applyAlignment="1" applyProtection="1">
      <alignment horizontal="left" vertical="top" wrapText="1"/>
      <protection locked="0"/>
    </xf>
    <xf numFmtId="0" fontId="0" fillId="0" borderId="15" xfId="0" applyBorder="1" applyAlignment="1" applyProtection="1">
      <alignment vertical="top" wrapText="1"/>
      <protection locked="0"/>
    </xf>
    <xf numFmtId="0" fontId="0" fillId="0" borderId="24" xfId="0" applyBorder="1" applyAlignment="1" applyProtection="1">
      <alignment vertical="top" wrapText="1"/>
      <protection locked="0"/>
    </xf>
    <xf numFmtId="0" fontId="10" fillId="13" borderId="0" xfId="0" applyFont="1" applyFill="1" applyAlignment="1">
      <alignment horizontal="left" vertical="top" wrapText="1"/>
    </xf>
    <xf numFmtId="0" fontId="0" fillId="24" borderId="7" xfId="0" applyFill="1" applyBorder="1" applyAlignment="1" applyProtection="1">
      <alignment horizontal="left" vertical="top" wrapText="1"/>
      <protection locked="0"/>
    </xf>
    <xf numFmtId="0" fontId="0" fillId="0" borderId="72" xfId="0" applyBorder="1" applyAlignment="1" applyProtection="1">
      <alignment vertical="top" wrapText="1"/>
      <protection locked="0"/>
    </xf>
    <xf numFmtId="0" fontId="0" fillId="0" borderId="38" xfId="0" applyBorder="1" applyAlignment="1" applyProtection="1">
      <alignment vertical="top" wrapText="1"/>
      <protection locked="0"/>
    </xf>
    <xf numFmtId="0" fontId="4" fillId="0" borderId="13" xfId="0" applyFont="1" applyBorder="1" applyAlignment="1">
      <alignment horizontal="left" vertical="top" wrapText="1"/>
    </xf>
    <xf numFmtId="0" fontId="90" fillId="24" borderId="11" xfId="0" applyFont="1" applyFill="1"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3" xfId="0" applyBorder="1" applyAlignment="1" applyProtection="1">
      <alignment vertical="top" wrapText="1"/>
      <protection locked="0"/>
    </xf>
    <xf numFmtId="0" fontId="4" fillId="24" borderId="11" xfId="0" applyFont="1" applyFill="1" applyBorder="1" applyAlignment="1" applyProtection="1">
      <alignment horizontal="left" vertical="top" wrapText="1"/>
      <protection locked="0"/>
    </xf>
    <xf numFmtId="0" fontId="4" fillId="24" borderId="13" xfId="0" applyFont="1" applyFill="1" applyBorder="1" applyAlignment="1" applyProtection="1">
      <alignment horizontal="left" vertical="top" wrapText="1"/>
      <protection locked="0"/>
    </xf>
    <xf numFmtId="0" fontId="6" fillId="13" borderId="13" xfId="0" applyFont="1" applyFill="1" applyBorder="1" applyAlignment="1">
      <alignment horizontal="left" vertical="top" wrapText="1"/>
    </xf>
    <xf numFmtId="0" fontId="6" fillId="13" borderId="38" xfId="0" applyFont="1" applyFill="1" applyBorder="1" applyAlignment="1">
      <alignment horizontal="left" vertical="top" wrapText="1"/>
    </xf>
    <xf numFmtId="0" fontId="6" fillId="13" borderId="21" xfId="0" applyFont="1" applyFill="1" applyBorder="1" applyAlignment="1">
      <alignment horizontal="left" vertical="top" wrapText="1"/>
    </xf>
    <xf numFmtId="0" fontId="6" fillId="13" borderId="22" xfId="0" applyFont="1" applyFill="1" applyBorder="1" applyAlignment="1">
      <alignment horizontal="left" vertical="top" wrapText="1"/>
    </xf>
    <xf numFmtId="0" fontId="6" fillId="13" borderId="23" xfId="0" applyFont="1" applyFill="1" applyBorder="1" applyAlignment="1">
      <alignment horizontal="left" vertical="top" wrapText="1"/>
    </xf>
    <xf numFmtId="0" fontId="6" fillId="13" borderId="24" xfId="0" applyFont="1" applyFill="1" applyBorder="1" applyAlignment="1">
      <alignment horizontal="left" vertical="top" wrapText="1"/>
    </xf>
    <xf numFmtId="0" fontId="2" fillId="13" borderId="22" xfId="0" applyFont="1" applyFill="1" applyBorder="1" applyAlignment="1">
      <alignment horizontal="left" vertical="top" wrapText="1"/>
    </xf>
    <xf numFmtId="0" fontId="42" fillId="13" borderId="37" xfId="0" applyFont="1" applyFill="1" applyBorder="1" applyAlignment="1">
      <alignment horizontal="left" vertical="top" wrapText="1"/>
    </xf>
    <xf numFmtId="0" fontId="42" fillId="13" borderId="38"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22" xfId="0" applyFont="1" applyFill="1" applyBorder="1" applyAlignment="1">
      <alignment horizontal="left" vertical="top" wrapText="1"/>
    </xf>
    <xf numFmtId="0" fontId="42" fillId="13" borderId="23" xfId="0" applyFont="1" applyFill="1" applyBorder="1" applyAlignment="1">
      <alignment horizontal="left" vertical="top" wrapText="1"/>
    </xf>
    <xf numFmtId="0" fontId="42" fillId="13" borderId="24"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15" xfId="0" applyFont="1" applyFill="1" applyBorder="1" applyAlignment="1">
      <alignment horizontal="left" vertical="top" wrapText="1"/>
    </xf>
    <xf numFmtId="0" fontId="42" fillId="24" borderId="7" xfId="0" applyFont="1" applyFill="1" applyBorder="1" applyAlignment="1" applyProtection="1">
      <alignment horizontal="left" vertical="top" wrapText="1"/>
      <protection locked="0"/>
    </xf>
    <xf numFmtId="0" fontId="42" fillId="13" borderId="0" xfId="0" applyFont="1" applyFill="1" applyAlignment="1">
      <alignment horizontal="left" vertical="top" wrapText="1"/>
    </xf>
    <xf numFmtId="0" fontId="2" fillId="13" borderId="21" xfId="0" applyFont="1" applyFill="1" applyBorder="1" applyAlignment="1">
      <alignment horizontal="left" vertical="top" wrapText="1"/>
    </xf>
    <xf numFmtId="0" fontId="2" fillId="13" borderId="23" xfId="0" applyFont="1" applyFill="1" applyBorder="1" applyAlignment="1">
      <alignment horizontal="left" vertical="top" wrapText="1"/>
    </xf>
    <xf numFmtId="0" fontId="2" fillId="13" borderId="24" xfId="0" applyFont="1" applyFill="1" applyBorder="1" applyAlignment="1">
      <alignment horizontal="left" vertical="top" wrapText="1"/>
    </xf>
    <xf numFmtId="0" fontId="6" fillId="36" borderId="21" xfId="0" applyFont="1" applyFill="1" applyBorder="1" applyAlignment="1" applyProtection="1">
      <alignment horizontal="left" vertical="top" wrapText="1"/>
      <protection locked="0"/>
    </xf>
    <xf numFmtId="0" fontId="6" fillId="36" borderId="0" xfId="0" applyFont="1" applyFill="1" applyAlignment="1" applyProtection="1">
      <alignment horizontal="left" vertical="top" wrapText="1"/>
      <protection locked="0"/>
    </xf>
    <xf numFmtId="0" fontId="6" fillId="36" borderId="22" xfId="0" applyFont="1" applyFill="1" applyBorder="1" applyAlignment="1" applyProtection="1">
      <alignment horizontal="left" vertical="top" wrapText="1"/>
      <protection locked="0"/>
    </xf>
    <xf numFmtId="0" fontId="6" fillId="36" borderId="7" xfId="0" applyFont="1" applyFill="1" applyBorder="1" applyAlignment="1" applyProtection="1">
      <alignment horizontal="left" vertical="top" wrapText="1"/>
      <protection locked="0"/>
    </xf>
    <xf numFmtId="0" fontId="6" fillId="36" borderId="23" xfId="0" applyFont="1" applyFill="1" applyBorder="1" applyAlignment="1" applyProtection="1">
      <alignment horizontal="left" vertical="top" wrapText="1"/>
      <protection locked="0"/>
    </xf>
    <xf numFmtId="0" fontId="6" fillId="36" borderId="15" xfId="0" applyFont="1" applyFill="1" applyBorder="1" applyAlignment="1" applyProtection="1">
      <alignment horizontal="left" vertical="top" wrapText="1"/>
      <protection locked="0"/>
    </xf>
    <xf numFmtId="0" fontId="6" fillId="36" borderId="24" xfId="0" applyFont="1" applyFill="1" applyBorder="1" applyAlignment="1" applyProtection="1">
      <alignment horizontal="left" vertical="top" wrapText="1"/>
      <protection locked="0"/>
    </xf>
    <xf numFmtId="0" fontId="6" fillId="36" borderId="37" xfId="0" applyFont="1" applyFill="1" applyBorder="1" applyAlignment="1" applyProtection="1">
      <alignment horizontal="left" vertical="top" wrapText="1"/>
      <protection locked="0"/>
    </xf>
    <xf numFmtId="0" fontId="6" fillId="36" borderId="72" xfId="0" applyFont="1" applyFill="1" applyBorder="1" applyAlignment="1" applyProtection="1">
      <alignment horizontal="left" vertical="top" wrapText="1"/>
      <protection locked="0"/>
    </xf>
    <xf numFmtId="0" fontId="6" fillId="36" borderId="38" xfId="0" applyFont="1" applyFill="1" applyBorder="1" applyAlignment="1" applyProtection="1">
      <alignment horizontal="left" vertical="top" wrapText="1"/>
      <protection locked="0"/>
    </xf>
    <xf numFmtId="0" fontId="6" fillId="24" borderId="7" xfId="0" applyFont="1" applyFill="1" applyBorder="1" applyAlignment="1" applyProtection="1">
      <alignment horizontal="left" vertical="top" wrapText="1" shrinkToFit="1"/>
      <protection locked="0"/>
    </xf>
    <xf numFmtId="0" fontId="74" fillId="13" borderId="22" xfId="0" applyFont="1" applyFill="1" applyBorder="1" applyAlignment="1">
      <alignment vertical="top" wrapText="1"/>
    </xf>
    <xf numFmtId="0" fontId="0" fillId="14" borderId="21" xfId="0" applyFill="1" applyBorder="1" applyAlignment="1" applyProtection="1">
      <alignment wrapText="1"/>
      <protection locked="0"/>
    </xf>
    <xf numFmtId="0" fontId="0" fillId="14" borderId="37" xfId="0" applyFill="1" applyBorder="1" applyAlignment="1" applyProtection="1">
      <alignment wrapText="1"/>
      <protection locked="0"/>
    </xf>
    <xf numFmtId="0" fontId="0" fillId="14" borderId="23" xfId="0" applyFill="1" applyBorder="1" applyAlignment="1" applyProtection="1">
      <alignment wrapText="1"/>
      <protection locked="0"/>
    </xf>
    <xf numFmtId="0" fontId="107" fillId="37" borderId="71" xfId="0" applyFont="1" applyFill="1" applyBorder="1" applyAlignment="1">
      <alignment horizontal="center" vertical="center" wrapText="1"/>
    </xf>
    <xf numFmtId="0" fontId="107" fillId="37" borderId="48" xfId="0" applyFont="1" applyFill="1" applyBorder="1" applyAlignment="1">
      <alignment horizontal="center" vertical="center" wrapText="1"/>
    </xf>
    <xf numFmtId="0" fontId="107" fillId="37" borderId="91" xfId="0" applyFont="1" applyFill="1" applyBorder="1" applyAlignment="1">
      <alignment horizontal="center" vertical="center" wrapText="1"/>
    </xf>
    <xf numFmtId="0" fontId="107" fillId="37" borderId="71" xfId="0" applyFont="1" applyFill="1" applyBorder="1" applyAlignment="1">
      <alignment horizontal="center" vertical="center"/>
    </xf>
    <xf numFmtId="0" fontId="107" fillId="37" borderId="48" xfId="0" applyFont="1" applyFill="1" applyBorder="1" applyAlignment="1">
      <alignment horizontal="center" vertical="center"/>
    </xf>
    <xf numFmtId="0" fontId="107" fillId="37" borderId="91" xfId="0" applyFont="1" applyFill="1" applyBorder="1" applyAlignment="1">
      <alignment horizontal="center" vertical="center"/>
    </xf>
    <xf numFmtId="0" fontId="107" fillId="37" borderId="110" xfId="0" applyFont="1" applyFill="1" applyBorder="1" applyAlignment="1">
      <alignment horizontal="center" vertical="center"/>
    </xf>
    <xf numFmtId="0" fontId="107" fillId="37" borderId="51" xfId="0" applyFont="1" applyFill="1" applyBorder="1" applyAlignment="1">
      <alignment horizontal="center" vertical="center" wrapText="1"/>
    </xf>
    <xf numFmtId="0" fontId="107" fillId="37" borderId="42" xfId="0" applyFont="1" applyFill="1" applyBorder="1" applyAlignment="1">
      <alignment horizontal="center" vertical="center" wrapText="1"/>
    </xf>
    <xf numFmtId="0" fontId="107" fillId="37" borderId="43" xfId="0" applyFont="1" applyFill="1" applyBorder="1" applyAlignment="1">
      <alignment horizontal="center" vertical="center" wrapText="1"/>
    </xf>
    <xf numFmtId="0" fontId="107" fillId="37" borderId="29" xfId="0" applyFont="1" applyFill="1" applyBorder="1" applyAlignment="1">
      <alignment horizontal="center" vertical="center"/>
    </xf>
    <xf numFmtId="0" fontId="107" fillId="37" borderId="30" xfId="0" applyFont="1" applyFill="1" applyBorder="1" applyAlignment="1">
      <alignment horizontal="center" vertical="center"/>
    </xf>
    <xf numFmtId="0" fontId="107" fillId="37" borderId="31" xfId="0" applyFont="1" applyFill="1" applyBorder="1" applyAlignment="1">
      <alignment horizontal="center" vertical="center"/>
    </xf>
    <xf numFmtId="0" fontId="0" fillId="24" borderId="11" xfId="0" applyFill="1" applyBorder="1" applyAlignment="1" applyProtection="1">
      <alignment horizontal="center"/>
      <protection locked="0"/>
    </xf>
    <xf numFmtId="0" fontId="0" fillId="24" borderId="13" xfId="0" applyFill="1" applyBorder="1" applyAlignment="1" applyProtection="1">
      <alignment horizontal="center"/>
      <protection locked="0"/>
    </xf>
    <xf numFmtId="0" fontId="0" fillId="0" borderId="36" xfId="0" applyBorder="1" applyAlignment="1">
      <alignment horizontal="left"/>
    </xf>
    <xf numFmtId="0" fontId="0" fillId="0" borderId="39" xfId="0" applyBorder="1" applyAlignment="1">
      <alignment horizontal="left"/>
    </xf>
    <xf numFmtId="0" fontId="0" fillId="0" borderId="74" xfId="0"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4" fillId="0" borderId="15" xfId="0" applyFont="1" applyBorder="1" applyAlignment="1">
      <alignment horizontal="center"/>
    </xf>
  </cellXfs>
  <cellStyles count="22">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Hyperlink" xfId="14" builtinId="8"/>
    <cellStyle name="Linked Cell" xfId="15" xr:uid="{00000000-0005-0000-0000-00000E000000}"/>
    <cellStyle name="Neutral" xfId="16" xr:uid="{00000000-0005-0000-0000-00000F000000}"/>
    <cellStyle name="Normal" xfId="0" builtinId="0"/>
    <cellStyle name="Note" xfId="17" xr:uid="{00000000-0005-0000-0000-000010000000}"/>
    <cellStyle name="Percent" xfId="18" builtinId="5"/>
    <cellStyle name="Standard 2" xfId="19" xr:uid="{00000000-0005-0000-0000-000013000000}"/>
    <cellStyle name="Standard_Outline NIMs template 10-09-30" xfId="20" xr:uid="{00000000-0005-0000-0000-000014000000}"/>
    <cellStyle name="Title" xfId="21" xr:uid="{00000000-0005-0000-0000-000015000000}"/>
  </cellStyles>
  <dxfs count="212">
    <dxf>
      <border>
        <top style="thin">
          <color indexed="64"/>
        </top>
      </border>
    </dxf>
    <dxf>
      <fill>
        <patternFill patternType="lightUp">
          <bgColor indexed="65"/>
        </patternFill>
      </fill>
    </dxf>
    <dxf>
      <border>
        <top style="thin">
          <color indexed="64"/>
        </top>
      </border>
    </dxf>
    <dxf>
      <border>
        <top style="thin">
          <color indexed="64"/>
        </top>
      </border>
    </dxf>
    <dxf>
      <fill>
        <patternFill>
          <bgColor rgb="FFFF0000"/>
        </patternFill>
      </fill>
    </dxf>
    <dxf>
      <font>
        <color theme="1"/>
      </font>
      <fill>
        <patternFill>
          <bgColor theme="1" tint="0.14996795556505021"/>
        </patternFill>
      </fill>
    </dxf>
    <dxf>
      <fill>
        <patternFill>
          <bgColor theme="1" tint="0.24994659260841701"/>
        </patternFill>
      </fill>
    </dxf>
    <dxf>
      <fill>
        <patternFill>
          <bgColor theme="9"/>
        </patternFill>
      </fill>
    </dxf>
    <dxf>
      <fill>
        <patternFill>
          <bgColor rgb="FF7030A0"/>
        </patternFill>
      </fill>
    </dxf>
    <dxf>
      <border>
        <top style="thin">
          <color indexed="64"/>
        </top>
      </border>
    </dxf>
    <dxf>
      <fill>
        <patternFill>
          <bgColor theme="1" tint="0.24994659260841701"/>
        </patternFill>
      </fill>
    </dxf>
    <dxf>
      <fill>
        <patternFill>
          <bgColor theme="1" tint="0.24994659260841701"/>
        </patternFill>
      </fill>
    </dxf>
    <dxf>
      <fill>
        <patternFill>
          <bgColor theme="9"/>
        </patternFill>
      </fill>
    </dxf>
    <dxf>
      <fill>
        <patternFill>
          <bgColor rgb="FF7030A0"/>
        </patternFill>
      </fill>
    </dxf>
    <dxf>
      <border>
        <top style="thin">
          <color indexed="64"/>
        </top>
      </border>
    </dxf>
    <dxf>
      <fill>
        <patternFill>
          <bgColor theme="1" tint="0.24994659260841701"/>
        </patternFill>
      </fill>
    </dxf>
    <dxf>
      <fill>
        <patternFill>
          <bgColor theme="9"/>
        </patternFill>
      </fill>
    </dxf>
    <dxf>
      <fill>
        <patternFill>
          <bgColor rgb="FF7030A0"/>
        </patternFill>
      </fill>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ont>
        <color indexed="8"/>
      </font>
      <fill>
        <patternFill>
          <bgColor indexed="63"/>
        </patternFill>
      </fill>
    </dxf>
    <dxf>
      <fill>
        <patternFill>
          <bgColor indexed="10"/>
        </patternFill>
      </fill>
    </dxf>
    <dxf>
      <font>
        <color indexed="10"/>
      </font>
    </dxf>
    <dxf>
      <fill>
        <patternFill patternType="lightUp">
          <bgColor indexed="65"/>
        </patternFill>
      </fill>
    </dxf>
    <dxf>
      <fill>
        <patternFill>
          <bgColor theme="9"/>
        </patternFill>
      </fill>
    </dxf>
    <dxf>
      <fill>
        <patternFill>
          <bgColor rgb="FF7030A0"/>
        </patternFill>
      </fill>
    </dxf>
    <dxf>
      <fill>
        <patternFill>
          <bgColor rgb="FF00B0F0"/>
        </patternFill>
      </fill>
    </dxf>
    <dxf>
      <fill>
        <patternFill>
          <bgColor theme="1" tint="0.24994659260841701"/>
        </patternFill>
      </fill>
    </dxf>
    <dxf>
      <fill>
        <patternFill>
          <bgColor theme="9"/>
        </patternFill>
      </fill>
    </dxf>
    <dxf>
      <fill>
        <patternFill>
          <bgColor rgb="FF7030A0"/>
        </patternFill>
      </fill>
    </dxf>
    <dxf>
      <fill>
        <patternFill>
          <bgColor rgb="FF00B0F0"/>
        </patternFill>
      </fill>
    </dxf>
    <dxf>
      <fill>
        <patternFill>
          <bgColor theme="1" tint="0.24994659260841701"/>
        </patternFill>
      </fill>
    </dxf>
    <dxf>
      <fill>
        <patternFill>
          <bgColor theme="1" tint="0.34998626667073579"/>
        </patternFill>
      </fill>
    </dxf>
    <dxf>
      <border>
        <top style="thin">
          <color indexed="64"/>
        </top>
      </border>
    </dxf>
    <dxf>
      <fill>
        <patternFill>
          <bgColor theme="9"/>
        </patternFill>
      </fill>
    </dxf>
    <dxf>
      <fill>
        <patternFill>
          <bgColor rgb="FF7030A0"/>
        </patternFill>
      </fill>
    </dxf>
    <dxf>
      <fill>
        <patternFill>
          <bgColor rgb="FF00B0F0"/>
        </patternFill>
      </fill>
    </dxf>
    <dxf>
      <fill>
        <patternFill>
          <bgColor theme="1" tint="0.24994659260841701"/>
        </patternFill>
      </fill>
    </dxf>
    <dxf>
      <border>
        <top style="thin">
          <color indexed="64"/>
        </top>
      </border>
    </dxf>
    <dxf>
      <fill>
        <patternFill>
          <bgColor theme="1" tint="0.24994659260841701"/>
        </patternFill>
      </fill>
    </dxf>
    <dxf>
      <fill>
        <patternFill>
          <bgColor rgb="FFFF0000"/>
        </patternFill>
      </fill>
    </dxf>
    <dxf>
      <font>
        <color theme="1"/>
      </font>
      <fill>
        <patternFill>
          <bgColor theme="1" tint="0.14996795556505021"/>
        </patternFill>
      </fill>
    </dxf>
    <dxf>
      <fill>
        <patternFill>
          <bgColor rgb="FFFF0000"/>
        </patternFill>
      </fill>
    </dxf>
    <dxf>
      <font>
        <color theme="1"/>
      </font>
      <fill>
        <patternFill>
          <bgColor theme="1" tint="0.14996795556505021"/>
        </patternFill>
      </fill>
    </dxf>
    <dxf>
      <fill>
        <patternFill>
          <bgColor rgb="FFFF0000"/>
        </patternFill>
      </fill>
    </dxf>
    <dxf>
      <fill>
        <patternFill>
          <bgColor rgb="FFFF0000"/>
        </patternFill>
      </fill>
    </dxf>
    <dxf>
      <fill>
        <patternFill>
          <bgColor rgb="FFFF0000"/>
        </patternFill>
      </fill>
    </dxf>
    <dxf>
      <font>
        <color theme="1"/>
      </font>
      <fill>
        <patternFill>
          <bgColor theme="1" tint="0.14996795556505021"/>
        </patternFill>
      </fill>
    </dxf>
    <dxf>
      <fill>
        <patternFill patternType="lightUp">
          <bgColor indexed="65"/>
        </patternFill>
      </fill>
    </dxf>
    <dxf>
      <fill>
        <patternFill patternType="lightUp">
          <bgColor indexed="65"/>
        </patternFill>
      </fill>
    </dxf>
    <dxf>
      <fill>
        <patternFill patternType="lightUp">
          <bgColor indexed="9"/>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fgColor indexed="64"/>
          <bgColor indexed="26"/>
        </patternFill>
      </fill>
    </dxf>
    <dxf>
      <fill>
        <patternFill>
          <bgColor indexed="26"/>
        </patternFill>
      </fill>
    </dxf>
    <dxf>
      <fill>
        <patternFill patternType="lightUp">
          <bgColor indexed="9"/>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9"/>
        </patternFill>
      </fill>
    </dxf>
    <dxf>
      <fill>
        <patternFill patternType="lightUp">
          <bgColor indexed="65"/>
        </patternFill>
      </fill>
    </dxf>
    <dxf>
      <fill>
        <patternFill patternType="lightUp">
          <bgColor indexed="9"/>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9"/>
        </patternFill>
      </fill>
    </dxf>
    <dxf>
      <fill>
        <patternFill patternType="lightUp">
          <bgColor indexed="65"/>
        </patternFill>
      </fill>
    </dxf>
    <dxf>
      <fill>
        <patternFill patternType="lightUp">
          <bgColor indexed="9"/>
        </patternFill>
      </fill>
    </dxf>
    <dxf>
      <fill>
        <patternFill patternType="lightUp">
          <bgColor indexed="65"/>
        </patternFill>
      </fill>
    </dxf>
    <dxf>
      <fill>
        <patternFill patternType="lightUp">
          <bgColor indexed="9"/>
        </patternFill>
      </fill>
    </dxf>
    <dxf>
      <fill>
        <patternFill patternType="lightUp">
          <bgColor indexed="65"/>
        </patternFill>
      </fill>
    </dxf>
    <dxf>
      <fill>
        <patternFill>
          <bgColor indexed="26"/>
        </patternFill>
      </fill>
    </dxf>
    <dxf>
      <fill>
        <patternFill patternType="lightUp">
          <fgColor indexed="64"/>
          <bgColor indexed="9"/>
        </patternFill>
      </fill>
    </dxf>
    <dxf>
      <fill>
        <patternFill patternType="lightUp">
          <bgColor indexed="9"/>
        </patternFill>
      </fill>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indexed="10"/>
      </font>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ont>
        <color indexed="10"/>
      </font>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fgColor indexed="64"/>
          <bgColor indexed="9"/>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ont>
        <color rgb="FFFF0000"/>
      </font>
    </dxf>
    <dxf>
      <fill>
        <patternFill patternType="lightUp">
          <bgColor indexed="65"/>
        </patternFill>
      </fill>
    </dxf>
    <dxf>
      <fill>
        <patternFill patternType="lightUp">
          <bgColor indexed="65"/>
        </patternFill>
      </fill>
    </dxf>
    <dxf>
      <fill>
        <patternFill patternType="lightUp">
          <fgColor indexed="64"/>
          <bgColor theme="0"/>
        </patternFill>
      </fill>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12</xdr:col>
      <xdr:colOff>260984</xdr:colOff>
      <xdr:row>1</xdr:row>
      <xdr:rowOff>47625</xdr:rowOff>
    </xdr:from>
    <xdr:to>
      <xdr:col>13</xdr:col>
      <xdr:colOff>564018</xdr:colOff>
      <xdr:row>3</xdr:row>
      <xdr:rowOff>82212</xdr:rowOff>
    </xdr:to>
    <xdr:sp macro="[0]!DieseArbeitsmappe.Hide_Example" textlink="">
      <xdr:nvSpPr>
        <xdr:cNvPr id="12" name="Rahmen 11">
          <a:extLst>
            <a:ext uri="{FF2B5EF4-FFF2-40B4-BE49-F238E27FC236}">
              <a16:creationId xmlns:a16="http://schemas.microsoft.com/office/drawing/2014/main" id="{00000000-0008-0000-0200-00000C000000}"/>
            </a:ext>
          </a:extLst>
        </xdr:cNvPr>
        <xdr:cNvSpPr/>
      </xdr:nvSpPr>
      <xdr:spPr bwMode="auto">
        <a:xfrm>
          <a:off x="8039099" y="219075"/>
          <a:ext cx="1171576" cy="381000"/>
        </a:xfrm>
        <a:prstGeom prst="bevel">
          <a:avLst/>
        </a:prstGeom>
        <a:solidFill>
          <a:schemeClr val="accent3">
            <a:lumMod val="60000"/>
            <a:lumOff val="40000"/>
          </a:schemeClr>
        </a:solidFill>
        <a:ln>
          <a:solidFill>
            <a:sysClr val="windowText" lastClr="000000"/>
          </a:solidFill>
        </a:ln>
        <a:effectLst>
          <a:outerShdw dist="35921" dir="2700000" algn="ctr" rotWithShape="0">
            <a:srgbClr val="000000"/>
          </a:outerShdw>
        </a:effectLst>
      </xdr:spPr>
      <xdr:txBody>
        <a:bodyPr vertOverflow="clip" wrap="square" lIns="18288" tIns="0" rIns="0" bIns="0" rtlCol="0" anchor="ctr" upright="1"/>
        <a:lstStyle/>
        <a:p>
          <a:pPr algn="ctr"/>
          <a:r>
            <a:rPr lang="de-AT" sz="1100" b="1">
              <a:latin typeface="Arial" pitchFamily="34" charset="0"/>
              <a:cs typeface="Arial" pitchFamily="34" charset="0"/>
            </a:rPr>
            <a:t>Examples</a:t>
          </a:r>
        </a:p>
      </xdr:txBody>
    </xdr:sp>
    <xdr:clientData/>
  </xdr:twoCellAnchor>
  <xdr:twoCellAnchor>
    <xdr:from>
      <xdr:col>5</xdr:col>
      <xdr:colOff>403860</xdr:colOff>
      <xdr:row>48</xdr:row>
      <xdr:rowOff>95250</xdr:rowOff>
    </xdr:from>
    <xdr:to>
      <xdr:col>5</xdr:col>
      <xdr:colOff>813759</xdr:colOff>
      <xdr:row>52</xdr:row>
      <xdr:rowOff>66786</xdr:rowOff>
    </xdr:to>
    <xdr:sp macro="[0]!DieseArbeitsmappe.AddMPversion" textlink="">
      <xdr:nvSpPr>
        <xdr:cNvPr id="9" name="Plus 1">
          <a:extLst>
            <a:ext uri="{FF2B5EF4-FFF2-40B4-BE49-F238E27FC236}">
              <a16:creationId xmlns:a16="http://schemas.microsoft.com/office/drawing/2014/main" id="{00000000-0008-0000-0200-000009000000}"/>
            </a:ext>
          </a:extLst>
        </xdr:cNvPr>
        <xdr:cNvSpPr/>
      </xdr:nvSpPr>
      <xdr:spPr bwMode="auto">
        <a:xfrm>
          <a:off x="2245435" y="34026662"/>
          <a:ext cx="405776" cy="397416"/>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403860</xdr:colOff>
      <xdr:row>59</xdr:row>
      <xdr:rowOff>104775</xdr:rowOff>
    </xdr:from>
    <xdr:to>
      <xdr:col>6</xdr:col>
      <xdr:colOff>813759</xdr:colOff>
      <xdr:row>63</xdr:row>
      <xdr:rowOff>75189</xdr:rowOff>
    </xdr:to>
    <xdr:sp macro="[0]!DieseArbeitsmappe.AddTransferCO2Installations" textlink="">
      <xdr:nvSpPr>
        <xdr:cNvPr id="7" name="Plus 1">
          <a:extLst>
            <a:ext uri="{FF2B5EF4-FFF2-40B4-BE49-F238E27FC236}">
              <a16:creationId xmlns:a16="http://schemas.microsoft.com/office/drawing/2014/main" id="{00000000-0008-0000-0B00-000007000000}"/>
            </a:ext>
          </a:extLst>
        </xdr:cNvPr>
        <xdr:cNvSpPr/>
      </xdr:nvSpPr>
      <xdr:spPr bwMode="auto">
        <a:xfrm>
          <a:off x="2245435" y="18247099"/>
          <a:ext cx="405776" cy="387723"/>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6</xdr:col>
      <xdr:colOff>403860</xdr:colOff>
      <xdr:row>105</xdr:row>
      <xdr:rowOff>104775</xdr:rowOff>
    </xdr:from>
    <xdr:to>
      <xdr:col>6</xdr:col>
      <xdr:colOff>813759</xdr:colOff>
      <xdr:row>109</xdr:row>
      <xdr:rowOff>75189</xdr:rowOff>
    </xdr:to>
    <xdr:sp macro="[0]!DieseArbeitsmappe.AddPipelineDevices" textlink="">
      <xdr:nvSpPr>
        <xdr:cNvPr id="3" name="Plus 1">
          <a:extLst>
            <a:ext uri="{FF2B5EF4-FFF2-40B4-BE49-F238E27FC236}">
              <a16:creationId xmlns:a16="http://schemas.microsoft.com/office/drawing/2014/main" id="{00000000-0008-0000-0B00-000003000000}"/>
            </a:ext>
          </a:extLst>
        </xdr:cNvPr>
        <xdr:cNvSpPr/>
      </xdr:nvSpPr>
      <xdr:spPr bwMode="auto">
        <a:xfrm>
          <a:off x="2245435" y="18247099"/>
          <a:ext cx="405776" cy="387723"/>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249</xdr:row>
      <xdr:rowOff>104775</xdr:rowOff>
    </xdr:from>
    <xdr:to>
      <xdr:col>5</xdr:col>
      <xdr:colOff>813759</xdr:colOff>
      <xdr:row>253</xdr:row>
      <xdr:rowOff>66675</xdr:rowOff>
    </xdr:to>
    <xdr:sp macro="[0]!DieseArbeitsmappe.AddProcedures" textlink="">
      <xdr:nvSpPr>
        <xdr:cNvPr id="4" name="Plus 1">
          <a:extLst>
            <a:ext uri="{FF2B5EF4-FFF2-40B4-BE49-F238E27FC236}">
              <a16:creationId xmlns:a16="http://schemas.microsoft.com/office/drawing/2014/main" id="{00000000-0008-0000-0B00-000004000000}"/>
            </a:ext>
          </a:extLst>
        </xdr:cNvPr>
        <xdr:cNvSpPr/>
      </xdr:nvSpPr>
      <xdr:spPr bwMode="auto">
        <a:xfrm>
          <a:off x="2245995" y="39652575"/>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270510</xdr:colOff>
      <xdr:row>1</xdr:row>
      <xdr:rowOff>49530</xdr:rowOff>
    </xdr:from>
    <xdr:to>
      <xdr:col>13</xdr:col>
      <xdr:colOff>590461</xdr:colOff>
      <xdr:row>3</xdr:row>
      <xdr:rowOff>104814</xdr:rowOff>
    </xdr:to>
    <xdr:sp macro="[0]!DieseArbeitsmappe.Hide_Example" textlink="">
      <xdr:nvSpPr>
        <xdr:cNvPr id="2" name="Rahmen 1">
          <a:extLst>
            <a:ext uri="{FF2B5EF4-FFF2-40B4-BE49-F238E27FC236}">
              <a16:creationId xmlns:a16="http://schemas.microsoft.com/office/drawing/2014/main" id="{00000000-0008-0000-0D00-000002000000}"/>
            </a:ext>
          </a:extLst>
        </xdr:cNvPr>
        <xdr:cNvSpPr/>
      </xdr:nvSpPr>
      <xdr:spPr bwMode="auto">
        <a:xfrm>
          <a:off x="8048625" y="228600"/>
          <a:ext cx="1171576" cy="381000"/>
        </a:xfrm>
        <a:prstGeom prst="bevel">
          <a:avLst/>
        </a:prstGeom>
        <a:solidFill>
          <a:schemeClr val="accent3">
            <a:lumMod val="60000"/>
            <a:lumOff val="40000"/>
          </a:schemeClr>
        </a:solidFill>
        <a:ln>
          <a:solidFill>
            <a:sysClr val="windowText" lastClr="000000"/>
          </a:solidFill>
        </a:ln>
        <a:effectLst>
          <a:outerShdw dist="35921" dir="2700000" algn="ctr" rotWithShape="0">
            <a:srgbClr val="000000"/>
          </a:outerShdw>
        </a:effectLst>
      </xdr:spPr>
      <xdr:txBody>
        <a:bodyPr vertOverflow="clip" wrap="square" lIns="18288" tIns="0" rIns="0" bIns="0" rtlCol="0" anchor="ctr" upright="1"/>
        <a:lstStyle/>
        <a:p>
          <a:pPr algn="ctr"/>
          <a:r>
            <a:rPr lang="de-AT" sz="1100" b="1">
              <a:latin typeface="Arial" pitchFamily="34" charset="0"/>
              <a:cs typeface="Arial" pitchFamily="34" charset="0"/>
            </a:rPr>
            <a:t>Examples</a:t>
          </a:r>
        </a:p>
      </xdr:txBody>
    </xdr:sp>
    <xdr:clientData/>
  </xdr:twoCellAnchor>
  <xdr:twoCellAnchor>
    <xdr:from>
      <xdr:col>5</xdr:col>
      <xdr:colOff>403860</xdr:colOff>
      <xdr:row>279</xdr:row>
      <xdr:rowOff>104775</xdr:rowOff>
    </xdr:from>
    <xdr:to>
      <xdr:col>5</xdr:col>
      <xdr:colOff>813759</xdr:colOff>
      <xdr:row>283</xdr:row>
      <xdr:rowOff>66675</xdr:rowOff>
    </xdr:to>
    <xdr:sp macro="[0]!DieseArbeitsmappe.AddProcedures" textlink="">
      <xdr:nvSpPr>
        <xdr:cNvPr id="3" name="Plus 1">
          <a:extLst>
            <a:ext uri="{FF2B5EF4-FFF2-40B4-BE49-F238E27FC236}">
              <a16:creationId xmlns:a16="http://schemas.microsoft.com/office/drawing/2014/main" id="{00000000-0008-0000-0D00-000003000000}"/>
            </a:ext>
          </a:extLst>
        </xdr:cNvPr>
        <xdr:cNvSpPr/>
      </xdr:nvSpPr>
      <xdr:spPr bwMode="auto">
        <a:xfrm>
          <a:off x="2245995" y="43586400"/>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260984</xdr:colOff>
      <xdr:row>1</xdr:row>
      <xdr:rowOff>47625</xdr:rowOff>
    </xdr:from>
    <xdr:to>
      <xdr:col>13</xdr:col>
      <xdr:colOff>564018</xdr:colOff>
      <xdr:row>3</xdr:row>
      <xdr:rowOff>82156</xdr:rowOff>
    </xdr:to>
    <xdr:sp macro="[0]!DieseArbeitsmappe.Hide_Example" textlink="">
      <xdr:nvSpPr>
        <xdr:cNvPr id="12" name="Rahmen 11">
          <a:extLst>
            <a:ext uri="{FF2B5EF4-FFF2-40B4-BE49-F238E27FC236}">
              <a16:creationId xmlns:a16="http://schemas.microsoft.com/office/drawing/2014/main" id="{00000000-0008-0000-0300-00000C000000}"/>
            </a:ext>
          </a:extLst>
        </xdr:cNvPr>
        <xdr:cNvSpPr/>
      </xdr:nvSpPr>
      <xdr:spPr bwMode="auto">
        <a:xfrm>
          <a:off x="8039099" y="219075"/>
          <a:ext cx="1171576" cy="381000"/>
        </a:xfrm>
        <a:prstGeom prst="bevel">
          <a:avLst/>
        </a:prstGeom>
        <a:solidFill>
          <a:schemeClr val="accent3">
            <a:lumMod val="60000"/>
            <a:lumOff val="40000"/>
          </a:schemeClr>
        </a:solidFill>
        <a:ln>
          <a:solidFill>
            <a:sysClr val="windowText" lastClr="000000"/>
          </a:solidFill>
        </a:ln>
        <a:effectLst>
          <a:outerShdw dist="35921" dir="2700000" algn="ctr" rotWithShape="0">
            <a:srgbClr val="000000"/>
          </a:outerShdw>
        </a:effectLst>
      </xdr:spPr>
      <xdr:txBody>
        <a:bodyPr vertOverflow="clip" wrap="square" lIns="18288" tIns="0" rIns="0" bIns="0" rtlCol="0" anchor="ctr" upright="1"/>
        <a:lstStyle/>
        <a:p>
          <a:pPr algn="ctr"/>
          <a:r>
            <a:rPr lang="de-AT" sz="1100" b="1">
              <a:latin typeface="Arial" pitchFamily="34" charset="0"/>
              <a:cs typeface="Arial" pitchFamily="34" charset="0"/>
            </a:rPr>
            <a:t>Examples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260984</xdr:colOff>
      <xdr:row>1</xdr:row>
      <xdr:rowOff>47625</xdr:rowOff>
    </xdr:from>
    <xdr:to>
      <xdr:col>13</xdr:col>
      <xdr:colOff>590675</xdr:colOff>
      <xdr:row>3</xdr:row>
      <xdr:rowOff>87740</xdr:rowOff>
    </xdr:to>
    <xdr:sp macro="[0]!DieseArbeitsmappe.Hide_Example" textlink="">
      <xdr:nvSpPr>
        <xdr:cNvPr id="12" name="Rahmen 11">
          <a:extLst>
            <a:ext uri="{FF2B5EF4-FFF2-40B4-BE49-F238E27FC236}">
              <a16:creationId xmlns:a16="http://schemas.microsoft.com/office/drawing/2014/main" id="{00000000-0008-0000-0400-00000C000000}"/>
            </a:ext>
          </a:extLst>
        </xdr:cNvPr>
        <xdr:cNvSpPr/>
      </xdr:nvSpPr>
      <xdr:spPr bwMode="auto">
        <a:xfrm>
          <a:off x="8039099" y="219075"/>
          <a:ext cx="1171576" cy="381000"/>
        </a:xfrm>
        <a:prstGeom prst="bevel">
          <a:avLst/>
        </a:prstGeom>
        <a:solidFill>
          <a:schemeClr val="accent3">
            <a:lumMod val="60000"/>
            <a:lumOff val="40000"/>
          </a:schemeClr>
        </a:solidFill>
        <a:ln>
          <a:solidFill>
            <a:sysClr val="windowText" lastClr="000000"/>
          </a:solidFill>
        </a:ln>
        <a:effectLst>
          <a:outerShdw dist="35921" dir="2700000" algn="ctr" rotWithShape="0">
            <a:srgbClr val="000000"/>
          </a:outerShdw>
        </a:effectLst>
      </xdr:spPr>
      <xdr:txBody>
        <a:bodyPr vertOverflow="clip" wrap="square" lIns="18288" tIns="0" rIns="0" bIns="0" rtlCol="0" anchor="ctr" upright="1"/>
        <a:lstStyle/>
        <a:p>
          <a:pPr algn="ctr"/>
          <a:r>
            <a:rPr lang="de-AT" sz="1100" b="1">
              <a:latin typeface="Arial" pitchFamily="34" charset="0"/>
              <a:cs typeface="Arial" pitchFamily="34" charset="0"/>
            </a:rPr>
            <a:t>Examples</a:t>
          </a:r>
        </a:p>
      </xdr:txBody>
    </xdr:sp>
    <xdr:clientData/>
  </xdr:twoCellAnchor>
  <xdr:twoCellAnchor>
    <xdr:from>
      <xdr:col>5</xdr:col>
      <xdr:colOff>403860</xdr:colOff>
      <xdr:row>176</xdr:row>
      <xdr:rowOff>102870</xdr:rowOff>
    </xdr:from>
    <xdr:to>
      <xdr:col>5</xdr:col>
      <xdr:colOff>813759</xdr:colOff>
      <xdr:row>180</xdr:row>
      <xdr:rowOff>65717</xdr:rowOff>
    </xdr:to>
    <xdr:sp macro="[0]!DieseArbeitsmappe.AddMeasurementPoint" textlink="">
      <xdr:nvSpPr>
        <xdr:cNvPr id="6" name="Plus 1">
          <a:extLst>
            <a:ext uri="{FF2B5EF4-FFF2-40B4-BE49-F238E27FC236}">
              <a16:creationId xmlns:a16="http://schemas.microsoft.com/office/drawing/2014/main" id="{00000000-0008-0000-0400-000006000000}"/>
            </a:ext>
          </a:extLst>
        </xdr:cNvPr>
        <xdr:cNvSpPr/>
      </xdr:nvSpPr>
      <xdr:spPr bwMode="auto">
        <a:xfrm>
          <a:off x="2247900" y="31965900"/>
          <a:ext cx="400050"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151</xdr:row>
      <xdr:rowOff>112395</xdr:rowOff>
    </xdr:from>
    <xdr:to>
      <xdr:col>5</xdr:col>
      <xdr:colOff>813759</xdr:colOff>
      <xdr:row>155</xdr:row>
      <xdr:rowOff>65866</xdr:rowOff>
    </xdr:to>
    <xdr:sp macro="[0]!DieseArbeitsmappe.AddEmissionPoint" textlink="">
      <xdr:nvSpPr>
        <xdr:cNvPr id="8" name="Plus 1">
          <a:extLst>
            <a:ext uri="{FF2B5EF4-FFF2-40B4-BE49-F238E27FC236}">
              <a16:creationId xmlns:a16="http://schemas.microsoft.com/office/drawing/2014/main" id="{00000000-0008-0000-0400-000008000000}"/>
            </a:ext>
          </a:extLst>
        </xdr:cNvPr>
        <xdr:cNvSpPr/>
      </xdr:nvSpPr>
      <xdr:spPr bwMode="auto">
        <a:xfrm>
          <a:off x="2247900" y="32232600"/>
          <a:ext cx="400050"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126</xdr:row>
      <xdr:rowOff>112395</xdr:rowOff>
    </xdr:from>
    <xdr:to>
      <xdr:col>5</xdr:col>
      <xdr:colOff>813759</xdr:colOff>
      <xdr:row>130</xdr:row>
      <xdr:rowOff>65835</xdr:rowOff>
    </xdr:to>
    <xdr:sp macro="[0]!DieseArbeitsmappe.AddEmissionSource" textlink="">
      <xdr:nvSpPr>
        <xdr:cNvPr id="11" name="Plus 1">
          <a:extLst>
            <a:ext uri="{FF2B5EF4-FFF2-40B4-BE49-F238E27FC236}">
              <a16:creationId xmlns:a16="http://schemas.microsoft.com/office/drawing/2014/main" id="{00000000-0008-0000-0400-00000B000000}"/>
            </a:ext>
          </a:extLst>
        </xdr:cNvPr>
        <xdr:cNvSpPr/>
      </xdr:nvSpPr>
      <xdr:spPr bwMode="auto">
        <a:xfrm>
          <a:off x="2247900" y="27736800"/>
          <a:ext cx="400050"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204</xdr:row>
      <xdr:rowOff>102870</xdr:rowOff>
    </xdr:from>
    <xdr:to>
      <xdr:col>5</xdr:col>
      <xdr:colOff>813759</xdr:colOff>
      <xdr:row>208</xdr:row>
      <xdr:rowOff>65978</xdr:rowOff>
    </xdr:to>
    <xdr:sp macro="[0]!DieseArbeitsmappe.AddSourceStream" textlink="">
      <xdr:nvSpPr>
        <xdr:cNvPr id="13" name="Plus 1">
          <a:extLst>
            <a:ext uri="{FF2B5EF4-FFF2-40B4-BE49-F238E27FC236}">
              <a16:creationId xmlns:a16="http://schemas.microsoft.com/office/drawing/2014/main" id="{00000000-0008-0000-0400-00000D000000}"/>
            </a:ext>
          </a:extLst>
        </xdr:cNvPr>
        <xdr:cNvSpPr/>
      </xdr:nvSpPr>
      <xdr:spPr bwMode="auto">
        <a:xfrm>
          <a:off x="2247900" y="23364825"/>
          <a:ext cx="400050"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260</xdr:row>
      <xdr:rowOff>95250</xdr:rowOff>
    </xdr:from>
    <xdr:to>
      <xdr:col>5</xdr:col>
      <xdr:colOff>813759</xdr:colOff>
      <xdr:row>264</xdr:row>
      <xdr:rowOff>66756</xdr:rowOff>
    </xdr:to>
    <xdr:sp macro="[0]!DieseArbeitsmappe.AddActivitiesExcluded" textlink="">
      <xdr:nvSpPr>
        <xdr:cNvPr id="9" name="Plus 1">
          <a:extLst>
            <a:ext uri="{FF2B5EF4-FFF2-40B4-BE49-F238E27FC236}">
              <a16:creationId xmlns:a16="http://schemas.microsoft.com/office/drawing/2014/main" id="{00000000-0008-0000-0400-000009000000}"/>
            </a:ext>
          </a:extLst>
        </xdr:cNvPr>
        <xdr:cNvSpPr/>
      </xdr:nvSpPr>
      <xdr:spPr bwMode="auto">
        <a:xfrm>
          <a:off x="2245435" y="34026662"/>
          <a:ext cx="405776" cy="397416"/>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270510</xdr:colOff>
      <xdr:row>1</xdr:row>
      <xdr:rowOff>57150</xdr:rowOff>
    </xdr:from>
    <xdr:to>
      <xdr:col>13</xdr:col>
      <xdr:colOff>590434</xdr:colOff>
      <xdr:row>3</xdr:row>
      <xdr:rowOff>104775</xdr:rowOff>
    </xdr:to>
    <xdr:sp macro="[0]!DieseArbeitsmappe.Hide_Example" textlink="">
      <xdr:nvSpPr>
        <xdr:cNvPr id="5" name="Rahmen 4">
          <a:extLst>
            <a:ext uri="{FF2B5EF4-FFF2-40B4-BE49-F238E27FC236}">
              <a16:creationId xmlns:a16="http://schemas.microsoft.com/office/drawing/2014/main" id="{00000000-0008-0000-0500-000005000000}"/>
            </a:ext>
          </a:extLst>
        </xdr:cNvPr>
        <xdr:cNvSpPr/>
      </xdr:nvSpPr>
      <xdr:spPr bwMode="auto">
        <a:xfrm>
          <a:off x="8048625" y="228600"/>
          <a:ext cx="1171576" cy="381000"/>
        </a:xfrm>
        <a:prstGeom prst="bevel">
          <a:avLst/>
        </a:prstGeom>
        <a:solidFill>
          <a:schemeClr val="accent3">
            <a:lumMod val="60000"/>
            <a:lumOff val="40000"/>
          </a:schemeClr>
        </a:solidFill>
        <a:ln>
          <a:solidFill>
            <a:sysClr val="windowText" lastClr="000000"/>
          </a:solidFill>
        </a:ln>
        <a:effectLst>
          <a:outerShdw dist="35921" dir="2700000" algn="ctr" rotWithShape="0">
            <a:srgbClr val="000000"/>
          </a:outerShdw>
        </a:effectLst>
      </xdr:spPr>
      <xdr:txBody>
        <a:bodyPr vertOverflow="clip" wrap="square" lIns="18288" tIns="0" rIns="0" bIns="0" rtlCol="0" anchor="ctr" upright="1"/>
        <a:lstStyle/>
        <a:p>
          <a:pPr algn="ctr"/>
          <a:r>
            <a:rPr lang="de-AT" sz="1100" b="1">
              <a:latin typeface="Arial" pitchFamily="34" charset="0"/>
              <a:cs typeface="Arial" pitchFamily="34" charset="0"/>
            </a:rPr>
            <a:t>Examples</a:t>
          </a:r>
        </a:p>
      </xdr:txBody>
    </xdr:sp>
    <xdr:clientData/>
  </xdr:twoCellAnchor>
  <xdr:twoCellAnchor>
    <xdr:from>
      <xdr:col>5</xdr:col>
      <xdr:colOff>403860</xdr:colOff>
      <xdr:row>154</xdr:row>
      <xdr:rowOff>112395</xdr:rowOff>
    </xdr:from>
    <xdr:to>
      <xdr:col>5</xdr:col>
      <xdr:colOff>813759</xdr:colOff>
      <xdr:row>158</xdr:row>
      <xdr:rowOff>74295</xdr:rowOff>
    </xdr:to>
    <xdr:sp macro="[0]!DieseArbeitsmappe.AddLaboratories" textlink="">
      <xdr:nvSpPr>
        <xdr:cNvPr id="3" name="Plus 1">
          <a:extLst>
            <a:ext uri="{FF2B5EF4-FFF2-40B4-BE49-F238E27FC236}">
              <a16:creationId xmlns:a16="http://schemas.microsoft.com/office/drawing/2014/main" id="{00000000-0008-0000-0500-000003000000}"/>
            </a:ext>
          </a:extLst>
        </xdr:cNvPr>
        <xdr:cNvSpPr/>
      </xdr:nvSpPr>
      <xdr:spPr bwMode="auto">
        <a:xfrm>
          <a:off x="2245995" y="24926925"/>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124</xdr:row>
      <xdr:rowOff>104775</xdr:rowOff>
    </xdr:from>
    <xdr:to>
      <xdr:col>5</xdr:col>
      <xdr:colOff>813759</xdr:colOff>
      <xdr:row>128</xdr:row>
      <xdr:rowOff>66675</xdr:rowOff>
    </xdr:to>
    <xdr:sp macro="[0]!DieseArbeitsmappe.AddInformationSources" textlink="">
      <xdr:nvSpPr>
        <xdr:cNvPr id="4" name="Plus 1">
          <a:extLst>
            <a:ext uri="{FF2B5EF4-FFF2-40B4-BE49-F238E27FC236}">
              <a16:creationId xmlns:a16="http://schemas.microsoft.com/office/drawing/2014/main" id="{00000000-0008-0000-0500-000004000000}"/>
            </a:ext>
          </a:extLst>
        </xdr:cNvPr>
        <xdr:cNvSpPr/>
      </xdr:nvSpPr>
      <xdr:spPr bwMode="auto">
        <a:xfrm>
          <a:off x="2245435" y="24376716"/>
          <a:ext cx="405776" cy="387724"/>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311</xdr:row>
      <xdr:rowOff>104775</xdr:rowOff>
    </xdr:from>
    <xdr:to>
      <xdr:col>5</xdr:col>
      <xdr:colOff>813759</xdr:colOff>
      <xdr:row>311</xdr:row>
      <xdr:rowOff>104775</xdr:rowOff>
    </xdr:to>
    <xdr:sp macro="[0]!DieseArbeitsmappe.AddProcedures" textlink="">
      <xdr:nvSpPr>
        <xdr:cNvPr id="6" name="Plus 1">
          <a:extLst>
            <a:ext uri="{FF2B5EF4-FFF2-40B4-BE49-F238E27FC236}">
              <a16:creationId xmlns:a16="http://schemas.microsoft.com/office/drawing/2014/main" id="{00000000-0008-0000-0500-000006000000}"/>
            </a:ext>
          </a:extLst>
        </xdr:cNvPr>
        <xdr:cNvSpPr/>
      </xdr:nvSpPr>
      <xdr:spPr bwMode="auto">
        <a:xfrm>
          <a:off x="2245435" y="24175010"/>
          <a:ext cx="405776" cy="387724"/>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88</xdr:row>
      <xdr:rowOff>104775</xdr:rowOff>
    </xdr:from>
    <xdr:to>
      <xdr:col>5</xdr:col>
      <xdr:colOff>813759</xdr:colOff>
      <xdr:row>92</xdr:row>
      <xdr:rowOff>75393</xdr:rowOff>
    </xdr:to>
    <xdr:sp macro="[0]!DieseArbeitsmappe.AddMeasuringInstrSheetD" textlink="">
      <xdr:nvSpPr>
        <xdr:cNvPr id="7" name="Plus 1">
          <a:extLst>
            <a:ext uri="{FF2B5EF4-FFF2-40B4-BE49-F238E27FC236}">
              <a16:creationId xmlns:a16="http://schemas.microsoft.com/office/drawing/2014/main" id="{00000000-0008-0000-0500-000007000000}"/>
            </a:ext>
          </a:extLst>
        </xdr:cNvPr>
        <xdr:cNvSpPr/>
      </xdr:nvSpPr>
      <xdr:spPr bwMode="auto">
        <a:xfrm>
          <a:off x="2245435" y="18247099"/>
          <a:ext cx="405776" cy="387723"/>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398145</xdr:colOff>
      <xdr:row>311</xdr:row>
      <xdr:rowOff>95250</xdr:rowOff>
    </xdr:from>
    <xdr:to>
      <xdr:col>5</xdr:col>
      <xdr:colOff>815994</xdr:colOff>
      <xdr:row>315</xdr:row>
      <xdr:rowOff>49530</xdr:rowOff>
    </xdr:to>
    <xdr:sp macro="[0]!DieseArbeitsmappe.AddProcedures" textlink="">
      <xdr:nvSpPr>
        <xdr:cNvPr id="8" name="Plus 1">
          <a:extLst>
            <a:ext uri="{FF2B5EF4-FFF2-40B4-BE49-F238E27FC236}">
              <a16:creationId xmlns:a16="http://schemas.microsoft.com/office/drawing/2014/main" id="{00000000-0008-0000-0500-000008000000}"/>
            </a:ext>
          </a:extLst>
        </xdr:cNvPr>
        <xdr:cNvSpPr/>
      </xdr:nvSpPr>
      <xdr:spPr bwMode="auto">
        <a:xfrm>
          <a:off x="2057400" y="46986825"/>
          <a:ext cx="41180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260984</xdr:colOff>
      <xdr:row>1</xdr:row>
      <xdr:rowOff>47625</xdr:rowOff>
    </xdr:from>
    <xdr:to>
      <xdr:col>13</xdr:col>
      <xdr:colOff>584835</xdr:colOff>
      <xdr:row>3</xdr:row>
      <xdr:rowOff>95250</xdr:rowOff>
    </xdr:to>
    <xdr:sp macro="[0]!DieseArbeitsmappe.Hide_Example" textlink="">
      <xdr:nvSpPr>
        <xdr:cNvPr id="12" name="Rahmen 11">
          <a:extLst>
            <a:ext uri="{FF2B5EF4-FFF2-40B4-BE49-F238E27FC236}">
              <a16:creationId xmlns:a16="http://schemas.microsoft.com/office/drawing/2014/main" id="{00000000-0008-0000-0600-00000C000000}"/>
            </a:ext>
          </a:extLst>
        </xdr:cNvPr>
        <xdr:cNvSpPr/>
      </xdr:nvSpPr>
      <xdr:spPr bwMode="auto">
        <a:xfrm>
          <a:off x="8039099" y="219075"/>
          <a:ext cx="1171576" cy="381000"/>
        </a:xfrm>
        <a:prstGeom prst="bevel">
          <a:avLst/>
        </a:prstGeom>
        <a:solidFill>
          <a:schemeClr val="accent3">
            <a:lumMod val="60000"/>
            <a:lumOff val="40000"/>
          </a:schemeClr>
        </a:solidFill>
        <a:ln>
          <a:solidFill>
            <a:sysClr val="windowText" lastClr="000000"/>
          </a:solidFill>
        </a:ln>
        <a:effectLst>
          <a:outerShdw dist="35921" dir="2700000" algn="ctr" rotWithShape="0">
            <a:srgbClr val="000000"/>
          </a:outerShdw>
        </a:effectLst>
      </xdr:spPr>
      <xdr:txBody>
        <a:bodyPr vertOverflow="clip" wrap="square" lIns="18288" tIns="0" rIns="0" bIns="0" rtlCol="0" anchor="ctr" upright="1"/>
        <a:lstStyle/>
        <a:p>
          <a:pPr algn="ctr"/>
          <a:r>
            <a:rPr lang="de-AT" sz="1100" b="1">
              <a:latin typeface="Arial" pitchFamily="34" charset="0"/>
              <a:cs typeface="Arial" pitchFamily="34" charset="0"/>
            </a:rPr>
            <a:t>Examples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270510</xdr:colOff>
      <xdr:row>1</xdr:row>
      <xdr:rowOff>49530</xdr:rowOff>
    </xdr:from>
    <xdr:to>
      <xdr:col>13</xdr:col>
      <xdr:colOff>590459</xdr:colOff>
      <xdr:row>3</xdr:row>
      <xdr:rowOff>112402</xdr:rowOff>
    </xdr:to>
    <xdr:sp macro="[0]!DieseArbeitsmappe.Hide_Example" textlink="">
      <xdr:nvSpPr>
        <xdr:cNvPr id="2" name="Rahmen 1">
          <a:extLst>
            <a:ext uri="{FF2B5EF4-FFF2-40B4-BE49-F238E27FC236}">
              <a16:creationId xmlns:a16="http://schemas.microsoft.com/office/drawing/2014/main" id="{00000000-0008-0000-0700-000002000000}"/>
            </a:ext>
          </a:extLst>
        </xdr:cNvPr>
        <xdr:cNvSpPr/>
      </xdr:nvSpPr>
      <xdr:spPr bwMode="auto">
        <a:xfrm>
          <a:off x="8048625" y="228600"/>
          <a:ext cx="1171576" cy="381000"/>
        </a:xfrm>
        <a:prstGeom prst="bevel">
          <a:avLst/>
        </a:prstGeom>
        <a:solidFill>
          <a:schemeClr val="accent3">
            <a:lumMod val="60000"/>
            <a:lumOff val="40000"/>
          </a:schemeClr>
        </a:solidFill>
        <a:ln>
          <a:solidFill>
            <a:sysClr val="windowText" lastClr="000000"/>
          </a:solidFill>
        </a:ln>
        <a:effectLst>
          <a:outerShdw dist="35921" dir="2700000" algn="ctr" rotWithShape="0">
            <a:srgbClr val="000000"/>
          </a:outerShdw>
        </a:effectLst>
      </xdr:spPr>
      <xdr:txBody>
        <a:bodyPr vertOverflow="clip" wrap="square" lIns="18288" tIns="0" rIns="0" bIns="0" rtlCol="0" anchor="ctr" upright="1"/>
        <a:lstStyle/>
        <a:p>
          <a:pPr algn="ctr"/>
          <a:r>
            <a:rPr lang="de-AT" sz="1100" b="1">
              <a:latin typeface="Arial" pitchFamily="34" charset="0"/>
              <a:cs typeface="Arial" pitchFamily="34" charset="0"/>
            </a:rPr>
            <a:t>Examples</a:t>
          </a:r>
        </a:p>
      </xdr:txBody>
    </xdr:sp>
    <xdr:clientData/>
  </xdr:twoCellAnchor>
  <xdr:twoCellAnchor>
    <xdr:from>
      <xdr:col>5</xdr:col>
      <xdr:colOff>403860</xdr:colOff>
      <xdr:row>520</xdr:row>
      <xdr:rowOff>104775</xdr:rowOff>
    </xdr:from>
    <xdr:to>
      <xdr:col>5</xdr:col>
      <xdr:colOff>813759</xdr:colOff>
      <xdr:row>524</xdr:row>
      <xdr:rowOff>66675</xdr:rowOff>
    </xdr:to>
    <xdr:sp macro="[0]!DieseArbeitsmappe.AddProcedures" textlink="">
      <xdr:nvSpPr>
        <xdr:cNvPr id="5" name="Plus 1">
          <a:extLst>
            <a:ext uri="{FF2B5EF4-FFF2-40B4-BE49-F238E27FC236}">
              <a16:creationId xmlns:a16="http://schemas.microsoft.com/office/drawing/2014/main" id="{00000000-0008-0000-0700-000005000000}"/>
            </a:ext>
          </a:extLst>
        </xdr:cNvPr>
        <xdr:cNvSpPr/>
      </xdr:nvSpPr>
      <xdr:spPr bwMode="auto">
        <a:xfrm>
          <a:off x="2245995" y="43586400"/>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85</xdr:row>
      <xdr:rowOff>104775</xdr:rowOff>
    </xdr:from>
    <xdr:to>
      <xdr:col>5</xdr:col>
      <xdr:colOff>813759</xdr:colOff>
      <xdr:row>89</xdr:row>
      <xdr:rowOff>74845</xdr:rowOff>
    </xdr:to>
    <xdr:sp macro="[0]!DieseArbeitsmappe.AddMeasuringInstrSheetF" textlink="">
      <xdr:nvSpPr>
        <xdr:cNvPr id="7" name="Plus 1">
          <a:extLst>
            <a:ext uri="{FF2B5EF4-FFF2-40B4-BE49-F238E27FC236}">
              <a16:creationId xmlns:a16="http://schemas.microsoft.com/office/drawing/2014/main" id="{00000000-0008-0000-0700-000007000000}"/>
            </a:ext>
          </a:extLst>
        </xdr:cNvPr>
        <xdr:cNvSpPr/>
      </xdr:nvSpPr>
      <xdr:spPr bwMode="auto">
        <a:xfrm>
          <a:off x="2245435" y="18247099"/>
          <a:ext cx="405776" cy="387723"/>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118</xdr:row>
      <xdr:rowOff>85725</xdr:rowOff>
    </xdr:from>
    <xdr:to>
      <xdr:col>5</xdr:col>
      <xdr:colOff>813759</xdr:colOff>
      <xdr:row>122</xdr:row>
      <xdr:rowOff>44867</xdr:rowOff>
    </xdr:to>
    <xdr:sp macro="[0]!DieseArbeitsmappe.AddLaboratories" textlink="">
      <xdr:nvSpPr>
        <xdr:cNvPr id="3" name="Plus 1">
          <a:extLst>
            <a:ext uri="{FF2B5EF4-FFF2-40B4-BE49-F238E27FC236}">
              <a16:creationId xmlns:a16="http://schemas.microsoft.com/office/drawing/2014/main" id="{00000000-0008-0000-0700-000003000000}"/>
            </a:ext>
          </a:extLst>
        </xdr:cNvPr>
        <xdr:cNvSpPr/>
      </xdr:nvSpPr>
      <xdr:spPr bwMode="auto">
        <a:xfrm>
          <a:off x="2245995" y="24926925"/>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403860</xdr:colOff>
      <xdr:row>80</xdr:row>
      <xdr:rowOff>104775</xdr:rowOff>
    </xdr:from>
    <xdr:to>
      <xdr:col>5</xdr:col>
      <xdr:colOff>813759</xdr:colOff>
      <xdr:row>84</xdr:row>
      <xdr:rowOff>66675</xdr:rowOff>
    </xdr:to>
    <xdr:sp macro="[0]!DieseArbeitsmappe.AddProcedures" textlink="">
      <xdr:nvSpPr>
        <xdr:cNvPr id="3" name="Plus 1">
          <a:extLst>
            <a:ext uri="{FF2B5EF4-FFF2-40B4-BE49-F238E27FC236}">
              <a16:creationId xmlns:a16="http://schemas.microsoft.com/office/drawing/2014/main" id="{00000000-0008-0000-0800-000003000000}"/>
            </a:ext>
          </a:extLst>
        </xdr:cNvPr>
        <xdr:cNvSpPr/>
      </xdr:nvSpPr>
      <xdr:spPr bwMode="auto">
        <a:xfrm>
          <a:off x="2245995" y="38890575"/>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403860</xdr:colOff>
      <xdr:row>109</xdr:row>
      <xdr:rowOff>104775</xdr:rowOff>
    </xdr:from>
    <xdr:to>
      <xdr:col>5</xdr:col>
      <xdr:colOff>813759</xdr:colOff>
      <xdr:row>113</xdr:row>
      <xdr:rowOff>66675</xdr:rowOff>
    </xdr:to>
    <xdr:sp macro="[0]!DieseArbeitsmappe.AddProcedures" textlink="">
      <xdr:nvSpPr>
        <xdr:cNvPr id="5" name="Plus 1">
          <a:extLst>
            <a:ext uri="{FF2B5EF4-FFF2-40B4-BE49-F238E27FC236}">
              <a16:creationId xmlns:a16="http://schemas.microsoft.com/office/drawing/2014/main" id="{00000000-0008-0000-0900-000005000000}"/>
            </a:ext>
          </a:extLst>
        </xdr:cNvPr>
        <xdr:cNvSpPr/>
      </xdr:nvSpPr>
      <xdr:spPr bwMode="auto">
        <a:xfrm>
          <a:off x="2245995" y="43586400"/>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403860</xdr:colOff>
      <xdr:row>494</xdr:row>
      <xdr:rowOff>104775</xdr:rowOff>
    </xdr:from>
    <xdr:to>
      <xdr:col>5</xdr:col>
      <xdr:colOff>813759</xdr:colOff>
      <xdr:row>498</xdr:row>
      <xdr:rowOff>66675</xdr:rowOff>
    </xdr:to>
    <xdr:sp macro="[0]!DieseArbeitsmappe.AddProcedures" textlink="">
      <xdr:nvSpPr>
        <xdr:cNvPr id="4" name="Plus 1">
          <a:extLst>
            <a:ext uri="{FF2B5EF4-FFF2-40B4-BE49-F238E27FC236}">
              <a16:creationId xmlns:a16="http://schemas.microsoft.com/office/drawing/2014/main" id="{00000000-0008-0000-0A00-000004000000}"/>
            </a:ext>
          </a:extLst>
        </xdr:cNvPr>
        <xdr:cNvSpPr/>
      </xdr:nvSpPr>
      <xdr:spPr bwMode="auto">
        <a:xfrm>
          <a:off x="2245995" y="39652575"/>
          <a:ext cx="405776"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twoCellAnchor>
    <xdr:from>
      <xdr:col>5</xdr:col>
      <xdr:colOff>403860</xdr:colOff>
      <xdr:row>55</xdr:row>
      <xdr:rowOff>104775</xdr:rowOff>
    </xdr:from>
    <xdr:to>
      <xdr:col>5</xdr:col>
      <xdr:colOff>813759</xdr:colOff>
      <xdr:row>59</xdr:row>
      <xdr:rowOff>66346</xdr:rowOff>
    </xdr:to>
    <xdr:sp macro="[0]!DieseArbeitsmappe.AddAluSourceStream" textlink="">
      <xdr:nvSpPr>
        <xdr:cNvPr id="13" name="Plus 1">
          <a:extLst>
            <a:ext uri="{FF2B5EF4-FFF2-40B4-BE49-F238E27FC236}">
              <a16:creationId xmlns:a16="http://schemas.microsoft.com/office/drawing/2014/main" id="{00000000-0008-0000-0A00-00000D000000}"/>
            </a:ext>
          </a:extLst>
        </xdr:cNvPr>
        <xdr:cNvSpPr/>
      </xdr:nvSpPr>
      <xdr:spPr bwMode="auto">
        <a:xfrm>
          <a:off x="2247900" y="23364825"/>
          <a:ext cx="400050" cy="400050"/>
        </a:xfrm>
        <a:prstGeom prst="mathPlus">
          <a:avLst/>
        </a:prstGeom>
        <a:solidFill>
          <a:schemeClr val="bg2">
            <a:lumMod val="75000"/>
          </a:schemeClr>
        </a:solidFill>
        <a:ln>
          <a:noFill/>
        </a:ln>
        <a:effectLst>
          <a:outerShdw dist="35921" dir="2700000" algn="ctr" rotWithShape="0">
            <a:srgbClr val="000000"/>
          </a:outerShdw>
        </a:effectLst>
      </xdr:spPr>
      <xdr:txBody>
        <a:bodyPr vertOverflow="clip" horzOverflow="clip" wrap="square" lIns="18288" tIns="0" rIns="0" bIns="0" rtlCol="0" anchor="t" upright="1"/>
        <a:lstStyle/>
        <a:p>
          <a:endParaRPr lang="de-AT"/>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500000" mc:Ignorable="a14" a14:legacySpreadsheetColorIndex="8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500000" mc:Ignorable="a14" a14:legacySpreadsheetColorIndex="8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eli/reg_impl/2018/2066/2024-07-01" TargetMode="External"/><Relationship Id="rId2" Type="http://schemas.openxmlformats.org/officeDocument/2006/relationships/hyperlink" Target="http://ec.europa.eu/clima/policies/ets/monitoring/index_en.htm"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eli/reg_impl/2018/2066/oj" TargetMode="External"/><Relationship Id="rId5" Type="http://schemas.openxmlformats.org/officeDocument/2006/relationships/hyperlink" Target="https://climate.ec.europa.eu/eu-action/eu-emissions-trading-system-eu-ets/monitoring-reporting-and-verification-eu-ets-emissions_en" TargetMode="External"/><Relationship Id="rId4" Type="http://schemas.openxmlformats.org/officeDocument/2006/relationships/hyperlink" Target="https://eur-lex.europa.eu/eli/dir/2003/87/2024-03-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eur-lex.europa.eu/eli/reg_impl/2018/2066/oj" TargetMode="External"/><Relationship Id="rId2" Type="http://schemas.openxmlformats.org/officeDocument/2006/relationships/hyperlink" Target="https://ec.europa.eu/clima/policies/ets/monitoring_en" TargetMode="External"/><Relationship Id="rId1" Type="http://schemas.openxmlformats.org/officeDocument/2006/relationships/hyperlink" Target="http://ec.europa.eu/clima/documentation/ets/docs/decision_benchmarking_15_dec_en.pdf."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c.europa.eu/clima/sites/clima/files/ets/docs/guidance_interpretation_en.pdf" TargetMode="External"/><Relationship Id="rId1" Type="http://schemas.openxmlformats.org/officeDocument/2006/relationships/hyperlink" Target="https://climate.ec.europa.eu/document/download/edc93136-82a0-482c-bf47-39ecaf13b318_en?filename=policy_ets_gd0_annex_i_euets_directive_en.pdf"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0">
    <tabColor indexed="9"/>
    <pageSetUpPr fitToPage="1"/>
  </sheetPr>
  <dimension ref="A1:J73"/>
  <sheetViews>
    <sheetView tabSelected="1" zoomScaleNormal="100" workbookViewId="0"/>
  </sheetViews>
  <sheetFormatPr defaultColWidth="9.140625" defaultRowHeight="12.75" x14ac:dyDescent="0.2"/>
  <cols>
    <col min="1" max="2" width="4.7109375" style="34" customWidth="1"/>
    <col min="3" max="9" width="12.7109375" style="34" customWidth="1"/>
    <col min="10" max="16384" width="9.140625" style="34"/>
  </cols>
  <sheetData>
    <row r="1" spans="1:10" ht="35.25" customHeight="1" x14ac:dyDescent="0.2">
      <c r="A1" s="625"/>
      <c r="B1" s="626" t="str">
        <f>Translations!$B$2</f>
        <v>ANNUAL EMISSIONS MONITORING PLAN</v>
      </c>
      <c r="C1" s="625"/>
      <c r="D1" s="625"/>
      <c r="E1" s="625"/>
      <c r="F1" s="625"/>
      <c r="G1" s="625"/>
      <c r="H1" s="625"/>
      <c r="I1" s="625"/>
    </row>
    <row r="2" spans="1:10" x14ac:dyDescent="0.2">
      <c r="A2" s="625"/>
      <c r="B2" s="627"/>
      <c r="C2" s="625"/>
      <c r="D2" s="625"/>
      <c r="E2" s="625"/>
      <c r="F2" s="625"/>
      <c r="G2" s="625"/>
      <c r="H2" s="625"/>
      <c r="I2" s="625"/>
    </row>
    <row r="3" spans="1:10" ht="15.75" x14ac:dyDescent="0.2">
      <c r="A3" s="628"/>
      <c r="B3" s="629" t="str">
        <f>Translations!$B$3</f>
        <v>CONTENTS</v>
      </c>
      <c r="C3" s="628"/>
      <c r="D3" s="628"/>
      <c r="E3" s="628"/>
      <c r="F3" s="628"/>
      <c r="G3" s="628"/>
      <c r="H3" s="628"/>
      <c r="I3" s="628"/>
      <c r="J3" s="36"/>
    </row>
    <row r="4" spans="1:10" x14ac:dyDescent="0.2">
      <c r="A4" s="628"/>
      <c r="B4" s="628"/>
      <c r="C4" s="628"/>
      <c r="D4" s="628"/>
      <c r="E4" s="628"/>
      <c r="F4" s="628"/>
      <c r="G4" s="628"/>
      <c r="H4" s="628"/>
      <c r="I4" s="628"/>
      <c r="J4" s="36"/>
    </row>
    <row r="5" spans="1:10" x14ac:dyDescent="0.2">
      <c r="A5" s="628"/>
      <c r="B5" s="628" t="str">
        <f>Translations!$B$4</f>
        <v>Sheet names are given in bold font and section names in normal font.</v>
      </c>
      <c r="C5" s="628"/>
      <c r="D5" s="628"/>
      <c r="E5" s="628"/>
      <c r="F5" s="628"/>
      <c r="G5" s="628"/>
      <c r="H5" s="628"/>
      <c r="I5" s="628"/>
      <c r="J5" s="36"/>
    </row>
    <row r="6" spans="1:10" x14ac:dyDescent="0.2">
      <c r="A6" s="628"/>
      <c r="B6" s="628"/>
      <c r="C6" s="628"/>
      <c r="D6" s="628"/>
      <c r="E6" s="628"/>
      <c r="F6" s="628"/>
      <c r="G6" s="628"/>
      <c r="H6" s="628"/>
      <c r="I6" s="628"/>
      <c r="J6" s="36"/>
    </row>
    <row r="7" spans="1:10" x14ac:dyDescent="0.2">
      <c r="A7" s="628"/>
      <c r="B7" s="713" t="str">
        <f>Translations!$B$5</f>
        <v>a_Contents</v>
      </c>
      <c r="C7" s="717"/>
      <c r="D7" s="717"/>
      <c r="E7" s="717"/>
      <c r="F7" s="717"/>
      <c r="G7" s="717"/>
      <c r="H7" s="717"/>
      <c r="I7" s="717"/>
      <c r="J7" s="36"/>
    </row>
    <row r="8" spans="1:10" x14ac:dyDescent="0.2">
      <c r="A8" s="628"/>
      <c r="B8" s="713" t="str">
        <f>Translations!$B$6</f>
        <v>b_Guidelines and conditions</v>
      </c>
      <c r="C8" s="714"/>
      <c r="D8" s="714"/>
      <c r="E8" s="714"/>
      <c r="F8" s="714"/>
      <c r="G8" s="714"/>
      <c r="H8" s="714"/>
      <c r="I8" s="714"/>
      <c r="J8" s="36"/>
    </row>
    <row r="9" spans="1:10" x14ac:dyDescent="0.2">
      <c r="A9" s="628"/>
      <c r="B9" s="713" t="str">
        <f>Translations!$B$7</f>
        <v>A. Monitoring Plan versions</v>
      </c>
      <c r="C9" s="714"/>
      <c r="D9" s="714"/>
      <c r="E9" s="714"/>
      <c r="F9" s="714"/>
      <c r="G9" s="714"/>
      <c r="H9" s="714"/>
      <c r="I9" s="714"/>
      <c r="J9" s="36"/>
    </row>
    <row r="10" spans="1:10" x14ac:dyDescent="0.2">
      <c r="A10" s="625"/>
      <c r="B10" s="630">
        <v>1</v>
      </c>
      <c r="C10" s="715" t="str">
        <f>Translations!$B$8</f>
        <v>List of monitoring plan versions</v>
      </c>
      <c r="D10" s="715"/>
      <c r="E10" s="715"/>
      <c r="F10" s="715"/>
      <c r="G10" s="715"/>
      <c r="H10" s="715"/>
      <c r="I10" s="715"/>
      <c r="J10" s="36"/>
    </row>
    <row r="11" spans="1:10" x14ac:dyDescent="0.2">
      <c r="A11" s="628"/>
      <c r="B11" s="713" t="str">
        <f>Translations!$B$9</f>
        <v>B. Operator &amp; Installation Identification</v>
      </c>
      <c r="C11" s="714"/>
      <c r="D11" s="714"/>
      <c r="E11" s="714"/>
      <c r="F11" s="714"/>
      <c r="G11" s="714"/>
      <c r="H11" s="714"/>
      <c r="I11" s="714"/>
      <c r="J11" s="36"/>
    </row>
    <row r="12" spans="1:10" x14ac:dyDescent="0.2">
      <c r="A12" s="625"/>
      <c r="B12" s="630">
        <v>2</v>
      </c>
      <c r="C12" s="715" t="str">
        <f>Translations!$B$10</f>
        <v>About the operator</v>
      </c>
      <c r="D12" s="715"/>
      <c r="E12" s="715"/>
      <c r="F12" s="715"/>
      <c r="G12" s="715"/>
      <c r="H12" s="715"/>
      <c r="I12" s="715"/>
      <c r="J12" s="36"/>
    </row>
    <row r="13" spans="1:10" x14ac:dyDescent="0.2">
      <c r="A13" s="625"/>
      <c r="B13" s="631">
        <v>3</v>
      </c>
      <c r="C13" s="715" t="str">
        <f>Translations!$B$11</f>
        <v>About your installation</v>
      </c>
      <c r="D13" s="715"/>
      <c r="E13" s="715"/>
      <c r="F13" s="715"/>
      <c r="G13" s="715"/>
      <c r="H13" s="715"/>
      <c r="I13" s="715"/>
      <c r="J13" s="36"/>
    </row>
    <row r="14" spans="1:10" x14ac:dyDescent="0.2">
      <c r="A14" s="625"/>
      <c r="B14" s="630">
        <v>4</v>
      </c>
      <c r="C14" s="715" t="str">
        <f>Translations!$B$12</f>
        <v xml:space="preserve">Contact details </v>
      </c>
      <c r="D14" s="715"/>
      <c r="E14" s="715"/>
      <c r="F14" s="715"/>
      <c r="G14" s="715"/>
      <c r="H14" s="715"/>
      <c r="I14" s="715"/>
      <c r="J14" s="36"/>
    </row>
    <row r="15" spans="1:10" x14ac:dyDescent="0.2">
      <c r="A15" s="628"/>
      <c r="B15" s="713" t="str">
        <f>Translations!$B$13</f>
        <v>C. Installation Description</v>
      </c>
      <c r="C15" s="714"/>
      <c r="D15" s="714"/>
      <c r="E15" s="714"/>
      <c r="F15" s="714"/>
      <c r="G15" s="714"/>
      <c r="H15" s="714"/>
      <c r="I15" s="714"/>
      <c r="J15" s="36"/>
    </row>
    <row r="16" spans="1:10" ht="12.75" customHeight="1" x14ac:dyDescent="0.2">
      <c r="A16" s="625"/>
      <c r="B16" s="630">
        <v>5</v>
      </c>
      <c r="C16" s="715" t="str">
        <f>Translations!$B$14</f>
        <v>About the Installation Activities</v>
      </c>
      <c r="D16" s="715"/>
      <c r="E16" s="715"/>
      <c r="F16" s="715"/>
      <c r="G16" s="715"/>
      <c r="H16" s="715"/>
      <c r="I16" s="715"/>
      <c r="J16" s="36"/>
    </row>
    <row r="17" spans="1:10" ht="12.75" customHeight="1" x14ac:dyDescent="0.2">
      <c r="A17" s="625"/>
      <c r="B17" s="630">
        <v>6</v>
      </c>
      <c r="C17" s="715" t="str">
        <f>Translations!$B$15</f>
        <v>About your emissions</v>
      </c>
      <c r="D17" s="715"/>
      <c r="E17" s="715"/>
      <c r="F17" s="715"/>
      <c r="G17" s="715"/>
      <c r="H17" s="715"/>
      <c r="I17" s="715"/>
      <c r="J17" s="36"/>
    </row>
    <row r="18" spans="1:10" x14ac:dyDescent="0.2">
      <c r="A18" s="628"/>
      <c r="B18" s="713" t="str">
        <f>Translations!$B$16</f>
        <v>D. Calculation Based Approaches</v>
      </c>
      <c r="C18" s="714"/>
      <c r="D18" s="714"/>
      <c r="E18" s="714"/>
      <c r="F18" s="714"/>
      <c r="G18" s="714"/>
      <c r="H18" s="714"/>
      <c r="I18" s="714"/>
      <c r="J18" s="36"/>
    </row>
    <row r="19" spans="1:10" x14ac:dyDescent="0.2">
      <c r="A19" s="625"/>
      <c r="B19" s="630">
        <v>7</v>
      </c>
      <c r="C19" s="715" t="str">
        <f>Translations!$B$17</f>
        <v>Calculation: Details which are needed for further input in the next sheet</v>
      </c>
      <c r="D19" s="715"/>
      <c r="E19" s="715"/>
      <c r="F19" s="715"/>
      <c r="G19" s="715"/>
      <c r="H19" s="715"/>
      <c r="I19" s="715"/>
      <c r="J19" s="36"/>
    </row>
    <row r="20" spans="1:10" x14ac:dyDescent="0.2">
      <c r="A20" s="628"/>
      <c r="B20" s="713" t="str">
        <f>Translations!$B$18</f>
        <v>E. SourceStreams</v>
      </c>
      <c r="C20" s="714"/>
      <c r="D20" s="714"/>
      <c r="E20" s="714"/>
      <c r="F20" s="714"/>
      <c r="G20" s="714"/>
      <c r="H20" s="714"/>
      <c r="I20" s="714"/>
      <c r="J20" s="36"/>
    </row>
    <row r="21" spans="1:10" x14ac:dyDescent="0.2">
      <c r="A21" s="625"/>
      <c r="B21" s="630">
        <v>8</v>
      </c>
      <c r="C21" s="715" t="str">
        <f>Translations!$B$19</f>
        <v>Details on the applied tiers for activity data and calculation factors</v>
      </c>
      <c r="D21" s="715"/>
      <c r="E21" s="715"/>
      <c r="F21" s="715"/>
      <c r="G21" s="715"/>
      <c r="H21" s="715"/>
      <c r="I21" s="715"/>
      <c r="J21" s="36"/>
    </row>
    <row r="22" spans="1:10" x14ac:dyDescent="0.2">
      <c r="A22" s="628"/>
      <c r="B22" s="713" t="str">
        <f>Translations!$B$20</f>
        <v>F. Measurement Based Approaches</v>
      </c>
      <c r="C22" s="714"/>
      <c r="D22" s="714"/>
      <c r="E22" s="714"/>
      <c r="F22" s="714"/>
      <c r="G22" s="714"/>
      <c r="H22" s="714"/>
      <c r="I22" s="714"/>
      <c r="J22" s="36"/>
    </row>
    <row r="23" spans="1:10" x14ac:dyDescent="0.2">
      <c r="A23" s="625"/>
      <c r="B23" s="630">
        <v>9</v>
      </c>
      <c r="C23" s="715" t="str">
        <f>Translations!$B$21</f>
        <v xml:space="preserve">Measurement of CO2 and N2O emissions </v>
      </c>
      <c r="D23" s="715"/>
      <c r="E23" s="715"/>
      <c r="F23" s="715"/>
      <c r="G23" s="715"/>
      <c r="H23" s="715"/>
      <c r="I23" s="715"/>
      <c r="J23" s="36"/>
    </row>
    <row r="24" spans="1:10" ht="12.75" customHeight="1" x14ac:dyDescent="0.2">
      <c r="A24" s="625"/>
      <c r="B24" s="630">
        <v>10</v>
      </c>
      <c r="C24" s="715" t="str">
        <f>Translations!$B$22</f>
        <v>Details for measurement points</v>
      </c>
      <c r="D24" s="715"/>
      <c r="E24" s="715"/>
      <c r="F24" s="715"/>
      <c r="G24" s="715"/>
      <c r="H24" s="715"/>
      <c r="I24" s="715"/>
      <c r="J24" s="36"/>
    </row>
    <row r="25" spans="1:10" ht="12.75" customHeight="1" x14ac:dyDescent="0.2">
      <c r="A25" s="625"/>
      <c r="B25" s="630">
        <v>11</v>
      </c>
      <c r="C25" s="715" t="str">
        <f>Translations!$B$23</f>
        <v>Management and procedures for measurement based approaches</v>
      </c>
      <c r="D25" s="715"/>
      <c r="E25" s="715"/>
      <c r="F25" s="715"/>
      <c r="G25" s="715"/>
      <c r="H25" s="715"/>
      <c r="I25" s="715"/>
      <c r="J25" s="36"/>
    </row>
    <row r="26" spans="1:10" x14ac:dyDescent="0.2">
      <c r="A26" s="628"/>
      <c r="B26" s="713" t="str">
        <f>Translations!$B$24</f>
        <v>G. Fall-back Approaches</v>
      </c>
      <c r="C26" s="714"/>
      <c r="D26" s="714"/>
      <c r="E26" s="714"/>
      <c r="F26" s="714"/>
      <c r="G26" s="714"/>
      <c r="H26" s="714"/>
      <c r="I26" s="714"/>
      <c r="J26" s="36"/>
    </row>
    <row r="27" spans="1:10" x14ac:dyDescent="0.2">
      <c r="A27" s="625"/>
      <c r="B27" s="630">
        <v>12</v>
      </c>
      <c r="C27" s="715" t="str">
        <f>Translations!$B$25</f>
        <v>Description of the Fall-back approach</v>
      </c>
      <c r="D27" s="715"/>
      <c r="E27" s="715"/>
      <c r="F27" s="715"/>
      <c r="G27" s="715"/>
      <c r="H27" s="715"/>
      <c r="I27" s="715"/>
      <c r="J27" s="36"/>
    </row>
    <row r="28" spans="1:10" x14ac:dyDescent="0.2">
      <c r="A28" s="628"/>
      <c r="B28" s="713" t="str">
        <f>Translations!$B$26</f>
        <v>H. N2O emissions</v>
      </c>
      <c r="C28" s="714"/>
      <c r="D28" s="714"/>
      <c r="E28" s="714"/>
      <c r="F28" s="714"/>
      <c r="G28" s="714"/>
      <c r="H28" s="714"/>
      <c r="I28" s="714"/>
      <c r="J28" s="36"/>
    </row>
    <row r="29" spans="1:10" x14ac:dyDescent="0.2">
      <c r="A29" s="625"/>
      <c r="B29" s="630">
        <v>13</v>
      </c>
      <c r="C29" s="715" t="str">
        <f>Translations!$B$27</f>
        <v>Management and procedures for monitoring N2O emissions</v>
      </c>
      <c r="D29" s="715"/>
      <c r="E29" s="715"/>
      <c r="F29" s="715"/>
      <c r="G29" s="715"/>
      <c r="H29" s="715"/>
      <c r="I29" s="715"/>
      <c r="J29" s="36"/>
    </row>
    <row r="30" spans="1:10" x14ac:dyDescent="0.2">
      <c r="A30" s="628"/>
      <c r="B30" s="713" t="str">
        <f>Translations!$B$28</f>
        <v>I. Determination of PFC emissions from production of primary aluminium</v>
      </c>
      <c r="C30" s="714"/>
      <c r="D30" s="714"/>
      <c r="E30" s="714"/>
      <c r="F30" s="714"/>
      <c r="G30" s="714"/>
      <c r="H30" s="714"/>
      <c r="I30" s="714"/>
      <c r="J30" s="36"/>
    </row>
    <row r="31" spans="1:10" x14ac:dyDescent="0.2">
      <c r="A31" s="625"/>
      <c r="B31" s="630">
        <v>14</v>
      </c>
      <c r="C31" s="715" t="str">
        <f>Translations!$B$29</f>
        <v>Determination of PFC emissions</v>
      </c>
      <c r="D31" s="715"/>
      <c r="E31" s="715"/>
      <c r="F31" s="715"/>
      <c r="G31" s="715"/>
      <c r="H31" s="715"/>
      <c r="I31" s="715"/>
      <c r="J31" s="36"/>
    </row>
    <row r="32" spans="1:10" x14ac:dyDescent="0.2">
      <c r="A32" s="625"/>
      <c r="B32" s="690">
        <v>15</v>
      </c>
      <c r="C32" s="716" t="str">
        <f>Translations!$B$30</f>
        <v>Monitoring details for source streams of PFC emissions</v>
      </c>
      <c r="D32" s="716"/>
      <c r="E32" s="716"/>
      <c r="F32" s="716"/>
      <c r="G32" s="716"/>
      <c r="H32" s="716"/>
      <c r="I32" s="716"/>
      <c r="J32" s="36"/>
    </row>
    <row r="33" spans="1:10" x14ac:dyDescent="0.2">
      <c r="A33" s="625"/>
      <c r="B33" s="630">
        <v>16</v>
      </c>
      <c r="C33" s="715" t="str">
        <f>Translations!$B$31</f>
        <v>Management and written procedures for PFC monitoring</v>
      </c>
      <c r="D33" s="715"/>
      <c r="E33" s="715"/>
      <c r="F33" s="715"/>
      <c r="G33" s="715"/>
      <c r="H33" s="715"/>
      <c r="I33" s="715"/>
      <c r="J33" s="36"/>
    </row>
    <row r="34" spans="1:10" x14ac:dyDescent="0.2">
      <c r="A34" s="628"/>
      <c r="B34" s="713" t="str">
        <f>Translations!$B$32</f>
        <v>J. Determination of transferred or inherent CO2</v>
      </c>
      <c r="C34" s="714"/>
      <c r="D34" s="714"/>
      <c r="E34" s="714"/>
      <c r="F34" s="714"/>
      <c r="G34" s="714"/>
      <c r="H34" s="714"/>
      <c r="I34" s="714"/>
      <c r="J34" s="36"/>
    </row>
    <row r="35" spans="1:10" x14ac:dyDescent="0.2">
      <c r="A35" s="625"/>
      <c r="B35" s="630">
        <v>17</v>
      </c>
      <c r="C35" s="715" t="str">
        <f>Translations!$B$33</f>
        <v>Determination of inherent and transferred CO2</v>
      </c>
      <c r="D35" s="715"/>
      <c r="E35" s="715"/>
      <c r="F35" s="715"/>
      <c r="G35" s="715"/>
      <c r="H35" s="715"/>
      <c r="I35" s="715"/>
      <c r="J35" s="36"/>
    </row>
    <row r="36" spans="1:10" x14ac:dyDescent="0.2">
      <c r="A36" s="625"/>
      <c r="B36" s="630">
        <v>18</v>
      </c>
      <c r="C36" s="715" t="str">
        <f>Translations!$B$34</f>
        <v>Information relevant for pipeline systems used for transport of CO2</v>
      </c>
      <c r="D36" s="715"/>
      <c r="E36" s="715"/>
      <c r="F36" s="715"/>
      <c r="G36" s="715"/>
      <c r="H36" s="715"/>
      <c r="I36" s="715"/>
      <c r="J36" s="36"/>
    </row>
    <row r="37" spans="1:10" x14ac:dyDescent="0.2">
      <c r="A37" s="625"/>
      <c r="B37" s="630">
        <v>19</v>
      </c>
      <c r="C37" s="715" t="str">
        <f>Translations!$B$35</f>
        <v>Information relevant for installations for the geological storage of CO2</v>
      </c>
      <c r="D37" s="715"/>
      <c r="E37" s="715"/>
      <c r="F37" s="715"/>
      <c r="G37" s="715"/>
      <c r="H37" s="715"/>
      <c r="I37" s="715"/>
      <c r="J37" s="36"/>
    </row>
    <row r="38" spans="1:10" x14ac:dyDescent="0.2">
      <c r="A38" s="625"/>
      <c r="B38" s="713" t="str">
        <f>J2_PermCCU!C6</f>
        <v>J2. CO2 permanently chemically bound in a product</v>
      </c>
      <c r="C38" s="714"/>
      <c r="D38" s="714"/>
      <c r="E38" s="714"/>
      <c r="F38" s="714"/>
      <c r="G38" s="714"/>
      <c r="H38" s="714"/>
      <c r="I38" s="714"/>
      <c r="J38" s="36"/>
    </row>
    <row r="39" spans="1:10" x14ac:dyDescent="0.2">
      <c r="A39" s="625"/>
      <c r="B39" s="687" t="s">
        <v>1799</v>
      </c>
      <c r="C39" s="715" t="str">
        <f>J2_PermCCU!D10</f>
        <v>Determination of amounts of CO2 permanently chemically bound</v>
      </c>
      <c r="D39" s="715"/>
      <c r="E39" s="715"/>
      <c r="F39" s="715"/>
      <c r="G39" s="715"/>
      <c r="H39" s="715"/>
      <c r="I39" s="715"/>
      <c r="J39" s="36"/>
    </row>
    <row r="40" spans="1:10" x14ac:dyDescent="0.2">
      <c r="A40" s="628"/>
      <c r="B40" s="713" t="str">
        <f>Translations!$B$36</f>
        <v>K. Management &amp; Control</v>
      </c>
      <c r="C40" s="714"/>
      <c r="D40" s="714"/>
      <c r="E40" s="714"/>
      <c r="F40" s="714"/>
      <c r="G40" s="714"/>
      <c r="H40" s="714"/>
      <c r="I40" s="714"/>
      <c r="J40" s="36"/>
    </row>
    <row r="41" spans="1:10" x14ac:dyDescent="0.2">
      <c r="A41" s="625"/>
      <c r="B41" s="631">
        <v>20</v>
      </c>
      <c r="C41" s="715" t="str">
        <f>Translations!$B$37</f>
        <v xml:space="preserve">Management </v>
      </c>
      <c r="D41" s="715"/>
      <c r="E41" s="715"/>
      <c r="F41" s="715"/>
      <c r="G41" s="715"/>
      <c r="H41" s="715"/>
      <c r="I41" s="715"/>
      <c r="J41" s="36"/>
    </row>
    <row r="42" spans="1:10" x14ac:dyDescent="0.2">
      <c r="A42" s="625"/>
      <c r="B42" s="631">
        <v>21</v>
      </c>
      <c r="C42" s="715" t="str">
        <f>Translations!$B$38</f>
        <v>Data flow activities</v>
      </c>
      <c r="D42" s="715"/>
      <c r="E42" s="715"/>
      <c r="F42" s="715"/>
      <c r="G42" s="715"/>
      <c r="H42" s="715"/>
      <c r="I42" s="715"/>
      <c r="J42" s="36"/>
    </row>
    <row r="43" spans="1:10" x14ac:dyDescent="0.2">
      <c r="A43" s="625"/>
      <c r="B43" s="631">
        <v>22</v>
      </c>
      <c r="C43" s="715" t="str">
        <f>Translations!$B$39</f>
        <v>Control activities</v>
      </c>
      <c r="D43" s="715"/>
      <c r="E43" s="715"/>
      <c r="F43" s="715"/>
      <c r="G43" s="715"/>
      <c r="H43" s="715"/>
      <c r="I43" s="715"/>
      <c r="J43" s="36"/>
    </row>
    <row r="44" spans="1:10" x14ac:dyDescent="0.2">
      <c r="A44" s="625"/>
      <c r="B44" s="631">
        <v>23</v>
      </c>
      <c r="C44" s="715" t="str">
        <f>Translations!$B$40</f>
        <v>List of definitions and abbreviations used</v>
      </c>
      <c r="D44" s="715"/>
      <c r="E44" s="715"/>
      <c r="F44" s="715"/>
      <c r="G44" s="715"/>
      <c r="H44" s="715"/>
      <c r="I44" s="715"/>
      <c r="J44" s="36"/>
    </row>
    <row r="45" spans="1:10" x14ac:dyDescent="0.2">
      <c r="A45" s="625"/>
      <c r="B45" s="632">
        <v>24</v>
      </c>
      <c r="C45" s="716" t="str">
        <f>Translations!$B$41</f>
        <v>Additional information</v>
      </c>
      <c r="D45" s="716"/>
      <c r="E45" s="716"/>
      <c r="F45" s="716"/>
      <c r="G45" s="716"/>
      <c r="H45" s="716"/>
      <c r="I45" s="716"/>
      <c r="J45" s="36"/>
    </row>
    <row r="46" spans="1:10" x14ac:dyDescent="0.2">
      <c r="A46" s="625"/>
      <c r="B46" s="631">
        <v>25</v>
      </c>
      <c r="C46" s="715" t="str">
        <f>Translations!$B$1152</f>
        <v>Further procedures</v>
      </c>
      <c r="D46" s="715"/>
      <c r="E46" s="715"/>
      <c r="F46" s="715"/>
      <c r="G46" s="715"/>
      <c r="H46" s="715"/>
      <c r="I46" s="715"/>
      <c r="J46" s="36"/>
    </row>
    <row r="47" spans="1:10" x14ac:dyDescent="0.2">
      <c r="A47" s="628"/>
      <c r="B47" s="713" t="str">
        <f>Translations!$B$43</f>
        <v>L. Member State specific further information</v>
      </c>
      <c r="C47" s="714"/>
      <c r="D47" s="714"/>
      <c r="E47" s="714"/>
      <c r="F47" s="714"/>
      <c r="G47" s="714"/>
      <c r="H47" s="714"/>
      <c r="I47" s="714"/>
      <c r="J47" s="36"/>
    </row>
    <row r="48" spans="1:10" x14ac:dyDescent="0.2">
      <c r="A48" s="625"/>
      <c r="B48" s="630">
        <v>26</v>
      </c>
      <c r="C48" s="715" t="str">
        <f>Translations!$B$44</f>
        <v>Comments</v>
      </c>
      <c r="D48" s="715"/>
      <c r="E48" s="715"/>
      <c r="F48" s="715"/>
      <c r="G48" s="715"/>
      <c r="H48" s="715"/>
      <c r="I48" s="715"/>
      <c r="J48" s="36"/>
    </row>
    <row r="49" spans="1:10" x14ac:dyDescent="0.2">
      <c r="A49" s="633"/>
      <c r="B49" s="713" t="str">
        <f>Translations!$B$1153</f>
        <v>M. Accounting</v>
      </c>
      <c r="C49" s="714"/>
      <c r="D49" s="714"/>
      <c r="E49" s="714"/>
      <c r="F49" s="714"/>
      <c r="G49" s="714"/>
      <c r="H49" s="714"/>
      <c r="I49" s="714"/>
      <c r="J49" s="187"/>
    </row>
    <row r="50" spans="1:10" x14ac:dyDescent="0.2">
      <c r="A50" s="634"/>
      <c r="B50" s="625"/>
      <c r="C50" s="625"/>
      <c r="D50" s="625"/>
      <c r="E50" s="625"/>
      <c r="F50" s="625"/>
      <c r="G50" s="625"/>
      <c r="H50" s="625"/>
      <c r="I50" s="625"/>
    </row>
    <row r="51" spans="1:10" ht="13.5" thickBot="1" x14ac:dyDescent="0.25">
      <c r="B51" s="98" t="str">
        <f>Translations!$B$45</f>
        <v>Information about this file:</v>
      </c>
    </row>
    <row r="52" spans="1:10" ht="12.75" customHeight="1" x14ac:dyDescent="0.2">
      <c r="B52" s="34" t="str">
        <f>Translations!$B$46</f>
        <v>This monitoring plan was submitted by:</v>
      </c>
      <c r="F52" s="286" t="str">
        <f>IF(ISBLANK('B_Operator&amp;Inst.ID'!I16),"",'B_Operator&amp;Inst.ID'!I16)</f>
        <v/>
      </c>
      <c r="G52" s="287"/>
      <c r="H52" s="287"/>
      <c r="I52" s="288"/>
    </row>
    <row r="53" spans="1:10" ht="12.75" customHeight="1" x14ac:dyDescent="0.2">
      <c r="B53" s="36" t="str">
        <f>Translations!$B$47</f>
        <v>Installation name:</v>
      </c>
      <c r="F53" s="289" t="str">
        <f>IF(ISBLANK('B_Operator&amp;Inst.ID'!I22),"",'B_Operator&amp;Inst.ID'!I22)</f>
        <v/>
      </c>
      <c r="G53" s="290"/>
      <c r="H53" s="290"/>
      <c r="I53" s="291"/>
    </row>
    <row r="54" spans="1:10" x14ac:dyDescent="0.2">
      <c r="B54" s="36" t="str">
        <f>Translations!$B$48</f>
        <v>Unique installation identifier:</v>
      </c>
      <c r="F54" s="289" t="str">
        <f>IF(ISBLANK('B_Operator&amp;Inst.ID'!I24),"",'B_Operator&amp;Inst.ID'!I24)</f>
        <v/>
      </c>
      <c r="G54" s="292"/>
      <c r="H54" s="292"/>
      <c r="I54" s="293"/>
    </row>
    <row r="55" spans="1:10" ht="13.5" thickBot="1" x14ac:dyDescent="0.25">
      <c r="B55" s="36" t="str">
        <f>Translations!$B$49</f>
        <v>Version Number of this monitoring plan:</v>
      </c>
      <c r="F55" s="651" t="str">
        <f>IF(COUNTA(A_MPversions!E23:E48)=0,"",MAX(A_MPversions!E23:E48,1))</f>
        <v/>
      </c>
      <c r="G55" s="294"/>
      <c r="H55" s="294"/>
      <c r="I55" s="295"/>
    </row>
    <row r="57" spans="1:10" x14ac:dyDescent="0.2">
      <c r="B57" s="717" t="str">
        <f>Translations!$B$50</f>
        <v>If your competent authority requires you to hand in a signed paper copy of the monitoring plan, please use the space below for signature:</v>
      </c>
      <c r="C57" s="721"/>
      <c r="D57" s="721"/>
      <c r="E57" s="721"/>
      <c r="F57" s="721"/>
      <c r="G57" s="721"/>
      <c r="H57" s="721"/>
      <c r="I57" s="721"/>
    </row>
    <row r="58" spans="1:10" x14ac:dyDescent="0.2">
      <c r="B58" s="721"/>
      <c r="C58" s="721"/>
      <c r="D58" s="721"/>
      <c r="E58" s="721"/>
      <c r="F58" s="721"/>
      <c r="G58" s="721"/>
      <c r="H58" s="721"/>
      <c r="I58" s="721"/>
    </row>
    <row r="64" spans="1:10" ht="13.5" thickBot="1" x14ac:dyDescent="0.25">
      <c r="B64" s="729"/>
      <c r="C64" s="730"/>
      <c r="D64" s="730"/>
      <c r="F64" s="243"/>
      <c r="G64" s="243"/>
      <c r="H64" s="243"/>
      <c r="I64" s="243"/>
    </row>
    <row r="65" spans="2:9" ht="12.75" customHeight="1" x14ac:dyDescent="0.2">
      <c r="B65" s="722" t="str">
        <f>Translations!$B$51</f>
        <v>Date</v>
      </c>
      <c r="C65" s="722"/>
      <c r="D65" s="722"/>
      <c r="F65" s="244" t="str">
        <f>Translations!$B$52</f>
        <v>Name and Signature of 
legally responsible person</v>
      </c>
      <c r="G65" s="244"/>
      <c r="H65" s="244"/>
      <c r="I65" s="244"/>
    </row>
    <row r="69" spans="2:9" ht="13.5" thickBot="1" x14ac:dyDescent="0.25">
      <c r="B69" s="98" t="str">
        <f>Translations!$B$53</f>
        <v>Template version information:</v>
      </c>
    </row>
    <row r="70" spans="2:9" x14ac:dyDescent="0.2">
      <c r="B70" s="723" t="str">
        <f>Translations!$B$54</f>
        <v>Template provided by:</v>
      </c>
      <c r="C70" s="724"/>
      <c r="D70" s="724"/>
      <c r="E70" s="725"/>
      <c r="F70" s="245" t="str">
        <f>VersionDocumentation!B4</f>
        <v>European Commission</v>
      </c>
      <c r="G70" s="237"/>
      <c r="H70" s="237"/>
      <c r="I70" s="238"/>
    </row>
    <row r="71" spans="2:9" x14ac:dyDescent="0.2">
      <c r="B71" s="726" t="str">
        <f>Translations!$B$55</f>
        <v>Publication date:</v>
      </c>
      <c r="C71" s="727"/>
      <c r="D71" s="727"/>
      <c r="E71" s="728"/>
      <c r="F71" s="601">
        <f>VersionDocumentation!B3</f>
        <v>45643</v>
      </c>
      <c r="G71" s="239"/>
      <c r="H71" s="239"/>
      <c r="I71" s="240"/>
    </row>
    <row r="72" spans="2:9" x14ac:dyDescent="0.2">
      <c r="B72" s="726" t="str">
        <f>Translations!$B$56</f>
        <v>Language version:</v>
      </c>
      <c r="C72" s="727"/>
      <c r="D72" s="727"/>
      <c r="E72" s="728"/>
      <c r="F72" s="246" t="str">
        <f>VersionDocumentation!B5</f>
        <v>English</v>
      </c>
      <c r="G72" s="239"/>
      <c r="H72" s="239"/>
      <c r="I72" s="240"/>
    </row>
    <row r="73" spans="2:9" ht="13.5" thickBot="1" x14ac:dyDescent="0.25">
      <c r="B73" s="718" t="str">
        <f>Translations!$B$57</f>
        <v>Reference filename:</v>
      </c>
      <c r="C73" s="719"/>
      <c r="D73" s="719"/>
      <c r="E73" s="720"/>
      <c r="F73" s="247" t="str">
        <f>VersionDocumentation!C3</f>
        <v>MP P4 Inst_COM_en_171224.xls</v>
      </c>
      <c r="G73" s="241"/>
      <c r="H73" s="241"/>
      <c r="I73" s="242"/>
    </row>
  </sheetData>
  <sheetProtection sheet="1" objects="1" scenarios="1" formatCells="0" formatColumns="0" formatRows="0"/>
  <mergeCells count="50">
    <mergeCell ref="B49:I49"/>
    <mergeCell ref="B7:I7"/>
    <mergeCell ref="B8:I8"/>
    <mergeCell ref="B73:E73"/>
    <mergeCell ref="B57:I58"/>
    <mergeCell ref="B65:D65"/>
    <mergeCell ref="B70:E70"/>
    <mergeCell ref="B71:E71"/>
    <mergeCell ref="B72:E72"/>
    <mergeCell ref="B64:D64"/>
    <mergeCell ref="B9:I9"/>
    <mergeCell ref="C48:I48"/>
    <mergeCell ref="C35:I35"/>
    <mergeCell ref="C41:I41"/>
    <mergeCell ref="C42:I42"/>
    <mergeCell ref="C43:I43"/>
    <mergeCell ref="C10:I10"/>
    <mergeCell ref="C12:I12"/>
    <mergeCell ref="C13:I13"/>
    <mergeCell ref="C14:I14"/>
    <mergeCell ref="B11:I11"/>
    <mergeCell ref="C23:I23"/>
    <mergeCell ref="C27:I27"/>
    <mergeCell ref="C29:I29"/>
    <mergeCell ref="C31:I31"/>
    <mergeCell ref="C24:I24"/>
    <mergeCell ref="C25:I25"/>
    <mergeCell ref="B26:I26"/>
    <mergeCell ref="B28:I28"/>
    <mergeCell ref="B30:I30"/>
    <mergeCell ref="B15:I15"/>
    <mergeCell ref="B18:I18"/>
    <mergeCell ref="B20:I20"/>
    <mergeCell ref="B22:I22"/>
    <mergeCell ref="C16:I16"/>
    <mergeCell ref="C17:I17"/>
    <mergeCell ref="C19:I19"/>
    <mergeCell ref="C21:I21"/>
    <mergeCell ref="C32:I32"/>
    <mergeCell ref="C33:I33"/>
    <mergeCell ref="C36:I36"/>
    <mergeCell ref="C37:I37"/>
    <mergeCell ref="C44:I44"/>
    <mergeCell ref="B38:I38"/>
    <mergeCell ref="C39:I39"/>
    <mergeCell ref="B34:I34"/>
    <mergeCell ref="B40:I40"/>
    <mergeCell ref="B47:I47"/>
    <mergeCell ref="C45:I45"/>
    <mergeCell ref="C46:I46"/>
  </mergeCells>
  <phoneticPr fontId="9" type="noConversion"/>
  <hyperlinks>
    <hyperlink ref="B7" location="JUMP_a_Content" display="a_Contents" xr:uid="{00000000-0004-0000-0000-000000000000}"/>
    <hyperlink ref="B8:I8" location="JUMP_b_Guidelines_Top" display="b_Guidelines and conditions" xr:uid="{00000000-0004-0000-0000-000001000000}"/>
    <hyperlink ref="B9:I9" location="JUMP_A_Top" display="JUMP_A_Top" xr:uid="{00000000-0004-0000-0000-000002000000}"/>
    <hyperlink ref="B11:I11" location="JUMP_B_Top" display="JUMP_B_Top" xr:uid="{00000000-0004-0000-0000-000003000000}"/>
    <hyperlink ref="B15:I15" location="JUMP_C_Top" display="JUMP_C_Top" xr:uid="{00000000-0004-0000-0000-000004000000}"/>
    <hyperlink ref="B18:I18" location="JUMP_D_Top" display="JUMP_D_Top" xr:uid="{00000000-0004-0000-0000-000005000000}"/>
    <hyperlink ref="B20:I20" location="JUMP_E_Top" display="JUMP_E_Top" xr:uid="{00000000-0004-0000-0000-000006000000}"/>
    <hyperlink ref="B22:I22" location="JUMP_F_Top" display="JUMP_F_Top" xr:uid="{00000000-0004-0000-0000-000007000000}"/>
    <hyperlink ref="B26:I26" location="JUMP_G_Top" display="JUMP_G_Top" xr:uid="{00000000-0004-0000-0000-000008000000}"/>
    <hyperlink ref="B28:I28" location="JUMP_H_Top" display="JUMP_H_Top" xr:uid="{00000000-0004-0000-0000-000009000000}"/>
    <hyperlink ref="B30:I30" location="JUMP_I_Top" display="JUMP_I_Top" xr:uid="{00000000-0004-0000-0000-00000A000000}"/>
    <hyperlink ref="B34:I34" location="JUMP_J_Top" display="JUMP_J_Top" xr:uid="{00000000-0004-0000-0000-00000B000000}"/>
    <hyperlink ref="B40:I40" location="JUMP_K_Top" display="JUMP_K_Top" xr:uid="{00000000-0004-0000-0000-00000C000000}"/>
    <hyperlink ref="B47:I47" location="JUMP_L_Top" display="JUMP_L_Top" xr:uid="{00000000-0004-0000-0000-00000D000000}"/>
    <hyperlink ref="B12:I12" location="JUMP_B_2" display="JUMP_B_2" xr:uid="{00000000-0004-0000-0000-00000E000000}"/>
    <hyperlink ref="B13:I13" location="JUMP_B_3" display="JUMP_B_3" xr:uid="{00000000-0004-0000-0000-00000F000000}"/>
    <hyperlink ref="B14:I14" location="JUMP_B_4" display="JUMP_B_4" xr:uid="{00000000-0004-0000-0000-000010000000}"/>
    <hyperlink ref="B16:I16" location="JUMP_C_5" display="JUMP_C_5" xr:uid="{00000000-0004-0000-0000-000011000000}"/>
    <hyperlink ref="B17:I17" location="JUMP_C_6" display="JUMP_C_6" xr:uid="{00000000-0004-0000-0000-000012000000}"/>
    <hyperlink ref="B10:I10" location="JUMP_A_1" display="JUMP_A_1" xr:uid="{00000000-0004-0000-0000-000013000000}"/>
    <hyperlink ref="B19:I19" location="JUMP_D_7" display="JUMP_D_7" xr:uid="{00000000-0004-0000-0000-000014000000}"/>
    <hyperlink ref="B21:I21" location="JUMP_E_8" display="JUMP_E_8" xr:uid="{00000000-0004-0000-0000-000015000000}"/>
    <hyperlink ref="B23:I23" location="JUMP_F_9" display="JUMP_F_9" xr:uid="{00000000-0004-0000-0000-000016000000}"/>
    <hyperlink ref="B24:I24" location="JUMP_F_10" display="JUMP_F_10" xr:uid="{00000000-0004-0000-0000-000017000000}"/>
    <hyperlink ref="B25:I25" location="JUMP_F_11" display="JUMP_F_11" xr:uid="{00000000-0004-0000-0000-000018000000}"/>
    <hyperlink ref="B27:I27" location="JUMP_G_12" display="JUMP_G_12" xr:uid="{00000000-0004-0000-0000-000019000000}"/>
    <hyperlink ref="B29:I29" location="JUMP_H_13" display="JUMP_H_13" xr:uid="{00000000-0004-0000-0000-00001A000000}"/>
    <hyperlink ref="B31:I31" location="JUMP_14" display="JUMP_14" xr:uid="{00000000-0004-0000-0000-00001B000000}"/>
    <hyperlink ref="B33:I33" location="JUMP_16" display="JUMP_16" xr:uid="{00000000-0004-0000-0000-00001C000000}"/>
    <hyperlink ref="B32:I32" location="JUMP_15" display="JUMP_15" xr:uid="{00000000-0004-0000-0000-00001D000000}"/>
    <hyperlink ref="B35:I35" location="JUMP_J_17" display="JUMP_J_17" xr:uid="{00000000-0004-0000-0000-00001E000000}"/>
    <hyperlink ref="B36:I36" location="JUMP_J_18" display="JUMP_J_18" xr:uid="{00000000-0004-0000-0000-00001F000000}"/>
    <hyperlink ref="B37:I37" location="JUMP_J_19" display="JUMP_J_19" xr:uid="{00000000-0004-0000-0000-000020000000}"/>
    <hyperlink ref="B41:I41" location="JUMP_K_14" display="JUMP_K_14" xr:uid="{00000000-0004-0000-0000-000021000000}"/>
    <hyperlink ref="B42:I42" location="JUMP_K_15" display="JUMP_K_15" xr:uid="{00000000-0004-0000-0000-000022000000}"/>
    <hyperlink ref="B43:I43" location="JUMP_K_16" display="JUMP_K_16" xr:uid="{00000000-0004-0000-0000-000023000000}"/>
    <hyperlink ref="B44:I44" location="JUMP_K_17" display="JUMP_K_17" xr:uid="{00000000-0004-0000-0000-000024000000}"/>
    <hyperlink ref="B46:I46" location="JUMP_K_19" display="JUMP_K_19" xr:uid="{00000000-0004-0000-0000-000025000000}"/>
    <hyperlink ref="B45:I45" location="JUMP_K_18" display="JUMP_K_18" xr:uid="{00000000-0004-0000-0000-000026000000}"/>
    <hyperlink ref="B48:I48" location="JUMP_L_26" display="JUMP_L_26" xr:uid="{00000000-0004-0000-0000-000027000000}"/>
    <hyperlink ref="B49:I49" location="JUMP_Accounting" display="M. Accounting" xr:uid="{00000000-0004-0000-0000-000028000000}"/>
    <hyperlink ref="B38:I38" location="JUMP_J2_Top" display="JUMP_J2_Top" xr:uid="{00000000-0004-0000-0000-000029000000}"/>
    <hyperlink ref="B39:I39" location="JUMP_J_17" display="JUMP_J_17" xr:uid="{00000000-0004-0000-0000-00002A000000}"/>
    <hyperlink ref="C39:I39" location="JUMP_J2_19a" display="JUMP_J2_19a" xr:uid="{00000000-0004-0000-0000-00002B000000}"/>
    <hyperlink ref="B39" location="JUMP_J2_19a" display="19a" xr:uid="{00000000-0004-0000-0000-00002C000000}"/>
  </hyperlinks>
  <pageMargins left="0.78740157480314965" right="0.78740157480314965" top="0.78740157480314965" bottom="0.78740157480314965" header="0.39370078740157483" footer="0.39370078740157483"/>
  <pageSetup paperSize="9" scale="79"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indexed="15"/>
    <pageSetUpPr fitToPage="1"/>
  </sheetPr>
  <dimension ref="A1:O116"/>
  <sheetViews>
    <sheetView workbookViewId="0">
      <pane ySplit="4" topLeftCell="A5" activePane="bottomLeft" state="frozen"/>
      <selection activeCell="B2" sqref="B2"/>
      <selection pane="bottomLeft" activeCell="B2" sqref="B2:D4"/>
    </sheetView>
  </sheetViews>
  <sheetFormatPr defaultColWidth="9.140625" defaultRowHeight="12.75" x14ac:dyDescent="0.2"/>
  <cols>
    <col min="1" max="1" width="2.7109375" style="8" hidden="1" customWidth="1"/>
    <col min="2" max="2" width="2.7109375" style="8" customWidth="1"/>
    <col min="3" max="4" width="4.7109375" style="8" customWidth="1"/>
    <col min="5" max="14" width="12.7109375" style="8" customWidth="1"/>
    <col min="15" max="15" width="4.7109375" style="8" customWidth="1"/>
    <col min="16" max="16384" width="9.140625" style="8"/>
  </cols>
  <sheetData>
    <row r="1" spans="1:15" ht="13.5" hidden="1" thickBot="1" x14ac:dyDescent="0.25">
      <c r="A1" s="12" t="s">
        <v>1090</v>
      </c>
      <c r="B1" s="72"/>
      <c r="C1" s="72"/>
      <c r="D1" s="75"/>
      <c r="E1" s="72"/>
      <c r="F1" s="72"/>
      <c r="G1" s="72"/>
      <c r="H1" s="72"/>
      <c r="I1" s="72"/>
      <c r="J1" s="72"/>
      <c r="K1" s="72"/>
      <c r="L1" s="72"/>
      <c r="M1" s="72"/>
      <c r="N1" s="72"/>
      <c r="O1" s="72"/>
    </row>
    <row r="2" spans="1:15" ht="13.5" customHeight="1" thickBot="1" x14ac:dyDescent="0.25">
      <c r="A2" s="12"/>
      <c r="B2" s="803" t="str">
        <f>Translations!$B$26</f>
        <v>H. N2O emissions</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row>
    <row r="3" spans="1:15" ht="12.75" customHeight="1" x14ac:dyDescent="0.2">
      <c r="A3" s="12"/>
      <c r="B3" s="806"/>
      <c r="C3" s="807"/>
      <c r="D3" s="808"/>
      <c r="E3" s="776" t="str">
        <f>Translations!$B$63</f>
        <v>Top of sheet</v>
      </c>
      <c r="F3" s="776"/>
      <c r="G3" s="776"/>
      <c r="H3" s="776"/>
      <c r="I3" s="776"/>
      <c r="J3" s="776"/>
      <c r="K3" s="776"/>
      <c r="L3" s="776"/>
      <c r="M3" s="1131"/>
      <c r="N3" s="778"/>
      <c r="O3" s="7"/>
    </row>
    <row r="4" spans="1:15" ht="13.5" customHeight="1" thickBot="1" x14ac:dyDescent="0.25">
      <c r="A4" s="12"/>
      <c r="B4" s="809"/>
      <c r="C4" s="810"/>
      <c r="D4" s="811"/>
      <c r="E4" s="776" t="str">
        <f>Translations!$B$64</f>
        <v>End of sheet</v>
      </c>
      <c r="F4" s="776"/>
      <c r="G4" s="776"/>
      <c r="H4" s="776"/>
      <c r="I4" s="776"/>
      <c r="J4" s="776"/>
      <c r="K4" s="776"/>
      <c r="L4" s="776"/>
      <c r="M4" s="1131"/>
      <c r="N4" s="778"/>
      <c r="O4" s="7"/>
    </row>
    <row r="5" spans="1:15" ht="12.75" customHeight="1" thickBot="1" x14ac:dyDescent="0.25">
      <c r="A5" s="65"/>
      <c r="C5" s="9"/>
      <c r="D5" s="10"/>
      <c r="F5" s="10"/>
      <c r="G5" s="10"/>
      <c r="H5" s="10"/>
      <c r="M5" s="7"/>
      <c r="N5" s="7"/>
      <c r="O5" s="7"/>
    </row>
    <row r="6" spans="1:15" s="184" customFormat="1" ht="25.5" customHeight="1" thickBot="1" x14ac:dyDescent="0.25">
      <c r="A6" s="248"/>
      <c r="B6" s="34"/>
      <c r="C6" s="812" t="str">
        <f>Translations!$B$26</f>
        <v>H. N2O emissions</v>
      </c>
      <c r="D6" s="812"/>
      <c r="E6" s="812"/>
      <c r="F6" s="812"/>
      <c r="G6" s="812"/>
      <c r="H6" s="812"/>
      <c r="I6" s="812"/>
      <c r="J6" s="812"/>
      <c r="K6" s="812"/>
      <c r="L6" s="1000" t="str">
        <f>IF(AND(NOT(ISBLANK(CNTR_InstHasN2O)), CNTR_InstHasN2O=FALSE),EUconst_NotRelevant,EUconst_Relevant)</f>
        <v>relevant</v>
      </c>
      <c r="M6" s="1001"/>
      <c r="N6" s="1002"/>
      <c r="O6" s="36"/>
    </row>
    <row r="7" spans="1:15" s="184" customFormat="1" ht="5.0999999999999996" customHeight="1" x14ac:dyDescent="0.2">
      <c r="A7" s="248"/>
      <c r="B7" s="34"/>
      <c r="C7" s="216"/>
      <c r="D7" s="221"/>
      <c r="E7" s="216"/>
      <c r="F7" s="216"/>
      <c r="G7" s="216"/>
      <c r="H7" s="216"/>
      <c r="I7" s="216"/>
      <c r="J7" s="216"/>
      <c r="K7" s="216"/>
      <c r="L7" s="219"/>
      <c r="M7" s="219"/>
      <c r="N7" s="219"/>
      <c r="O7" s="36"/>
    </row>
    <row r="8" spans="1:15" x14ac:dyDescent="0.2">
      <c r="A8" s="65"/>
      <c r="D8" s="10"/>
      <c r="K8" s="918" t="str">
        <f>IF(L6=EUconst_NotRelevant,HYPERLINK("#JUMP_I_Top",EUconst_MsgNextSheet),HYPERLINK("",EUconst_MsgEnterThisSection))</f>
        <v>Please enter data in this section</v>
      </c>
      <c r="L8" s="918"/>
      <c r="M8" s="918"/>
      <c r="N8" s="918"/>
    </row>
    <row r="9" spans="1:15" ht="5.0999999999999996" customHeight="1" x14ac:dyDescent="0.2">
      <c r="A9" s="250"/>
      <c r="B9" s="13"/>
      <c r="C9" s="13"/>
      <c r="D9" s="439"/>
      <c r="E9" s="411"/>
      <c r="F9" s="7"/>
      <c r="G9" s="411"/>
      <c r="H9" s="411"/>
      <c r="I9" s="411"/>
      <c r="J9" s="411"/>
      <c r="K9" s="411"/>
      <c r="L9" s="411"/>
      <c r="M9" s="411"/>
      <c r="N9" s="411"/>
      <c r="O9" s="417"/>
    </row>
    <row r="10" spans="1:15" ht="15.75" customHeight="1" x14ac:dyDescent="0.2">
      <c r="A10" s="65"/>
      <c r="B10" s="411"/>
      <c r="C10" s="90">
        <v>13</v>
      </c>
      <c r="D10" s="884" t="str">
        <f>Translations!$B$27</f>
        <v>Management and procedures for monitoring N2O emissions</v>
      </c>
      <c r="E10" s="884"/>
      <c r="F10" s="884"/>
      <c r="G10" s="884"/>
      <c r="H10" s="884"/>
      <c r="I10" s="884"/>
      <c r="J10" s="884"/>
      <c r="K10" s="884"/>
      <c r="L10" s="884"/>
      <c r="M10" s="884"/>
      <c r="N10" s="884"/>
      <c r="O10" s="417"/>
    </row>
    <row r="11" spans="1:15" x14ac:dyDescent="0.2">
      <c r="A11" s="65"/>
      <c r="B11" s="417"/>
      <c r="C11" s="417"/>
      <c r="D11" s="328"/>
      <c r="E11" s="68"/>
      <c r="F11" s="440"/>
      <c r="G11" s="440"/>
      <c r="H11" s="440"/>
      <c r="I11" s="440"/>
      <c r="J11" s="440"/>
      <c r="K11" s="440"/>
      <c r="L11" s="440"/>
      <c r="M11" s="440"/>
      <c r="N11" s="440"/>
      <c r="O11" s="440"/>
    </row>
    <row r="12" spans="1:15" ht="25.5" customHeight="1" x14ac:dyDescent="0.2">
      <c r="A12" s="65"/>
      <c r="B12" s="417"/>
      <c r="C12" s="417"/>
      <c r="D12" s="328"/>
      <c r="E12" s="1157" t="str">
        <f>Translations!$B$628</f>
        <v>Note: this section is to be completed for determination of N2O emissions from specified production activities at an installation. N2O emissions from combustion of fuels are not covered.  Please make sure that the information on your measurement system is entered in sheet F_MeasurementBasedApproaches as appropriate.</v>
      </c>
      <c r="F12" s="1004"/>
      <c r="G12" s="1004"/>
      <c r="H12" s="1004"/>
      <c r="I12" s="1004"/>
      <c r="J12" s="1004"/>
      <c r="K12" s="1004"/>
      <c r="L12" s="1004"/>
      <c r="M12" s="1004"/>
      <c r="N12" s="1004"/>
      <c r="O12" s="449"/>
    </row>
    <row r="13" spans="1:15" ht="12.75" customHeight="1" x14ac:dyDescent="0.2">
      <c r="A13" s="65"/>
      <c r="B13" s="417"/>
      <c r="C13" s="417"/>
      <c r="D13" s="328"/>
      <c r="E13" s="1157" t="str">
        <f>Translations!$B$629</f>
        <v>In this sheet only requirements are to be laid down which are not relevant to CO2 monitoring.</v>
      </c>
      <c r="F13" s="1158"/>
      <c r="G13" s="1158"/>
      <c r="H13" s="1158"/>
      <c r="I13" s="1158"/>
      <c r="J13" s="1158"/>
      <c r="K13" s="1158"/>
      <c r="L13" s="1158"/>
      <c r="M13" s="1158"/>
      <c r="N13" s="1158"/>
      <c r="O13" s="449"/>
    </row>
    <row r="14" spans="1:15" x14ac:dyDescent="0.2">
      <c r="A14" s="65"/>
      <c r="B14" s="417"/>
      <c r="C14" s="417"/>
      <c r="D14" s="417"/>
      <c r="E14" s="417"/>
      <c r="F14" s="417"/>
      <c r="G14" s="417"/>
      <c r="H14" s="417"/>
      <c r="I14" s="417"/>
      <c r="J14" s="417"/>
      <c r="K14" s="417"/>
      <c r="L14" s="417"/>
      <c r="M14" s="417"/>
      <c r="N14" s="417"/>
      <c r="O14" s="417"/>
    </row>
    <row r="15" spans="1:15" ht="25.5" customHeight="1" x14ac:dyDescent="0.2">
      <c r="A15" s="65"/>
      <c r="B15" s="417"/>
      <c r="C15" s="417"/>
      <c r="D15" s="13" t="s">
        <v>1018</v>
      </c>
      <c r="E15" s="1148" t="str">
        <f>Translations!$B$630</f>
        <v>Please provide details about the written procedure which describes the method and parameters used to determine the quantity of materials used in the production process and the maximum quantity of material used at full capacity.</v>
      </c>
      <c r="F15" s="1148"/>
      <c r="G15" s="1148"/>
      <c r="H15" s="1148"/>
      <c r="I15" s="1148"/>
      <c r="J15" s="1148"/>
      <c r="K15" s="1148"/>
      <c r="L15" s="1148"/>
      <c r="M15" s="1148"/>
      <c r="N15" s="1148"/>
      <c r="O15" s="3"/>
    </row>
    <row r="16" spans="1:15" ht="12.75" customHeight="1" x14ac:dyDescent="0.2">
      <c r="A16" s="72"/>
      <c r="B16" s="417"/>
      <c r="C16" s="417"/>
      <c r="D16" s="417"/>
      <c r="E16" s="950" t="str">
        <f>Translations!$B$405</f>
        <v>Title of procedure</v>
      </c>
      <c r="F16" s="951"/>
      <c r="G16" s="902"/>
      <c r="H16" s="1140"/>
      <c r="I16" s="1140"/>
      <c r="J16" s="1140"/>
      <c r="K16" s="1140"/>
      <c r="L16" s="1140"/>
      <c r="M16" s="1140"/>
      <c r="N16" s="1141"/>
      <c r="O16" s="451"/>
    </row>
    <row r="17" spans="1:15" ht="12.75" customHeight="1" x14ac:dyDescent="0.2">
      <c r="A17" s="72"/>
      <c r="B17" s="417"/>
      <c r="C17" s="417"/>
      <c r="D17" s="417"/>
      <c r="E17" s="950" t="str">
        <f>Translations!$B$407</f>
        <v>Reference for procedure</v>
      </c>
      <c r="F17" s="951"/>
      <c r="G17" s="902"/>
      <c r="H17" s="1140"/>
      <c r="I17" s="1140"/>
      <c r="J17" s="1140"/>
      <c r="K17" s="1140"/>
      <c r="L17" s="1140"/>
      <c r="M17" s="1140"/>
      <c r="N17" s="1141"/>
      <c r="O17" s="451"/>
    </row>
    <row r="18" spans="1:15" ht="25.5" customHeight="1" x14ac:dyDescent="0.2">
      <c r="A18" s="72"/>
      <c r="B18" s="417"/>
      <c r="C18" s="417"/>
      <c r="D18" s="417"/>
      <c r="E18" s="950" t="str">
        <f>Translations!$B$409</f>
        <v>Diagram reference (where applicable)</v>
      </c>
      <c r="F18" s="951"/>
      <c r="G18" s="902"/>
      <c r="H18" s="1140"/>
      <c r="I18" s="1140"/>
      <c r="J18" s="1140"/>
      <c r="K18" s="1140"/>
      <c r="L18" s="1140"/>
      <c r="M18" s="1140"/>
      <c r="N18" s="1141"/>
      <c r="O18" s="451"/>
    </row>
    <row r="19" spans="1:15" ht="25.5" customHeight="1" x14ac:dyDescent="0.2">
      <c r="A19" s="72"/>
      <c r="B19" s="417"/>
      <c r="C19" s="417"/>
      <c r="D19" s="417"/>
      <c r="E19" s="952" t="str">
        <f>Translations!$B$411</f>
        <v xml:space="preserve">Brief description of procedure    </v>
      </c>
      <c r="F19" s="953"/>
      <c r="G19" s="954"/>
      <c r="H19" s="1142"/>
      <c r="I19" s="1142"/>
      <c r="J19" s="1142"/>
      <c r="K19" s="1142"/>
      <c r="L19" s="1142"/>
      <c r="M19" s="1142"/>
      <c r="N19" s="1143"/>
      <c r="O19" s="451"/>
    </row>
    <row r="20" spans="1:15" ht="25.5" customHeight="1" x14ac:dyDescent="0.2">
      <c r="A20" s="72"/>
      <c r="B20" s="417"/>
      <c r="C20" s="417"/>
      <c r="D20" s="417"/>
      <c r="E20" s="590"/>
      <c r="F20" s="591"/>
      <c r="G20" s="957"/>
      <c r="H20" s="1144"/>
      <c r="I20" s="1144"/>
      <c r="J20" s="1144"/>
      <c r="K20" s="1144"/>
      <c r="L20" s="1144"/>
      <c r="M20" s="1144"/>
      <c r="N20" s="1145"/>
      <c r="O20" s="451"/>
    </row>
    <row r="21" spans="1:15" ht="25.5" customHeight="1" x14ac:dyDescent="0.2">
      <c r="A21" s="72"/>
      <c r="B21" s="417"/>
      <c r="C21" s="417"/>
      <c r="D21" s="417"/>
      <c r="E21" s="592"/>
      <c r="F21" s="593"/>
      <c r="G21" s="960"/>
      <c r="H21" s="1146"/>
      <c r="I21" s="1146"/>
      <c r="J21" s="1146"/>
      <c r="K21" s="1146"/>
      <c r="L21" s="1146"/>
      <c r="M21" s="1146"/>
      <c r="N21" s="1147"/>
      <c r="O21" s="451"/>
    </row>
    <row r="22" spans="1:15" ht="38.25" customHeight="1" x14ac:dyDescent="0.2">
      <c r="A22" s="72"/>
      <c r="B22" s="417"/>
      <c r="C22" s="417"/>
      <c r="D22" s="417"/>
      <c r="E22" s="950" t="str">
        <f>Translations!$B$414</f>
        <v>Post or department responsible for the procedure and for any data generated</v>
      </c>
      <c r="F22" s="951"/>
      <c r="G22" s="902"/>
      <c r="H22" s="1140"/>
      <c r="I22" s="1140"/>
      <c r="J22" s="1140"/>
      <c r="K22" s="1140"/>
      <c r="L22" s="1140"/>
      <c r="M22" s="1140"/>
      <c r="N22" s="1141"/>
      <c r="O22" s="451"/>
    </row>
    <row r="23" spans="1:15" ht="12.75" customHeight="1" x14ac:dyDescent="0.2">
      <c r="A23" s="72"/>
      <c r="B23" s="417"/>
      <c r="C23" s="417"/>
      <c r="D23" s="417"/>
      <c r="E23" s="950" t="str">
        <f>Translations!$B$416</f>
        <v>Location where records are kept</v>
      </c>
      <c r="F23" s="951"/>
      <c r="G23" s="902"/>
      <c r="H23" s="1140"/>
      <c r="I23" s="1140"/>
      <c r="J23" s="1140"/>
      <c r="K23" s="1140"/>
      <c r="L23" s="1140"/>
      <c r="M23" s="1140"/>
      <c r="N23" s="1141"/>
      <c r="O23" s="451"/>
    </row>
    <row r="24" spans="1:15" ht="25.5" customHeight="1" x14ac:dyDescent="0.2">
      <c r="A24" s="72"/>
      <c r="B24" s="417"/>
      <c r="C24" s="417"/>
      <c r="D24" s="417"/>
      <c r="E24" s="950" t="str">
        <f>Translations!$B$418</f>
        <v>Name of IT system used (where applicable).</v>
      </c>
      <c r="F24" s="951"/>
      <c r="G24" s="902"/>
      <c r="H24" s="1140"/>
      <c r="I24" s="1140"/>
      <c r="J24" s="1140"/>
      <c r="K24" s="1140"/>
      <c r="L24" s="1140"/>
      <c r="M24" s="1140"/>
      <c r="N24" s="1141"/>
      <c r="O24" s="451"/>
    </row>
    <row r="25" spans="1:15" ht="25.5" customHeight="1" x14ac:dyDescent="0.2">
      <c r="A25" s="72"/>
      <c r="B25" s="417"/>
      <c r="C25" s="417"/>
      <c r="D25" s="417"/>
      <c r="E25" s="950" t="str">
        <f>Translations!$B$420</f>
        <v>List of EN or other standards applied (where relevant)</v>
      </c>
      <c r="F25" s="951"/>
      <c r="G25" s="902"/>
      <c r="H25" s="1140"/>
      <c r="I25" s="1140"/>
      <c r="J25" s="1140"/>
      <c r="K25" s="1140"/>
      <c r="L25" s="1140"/>
      <c r="M25" s="1140"/>
      <c r="N25" s="1141"/>
      <c r="O25" s="451"/>
    </row>
    <row r="26" spans="1:15" x14ac:dyDescent="0.2">
      <c r="A26" s="65"/>
      <c r="B26" s="417"/>
      <c r="C26" s="417"/>
      <c r="D26" s="417"/>
      <c r="E26" s="417"/>
      <c r="F26" s="417"/>
      <c r="G26" s="417"/>
      <c r="H26" s="417"/>
      <c r="I26" s="417"/>
      <c r="J26" s="417"/>
      <c r="K26" s="417"/>
      <c r="L26" s="417"/>
      <c r="M26" s="417"/>
      <c r="N26" s="417"/>
      <c r="O26" s="417"/>
    </row>
    <row r="27" spans="1:15" ht="25.5" customHeight="1" x14ac:dyDescent="0.2">
      <c r="A27" s="65"/>
      <c r="B27" s="417"/>
      <c r="C27" s="417"/>
      <c r="D27" s="13" t="s">
        <v>1020</v>
      </c>
      <c r="E27" s="1148" t="str">
        <f>Translations!$B$631</f>
        <v>Please provide details about the written procedure which describes the method and parameters used to determine the quantity of product produced as an hourly load expressed as nitric acid (100%), adipic acid (100%), glyoxal and glyoxylic acid and caprolactam per hour.</v>
      </c>
      <c r="F27" s="1148"/>
      <c r="G27" s="1148"/>
      <c r="H27" s="1148"/>
      <c r="I27" s="1148"/>
      <c r="J27" s="1148"/>
      <c r="K27" s="1148"/>
      <c r="L27" s="1148"/>
      <c r="M27" s="1148"/>
      <c r="N27" s="1148"/>
      <c r="O27" s="3"/>
    </row>
    <row r="28" spans="1:15" ht="12.75" customHeight="1" x14ac:dyDescent="0.2">
      <c r="A28" s="72"/>
      <c r="B28" s="417"/>
      <c r="C28" s="417"/>
      <c r="D28" s="417"/>
      <c r="E28" s="950" t="str">
        <f>Translations!$B$405</f>
        <v>Title of procedure</v>
      </c>
      <c r="F28" s="951"/>
      <c r="G28" s="902"/>
      <c r="H28" s="1140"/>
      <c r="I28" s="1140"/>
      <c r="J28" s="1140"/>
      <c r="K28" s="1140"/>
      <c r="L28" s="1140"/>
      <c r="M28" s="1140"/>
      <c r="N28" s="1141"/>
      <c r="O28" s="451"/>
    </row>
    <row r="29" spans="1:15" ht="12.75" customHeight="1" x14ac:dyDescent="0.2">
      <c r="A29" s="72"/>
      <c r="B29" s="417"/>
      <c r="C29" s="417"/>
      <c r="D29" s="417"/>
      <c r="E29" s="950" t="str">
        <f>Translations!$B$407</f>
        <v>Reference for procedure</v>
      </c>
      <c r="F29" s="951"/>
      <c r="G29" s="902"/>
      <c r="H29" s="1140"/>
      <c r="I29" s="1140"/>
      <c r="J29" s="1140"/>
      <c r="K29" s="1140"/>
      <c r="L29" s="1140"/>
      <c r="M29" s="1140"/>
      <c r="N29" s="1141"/>
      <c r="O29" s="451"/>
    </row>
    <row r="30" spans="1:15" ht="25.5" customHeight="1" x14ac:dyDescent="0.2">
      <c r="A30" s="72"/>
      <c r="B30" s="417"/>
      <c r="C30" s="417"/>
      <c r="D30" s="417"/>
      <c r="E30" s="950" t="str">
        <f>Translations!$B$409</f>
        <v>Diagram reference (where applicable)</v>
      </c>
      <c r="F30" s="951"/>
      <c r="G30" s="902"/>
      <c r="H30" s="1140"/>
      <c r="I30" s="1140"/>
      <c r="J30" s="1140"/>
      <c r="K30" s="1140"/>
      <c r="L30" s="1140"/>
      <c r="M30" s="1140"/>
      <c r="N30" s="1141"/>
      <c r="O30" s="451"/>
    </row>
    <row r="31" spans="1:15" ht="25.5" customHeight="1" x14ac:dyDescent="0.2">
      <c r="A31" s="72"/>
      <c r="B31" s="417"/>
      <c r="C31" s="417"/>
      <c r="D31" s="417"/>
      <c r="E31" s="952" t="str">
        <f>Translations!$B$411</f>
        <v xml:space="preserve">Brief description of procedure    </v>
      </c>
      <c r="F31" s="953"/>
      <c r="G31" s="954"/>
      <c r="H31" s="1142"/>
      <c r="I31" s="1142"/>
      <c r="J31" s="1142"/>
      <c r="K31" s="1142"/>
      <c r="L31" s="1142"/>
      <c r="M31" s="1142"/>
      <c r="N31" s="1143"/>
      <c r="O31" s="451"/>
    </row>
    <row r="32" spans="1:15" ht="25.5" customHeight="1" x14ac:dyDescent="0.2">
      <c r="A32" s="72"/>
      <c r="B32" s="417"/>
      <c r="C32" s="417"/>
      <c r="D32" s="417"/>
      <c r="E32" s="590"/>
      <c r="F32" s="591"/>
      <c r="G32" s="957"/>
      <c r="H32" s="1144"/>
      <c r="I32" s="1144"/>
      <c r="J32" s="1144"/>
      <c r="K32" s="1144"/>
      <c r="L32" s="1144"/>
      <c r="M32" s="1144"/>
      <c r="N32" s="1145"/>
      <c r="O32" s="451"/>
    </row>
    <row r="33" spans="1:15" ht="25.5" customHeight="1" x14ac:dyDescent="0.2">
      <c r="A33" s="72"/>
      <c r="B33" s="417"/>
      <c r="C33" s="417"/>
      <c r="D33" s="417"/>
      <c r="E33" s="592"/>
      <c r="F33" s="593"/>
      <c r="G33" s="960"/>
      <c r="H33" s="1146"/>
      <c r="I33" s="1146"/>
      <c r="J33" s="1146"/>
      <c r="K33" s="1146"/>
      <c r="L33" s="1146"/>
      <c r="M33" s="1146"/>
      <c r="N33" s="1147"/>
      <c r="O33" s="451"/>
    </row>
    <row r="34" spans="1:15" ht="38.25" customHeight="1" x14ac:dyDescent="0.2">
      <c r="A34" s="72"/>
      <c r="B34" s="417"/>
      <c r="C34" s="417"/>
      <c r="D34" s="417"/>
      <c r="E34" s="950" t="str">
        <f>Translations!$B$414</f>
        <v>Post or department responsible for the procedure and for any data generated</v>
      </c>
      <c r="F34" s="951"/>
      <c r="G34" s="902"/>
      <c r="H34" s="1140"/>
      <c r="I34" s="1140"/>
      <c r="J34" s="1140"/>
      <c r="K34" s="1140"/>
      <c r="L34" s="1140"/>
      <c r="M34" s="1140"/>
      <c r="N34" s="1141"/>
      <c r="O34" s="451"/>
    </row>
    <row r="35" spans="1:15" ht="12.75" customHeight="1" x14ac:dyDescent="0.2">
      <c r="A35" s="72"/>
      <c r="B35" s="417"/>
      <c r="C35" s="417"/>
      <c r="D35" s="417"/>
      <c r="E35" s="950" t="str">
        <f>Translations!$B$416</f>
        <v>Location where records are kept</v>
      </c>
      <c r="F35" s="951"/>
      <c r="G35" s="902"/>
      <c r="H35" s="1140"/>
      <c r="I35" s="1140"/>
      <c r="J35" s="1140"/>
      <c r="K35" s="1140"/>
      <c r="L35" s="1140"/>
      <c r="M35" s="1140"/>
      <c r="N35" s="1141"/>
      <c r="O35" s="451"/>
    </row>
    <row r="36" spans="1:15" ht="25.5" customHeight="1" x14ac:dyDescent="0.2">
      <c r="A36" s="72"/>
      <c r="B36" s="417"/>
      <c r="C36" s="417"/>
      <c r="D36" s="417"/>
      <c r="E36" s="950" t="str">
        <f>Translations!$B$418</f>
        <v>Name of IT system used (where applicable).</v>
      </c>
      <c r="F36" s="951"/>
      <c r="G36" s="902"/>
      <c r="H36" s="1140"/>
      <c r="I36" s="1140"/>
      <c r="J36" s="1140"/>
      <c r="K36" s="1140"/>
      <c r="L36" s="1140"/>
      <c r="M36" s="1140"/>
      <c r="N36" s="1141"/>
      <c r="O36" s="451"/>
    </row>
    <row r="37" spans="1:15" ht="25.5" customHeight="1" x14ac:dyDescent="0.2">
      <c r="A37" s="72"/>
      <c r="B37" s="417"/>
      <c r="C37" s="417"/>
      <c r="D37" s="417"/>
      <c r="E37" s="950" t="str">
        <f>Translations!$B$420</f>
        <v>List of EN or other standards applied (where relevant)</v>
      </c>
      <c r="F37" s="951"/>
      <c r="G37" s="902"/>
      <c r="H37" s="1140"/>
      <c r="I37" s="1140"/>
      <c r="J37" s="1140"/>
      <c r="K37" s="1140"/>
      <c r="L37" s="1140"/>
      <c r="M37" s="1140"/>
      <c r="N37" s="1141"/>
      <c r="O37" s="451"/>
    </row>
    <row r="38" spans="1:15" x14ac:dyDescent="0.2">
      <c r="A38" s="65"/>
      <c r="B38" s="417"/>
      <c r="C38" s="417"/>
      <c r="D38" s="417"/>
      <c r="E38" s="417"/>
      <c r="F38" s="417"/>
      <c r="G38" s="417"/>
      <c r="H38" s="417"/>
      <c r="I38" s="417"/>
      <c r="J38" s="417"/>
      <c r="K38" s="417"/>
      <c r="L38" s="417"/>
      <c r="M38" s="417"/>
      <c r="N38" s="417"/>
      <c r="O38" s="417"/>
    </row>
    <row r="39" spans="1:15" ht="38.25" customHeight="1" x14ac:dyDescent="0.2">
      <c r="A39" s="65"/>
      <c r="B39" s="417"/>
      <c r="C39" s="417"/>
      <c r="D39" s="13" t="s">
        <v>554</v>
      </c>
      <c r="E39" s="1148" t="str">
        <f>Translations!$B$632</f>
        <v>Please provide details about the written procedure describing the method and parameters used to determine the N2O concentration in the flue gas from each emission source, its operating range, and its uncertainty, and details of any alternative methods to be applied if concentrations fall outside the operating range and the situations when this may occur.</v>
      </c>
      <c r="F39" s="1148"/>
      <c r="G39" s="1148"/>
      <c r="H39" s="1148"/>
      <c r="I39" s="1148"/>
      <c r="J39" s="1148"/>
      <c r="K39" s="1148"/>
      <c r="L39" s="1148"/>
      <c r="M39" s="1148"/>
      <c r="N39" s="1148"/>
      <c r="O39" s="3"/>
    </row>
    <row r="40" spans="1:15" ht="12.75" customHeight="1" x14ac:dyDescent="0.2">
      <c r="A40" s="72"/>
      <c r="B40" s="417"/>
      <c r="C40" s="417"/>
      <c r="D40" s="417"/>
      <c r="E40" s="950" t="str">
        <f>Translations!$B$405</f>
        <v>Title of procedure</v>
      </c>
      <c r="F40" s="951"/>
      <c r="G40" s="902"/>
      <c r="H40" s="1140"/>
      <c r="I40" s="1140"/>
      <c r="J40" s="1140"/>
      <c r="K40" s="1140"/>
      <c r="L40" s="1140"/>
      <c r="M40" s="1140"/>
      <c r="N40" s="1141"/>
      <c r="O40" s="451"/>
    </row>
    <row r="41" spans="1:15" ht="12.75" customHeight="1" x14ac:dyDescent="0.2">
      <c r="A41" s="72"/>
      <c r="B41" s="417"/>
      <c r="C41" s="417"/>
      <c r="D41" s="417"/>
      <c r="E41" s="950" t="str">
        <f>Translations!$B$407</f>
        <v>Reference for procedure</v>
      </c>
      <c r="F41" s="951"/>
      <c r="G41" s="902"/>
      <c r="H41" s="1140"/>
      <c r="I41" s="1140"/>
      <c r="J41" s="1140"/>
      <c r="K41" s="1140"/>
      <c r="L41" s="1140"/>
      <c r="M41" s="1140"/>
      <c r="N41" s="1141"/>
      <c r="O41" s="451"/>
    </row>
    <row r="42" spans="1:15" ht="25.5" customHeight="1" x14ac:dyDescent="0.2">
      <c r="A42" s="72"/>
      <c r="B42" s="417"/>
      <c r="C42" s="417"/>
      <c r="D42" s="417"/>
      <c r="E42" s="950" t="str">
        <f>Translations!$B$409</f>
        <v>Diagram reference (where applicable)</v>
      </c>
      <c r="F42" s="951"/>
      <c r="G42" s="902"/>
      <c r="H42" s="1140"/>
      <c r="I42" s="1140"/>
      <c r="J42" s="1140"/>
      <c r="K42" s="1140"/>
      <c r="L42" s="1140"/>
      <c r="M42" s="1140"/>
      <c r="N42" s="1141"/>
      <c r="O42" s="451"/>
    </row>
    <row r="43" spans="1:15" ht="25.5" customHeight="1" x14ac:dyDescent="0.2">
      <c r="A43" s="72"/>
      <c r="B43" s="417"/>
      <c r="C43" s="417"/>
      <c r="D43" s="417"/>
      <c r="E43" s="952" t="str">
        <f>Translations!$B$411</f>
        <v xml:space="preserve">Brief description of procedure    </v>
      </c>
      <c r="F43" s="953"/>
      <c r="G43" s="954"/>
      <c r="H43" s="1142"/>
      <c r="I43" s="1142"/>
      <c r="J43" s="1142"/>
      <c r="K43" s="1142"/>
      <c r="L43" s="1142"/>
      <c r="M43" s="1142"/>
      <c r="N43" s="1143"/>
      <c r="O43" s="451"/>
    </row>
    <row r="44" spans="1:15" ht="25.5" customHeight="1" x14ac:dyDescent="0.2">
      <c r="A44" s="72"/>
      <c r="B44" s="417"/>
      <c r="C44" s="417"/>
      <c r="D44" s="417"/>
      <c r="E44" s="590"/>
      <c r="F44" s="591"/>
      <c r="G44" s="957"/>
      <c r="H44" s="1144"/>
      <c r="I44" s="1144"/>
      <c r="J44" s="1144"/>
      <c r="K44" s="1144"/>
      <c r="L44" s="1144"/>
      <c r="M44" s="1144"/>
      <c r="N44" s="1145"/>
      <c r="O44" s="451"/>
    </row>
    <row r="45" spans="1:15" ht="25.5" customHeight="1" x14ac:dyDescent="0.2">
      <c r="A45" s="72"/>
      <c r="B45" s="417"/>
      <c r="C45" s="417"/>
      <c r="D45" s="417"/>
      <c r="E45" s="592"/>
      <c r="F45" s="593"/>
      <c r="G45" s="960"/>
      <c r="H45" s="1146"/>
      <c r="I45" s="1146"/>
      <c r="J45" s="1146"/>
      <c r="K45" s="1146"/>
      <c r="L45" s="1146"/>
      <c r="M45" s="1146"/>
      <c r="N45" s="1147"/>
      <c r="O45" s="451"/>
    </row>
    <row r="46" spans="1:15" ht="38.25" customHeight="1" x14ac:dyDescent="0.2">
      <c r="A46" s="72"/>
      <c r="B46" s="417"/>
      <c r="C46" s="417"/>
      <c r="D46" s="417"/>
      <c r="E46" s="950" t="str">
        <f>Translations!$B$414</f>
        <v>Post or department responsible for the procedure and for any data generated</v>
      </c>
      <c r="F46" s="951"/>
      <c r="G46" s="902"/>
      <c r="H46" s="1140"/>
      <c r="I46" s="1140"/>
      <c r="J46" s="1140"/>
      <c r="K46" s="1140"/>
      <c r="L46" s="1140"/>
      <c r="M46" s="1140"/>
      <c r="N46" s="1141"/>
      <c r="O46" s="451"/>
    </row>
    <row r="47" spans="1:15" ht="12.75" customHeight="1" x14ac:dyDescent="0.2">
      <c r="A47" s="72"/>
      <c r="B47" s="417"/>
      <c r="C47" s="417"/>
      <c r="D47" s="417"/>
      <c r="E47" s="950" t="str">
        <f>Translations!$B$416</f>
        <v>Location where records are kept</v>
      </c>
      <c r="F47" s="951"/>
      <c r="G47" s="902"/>
      <c r="H47" s="1140"/>
      <c r="I47" s="1140"/>
      <c r="J47" s="1140"/>
      <c r="K47" s="1140"/>
      <c r="L47" s="1140"/>
      <c r="M47" s="1140"/>
      <c r="N47" s="1141"/>
      <c r="O47" s="451"/>
    </row>
    <row r="48" spans="1:15" ht="25.5" customHeight="1" x14ac:dyDescent="0.2">
      <c r="A48" s="72"/>
      <c r="B48" s="417"/>
      <c r="C48" s="417"/>
      <c r="D48" s="417"/>
      <c r="E48" s="950" t="str">
        <f>Translations!$B$418</f>
        <v>Name of IT system used (where applicable).</v>
      </c>
      <c r="F48" s="951"/>
      <c r="G48" s="902"/>
      <c r="H48" s="1140"/>
      <c r="I48" s="1140"/>
      <c r="J48" s="1140"/>
      <c r="K48" s="1140"/>
      <c r="L48" s="1140"/>
      <c r="M48" s="1140"/>
      <c r="N48" s="1141"/>
      <c r="O48" s="451"/>
    </row>
    <row r="49" spans="1:15" ht="25.5" customHeight="1" x14ac:dyDescent="0.2">
      <c r="A49" s="72"/>
      <c r="B49" s="417"/>
      <c r="C49" s="417"/>
      <c r="D49" s="417"/>
      <c r="E49" s="950" t="str">
        <f>Translations!$B$420</f>
        <v>List of EN or other standards applied (where relevant)</v>
      </c>
      <c r="F49" s="951"/>
      <c r="G49" s="902"/>
      <c r="H49" s="1140"/>
      <c r="I49" s="1140"/>
      <c r="J49" s="1140"/>
      <c r="K49" s="1140"/>
      <c r="L49" s="1140"/>
      <c r="M49" s="1140"/>
      <c r="N49" s="1141"/>
      <c r="O49" s="451"/>
    </row>
    <row r="50" spans="1:15" x14ac:dyDescent="0.2">
      <c r="A50" s="65"/>
      <c r="B50" s="417"/>
      <c r="C50" s="417"/>
      <c r="D50" s="417"/>
      <c r="E50" s="417"/>
      <c r="F50" s="417"/>
      <c r="G50" s="417"/>
      <c r="H50" s="417"/>
      <c r="I50" s="417"/>
      <c r="J50" s="417"/>
      <c r="K50" s="417"/>
      <c r="L50" s="417"/>
      <c r="M50" s="417"/>
      <c r="N50" s="417"/>
      <c r="O50" s="417"/>
    </row>
    <row r="51" spans="1:15" ht="25.5" customHeight="1" x14ac:dyDescent="0.2">
      <c r="A51" s="65"/>
      <c r="B51" s="417"/>
      <c r="C51" s="417"/>
      <c r="D51" s="13" t="s">
        <v>1022</v>
      </c>
      <c r="E51" s="1148" t="str">
        <f>Translations!$B$633</f>
        <v>Please provide details about the written procedure detailing the calculation method used to determine N2O emissions from periodic, unabated sources in nitric acid, adipic acid, caprolactam, glyoxal and glyoxylic acid production.</v>
      </c>
      <c r="F51" s="1148"/>
      <c r="G51" s="1148"/>
      <c r="H51" s="1148"/>
      <c r="I51" s="1148"/>
      <c r="J51" s="1148"/>
      <c r="K51" s="1148"/>
      <c r="L51" s="1148"/>
      <c r="M51" s="1148"/>
      <c r="N51" s="1148"/>
      <c r="O51" s="3"/>
    </row>
    <row r="52" spans="1:15" ht="12.75" customHeight="1" x14ac:dyDescent="0.2">
      <c r="A52" s="72"/>
      <c r="B52" s="417"/>
      <c r="C52" s="417"/>
      <c r="D52" s="417"/>
      <c r="E52" s="950" t="str">
        <f>Translations!$B$405</f>
        <v>Title of procedure</v>
      </c>
      <c r="F52" s="951"/>
      <c r="G52" s="902"/>
      <c r="H52" s="1140"/>
      <c r="I52" s="1140"/>
      <c r="J52" s="1140"/>
      <c r="K52" s="1140"/>
      <c r="L52" s="1140"/>
      <c r="M52" s="1140"/>
      <c r="N52" s="1141"/>
      <c r="O52" s="451"/>
    </row>
    <row r="53" spans="1:15" ht="12.75" customHeight="1" x14ac:dyDescent="0.2">
      <c r="A53" s="72"/>
      <c r="B53" s="417"/>
      <c r="C53" s="417"/>
      <c r="D53" s="417"/>
      <c r="E53" s="950" t="str">
        <f>Translations!$B$407</f>
        <v>Reference for procedure</v>
      </c>
      <c r="F53" s="951"/>
      <c r="G53" s="902"/>
      <c r="H53" s="1140"/>
      <c r="I53" s="1140"/>
      <c r="J53" s="1140"/>
      <c r="K53" s="1140"/>
      <c r="L53" s="1140"/>
      <c r="M53" s="1140"/>
      <c r="N53" s="1141"/>
      <c r="O53" s="451"/>
    </row>
    <row r="54" spans="1:15" ht="25.5" customHeight="1" x14ac:dyDescent="0.2">
      <c r="A54" s="72"/>
      <c r="B54" s="417"/>
      <c r="C54" s="417"/>
      <c r="D54" s="417"/>
      <c r="E54" s="950" t="str">
        <f>Translations!$B$409</f>
        <v>Diagram reference (where applicable)</v>
      </c>
      <c r="F54" s="951"/>
      <c r="G54" s="902"/>
      <c r="H54" s="1140"/>
      <c r="I54" s="1140"/>
      <c r="J54" s="1140"/>
      <c r="K54" s="1140"/>
      <c r="L54" s="1140"/>
      <c r="M54" s="1140"/>
      <c r="N54" s="1141"/>
      <c r="O54" s="451"/>
    </row>
    <row r="55" spans="1:15" ht="25.5" customHeight="1" x14ac:dyDescent="0.2">
      <c r="A55" s="72"/>
      <c r="B55" s="417"/>
      <c r="C55" s="417"/>
      <c r="D55" s="417"/>
      <c r="E55" s="952" t="str">
        <f>Translations!$B$411</f>
        <v xml:space="preserve">Brief description of procedure    </v>
      </c>
      <c r="F55" s="953"/>
      <c r="G55" s="954"/>
      <c r="H55" s="1142"/>
      <c r="I55" s="1142"/>
      <c r="J55" s="1142"/>
      <c r="K55" s="1142"/>
      <c r="L55" s="1142"/>
      <c r="M55" s="1142"/>
      <c r="N55" s="1143"/>
      <c r="O55" s="451"/>
    </row>
    <row r="56" spans="1:15" ht="25.5" customHeight="1" x14ac:dyDescent="0.2">
      <c r="A56" s="72"/>
      <c r="B56" s="417"/>
      <c r="C56" s="417"/>
      <c r="D56" s="417"/>
      <c r="E56" s="590"/>
      <c r="F56" s="591"/>
      <c r="G56" s="957"/>
      <c r="H56" s="1144"/>
      <c r="I56" s="1144"/>
      <c r="J56" s="1144"/>
      <c r="K56" s="1144"/>
      <c r="L56" s="1144"/>
      <c r="M56" s="1144"/>
      <c r="N56" s="1145"/>
      <c r="O56" s="451"/>
    </row>
    <row r="57" spans="1:15" ht="25.5" customHeight="1" x14ac:dyDescent="0.2">
      <c r="A57" s="72"/>
      <c r="B57" s="417"/>
      <c r="C57" s="417"/>
      <c r="D57" s="417"/>
      <c r="E57" s="592"/>
      <c r="F57" s="593"/>
      <c r="G57" s="960"/>
      <c r="H57" s="1146"/>
      <c r="I57" s="1146"/>
      <c r="J57" s="1146"/>
      <c r="K57" s="1146"/>
      <c r="L57" s="1146"/>
      <c r="M57" s="1146"/>
      <c r="N57" s="1147"/>
      <c r="O57" s="451"/>
    </row>
    <row r="58" spans="1:15" ht="38.25" customHeight="1" x14ac:dyDescent="0.2">
      <c r="A58" s="72"/>
      <c r="B58" s="417"/>
      <c r="C58" s="417"/>
      <c r="D58" s="417"/>
      <c r="E58" s="950" t="str">
        <f>Translations!$B$414</f>
        <v>Post or department responsible for the procedure and for any data generated</v>
      </c>
      <c r="F58" s="951"/>
      <c r="G58" s="902"/>
      <c r="H58" s="1140"/>
      <c r="I58" s="1140"/>
      <c r="J58" s="1140"/>
      <c r="K58" s="1140"/>
      <c r="L58" s="1140"/>
      <c r="M58" s="1140"/>
      <c r="N58" s="1141"/>
      <c r="O58" s="451"/>
    </row>
    <row r="59" spans="1:15" ht="12.75" customHeight="1" x14ac:dyDescent="0.2">
      <c r="A59" s="72"/>
      <c r="B59" s="417"/>
      <c r="C59" s="417"/>
      <c r="D59" s="417"/>
      <c r="E59" s="950" t="str">
        <f>Translations!$B$416</f>
        <v>Location where records are kept</v>
      </c>
      <c r="F59" s="951"/>
      <c r="G59" s="902"/>
      <c r="H59" s="1140"/>
      <c r="I59" s="1140"/>
      <c r="J59" s="1140"/>
      <c r="K59" s="1140"/>
      <c r="L59" s="1140"/>
      <c r="M59" s="1140"/>
      <c r="N59" s="1141"/>
      <c r="O59" s="451"/>
    </row>
    <row r="60" spans="1:15" ht="25.5" customHeight="1" x14ac:dyDescent="0.2">
      <c r="A60" s="72"/>
      <c r="B60" s="417"/>
      <c r="C60" s="417"/>
      <c r="D60" s="417"/>
      <c r="E60" s="950" t="str">
        <f>Translations!$B$418</f>
        <v>Name of IT system used (where applicable).</v>
      </c>
      <c r="F60" s="951"/>
      <c r="G60" s="902"/>
      <c r="H60" s="1140"/>
      <c r="I60" s="1140"/>
      <c r="J60" s="1140"/>
      <c r="K60" s="1140"/>
      <c r="L60" s="1140"/>
      <c r="M60" s="1140"/>
      <c r="N60" s="1141"/>
      <c r="O60" s="451"/>
    </row>
    <row r="61" spans="1:15" ht="25.5" customHeight="1" x14ac:dyDescent="0.2">
      <c r="A61" s="72"/>
      <c r="B61" s="417"/>
      <c r="C61" s="417"/>
      <c r="D61" s="417"/>
      <c r="E61" s="950" t="str">
        <f>Translations!$B$420</f>
        <v>List of EN or other standards applied (where relevant)</v>
      </c>
      <c r="F61" s="951"/>
      <c r="G61" s="902"/>
      <c r="H61" s="1140"/>
      <c r="I61" s="1140"/>
      <c r="J61" s="1140"/>
      <c r="K61" s="1140"/>
      <c r="L61" s="1140"/>
      <c r="M61" s="1140"/>
      <c r="N61" s="1141"/>
      <c r="O61" s="451"/>
    </row>
    <row r="62" spans="1:15" x14ac:dyDescent="0.2">
      <c r="A62" s="65"/>
      <c r="B62" s="417"/>
      <c r="C62" s="417"/>
      <c r="D62" s="417"/>
      <c r="E62" s="417"/>
      <c r="F62" s="417"/>
      <c r="G62" s="417"/>
      <c r="H62" s="417"/>
      <c r="I62" s="417"/>
      <c r="J62" s="417"/>
      <c r="K62" s="417"/>
      <c r="L62" s="417"/>
      <c r="M62" s="417"/>
      <c r="N62" s="417"/>
      <c r="O62" s="417"/>
    </row>
    <row r="63" spans="1:15" ht="25.5" customHeight="1" x14ac:dyDescent="0.2">
      <c r="A63" s="65"/>
      <c r="B63" s="417"/>
      <c r="C63" s="417"/>
      <c r="D63" s="13" t="s">
        <v>1023</v>
      </c>
      <c r="E63" s="1148" t="str">
        <f>Translations!$B$634</f>
        <v>Please provide details about the written procedure describing the way in which or the extent to which the installation operates with variable loads and the manner in which the operational management is carried out.</v>
      </c>
      <c r="F63" s="1148"/>
      <c r="G63" s="1148"/>
      <c r="H63" s="1148"/>
      <c r="I63" s="1148"/>
      <c r="J63" s="1148"/>
      <c r="K63" s="1148"/>
      <c r="L63" s="1148"/>
      <c r="M63" s="1148"/>
      <c r="N63" s="1148"/>
      <c r="O63" s="3"/>
    </row>
    <row r="64" spans="1:15" ht="12.75" customHeight="1" x14ac:dyDescent="0.2">
      <c r="A64" s="72"/>
      <c r="B64" s="417"/>
      <c r="C64" s="417"/>
      <c r="D64" s="417"/>
      <c r="E64" s="950" t="str">
        <f>Translations!$B$405</f>
        <v>Title of procedure</v>
      </c>
      <c r="F64" s="951"/>
      <c r="G64" s="902"/>
      <c r="H64" s="1140"/>
      <c r="I64" s="1140"/>
      <c r="J64" s="1140"/>
      <c r="K64" s="1140"/>
      <c r="L64" s="1140"/>
      <c r="M64" s="1140"/>
      <c r="N64" s="1141"/>
      <c r="O64" s="451"/>
    </row>
    <row r="65" spans="1:15" ht="12.75" customHeight="1" x14ac:dyDescent="0.2">
      <c r="A65" s="72"/>
      <c r="B65" s="417"/>
      <c r="C65" s="417"/>
      <c r="D65" s="417"/>
      <c r="E65" s="950" t="str">
        <f>Translations!$B$407</f>
        <v>Reference for procedure</v>
      </c>
      <c r="F65" s="951"/>
      <c r="G65" s="902"/>
      <c r="H65" s="1140"/>
      <c r="I65" s="1140"/>
      <c r="J65" s="1140"/>
      <c r="K65" s="1140"/>
      <c r="L65" s="1140"/>
      <c r="M65" s="1140"/>
      <c r="N65" s="1141"/>
      <c r="O65" s="451"/>
    </row>
    <row r="66" spans="1:15" ht="25.5" customHeight="1" x14ac:dyDescent="0.2">
      <c r="A66" s="72"/>
      <c r="B66" s="417"/>
      <c r="C66" s="417"/>
      <c r="D66" s="417"/>
      <c r="E66" s="950" t="str">
        <f>Translations!$B$409</f>
        <v>Diagram reference (where applicable)</v>
      </c>
      <c r="F66" s="951"/>
      <c r="G66" s="902"/>
      <c r="H66" s="1140"/>
      <c r="I66" s="1140"/>
      <c r="J66" s="1140"/>
      <c r="K66" s="1140"/>
      <c r="L66" s="1140"/>
      <c r="M66" s="1140"/>
      <c r="N66" s="1141"/>
      <c r="O66" s="451"/>
    </row>
    <row r="67" spans="1:15" ht="25.5" customHeight="1" x14ac:dyDescent="0.2">
      <c r="A67" s="72"/>
      <c r="B67" s="417"/>
      <c r="C67" s="417"/>
      <c r="D67" s="417"/>
      <c r="E67" s="952" t="str">
        <f>Translations!$B$411</f>
        <v xml:space="preserve">Brief description of procedure    </v>
      </c>
      <c r="F67" s="953"/>
      <c r="G67" s="954"/>
      <c r="H67" s="1142"/>
      <c r="I67" s="1142"/>
      <c r="J67" s="1142"/>
      <c r="K67" s="1142"/>
      <c r="L67" s="1142"/>
      <c r="M67" s="1142"/>
      <c r="N67" s="1143"/>
      <c r="O67" s="451"/>
    </row>
    <row r="68" spans="1:15" ht="25.5" customHeight="1" x14ac:dyDescent="0.2">
      <c r="A68" s="72"/>
      <c r="B68" s="417"/>
      <c r="C68" s="417"/>
      <c r="D68" s="417"/>
      <c r="E68" s="590"/>
      <c r="F68" s="591"/>
      <c r="G68" s="957"/>
      <c r="H68" s="1144"/>
      <c r="I68" s="1144"/>
      <c r="J68" s="1144"/>
      <c r="K68" s="1144"/>
      <c r="L68" s="1144"/>
      <c r="M68" s="1144"/>
      <c r="N68" s="1145"/>
      <c r="O68" s="451"/>
    </row>
    <row r="69" spans="1:15" ht="25.5" customHeight="1" x14ac:dyDescent="0.2">
      <c r="A69" s="72"/>
      <c r="B69" s="417"/>
      <c r="C69" s="417"/>
      <c r="D69" s="417"/>
      <c r="E69" s="592"/>
      <c r="F69" s="593"/>
      <c r="G69" s="960"/>
      <c r="H69" s="1146"/>
      <c r="I69" s="1146"/>
      <c r="J69" s="1146"/>
      <c r="K69" s="1146"/>
      <c r="L69" s="1146"/>
      <c r="M69" s="1146"/>
      <c r="N69" s="1147"/>
      <c r="O69" s="451"/>
    </row>
    <row r="70" spans="1:15" ht="38.25" customHeight="1" x14ac:dyDescent="0.2">
      <c r="A70" s="72"/>
      <c r="B70" s="417"/>
      <c r="C70" s="417"/>
      <c r="D70" s="417"/>
      <c r="E70" s="950" t="str">
        <f>Translations!$B$414</f>
        <v>Post or department responsible for the procedure and for any data generated</v>
      </c>
      <c r="F70" s="951"/>
      <c r="G70" s="902"/>
      <c r="H70" s="1140"/>
      <c r="I70" s="1140"/>
      <c r="J70" s="1140"/>
      <c r="K70" s="1140"/>
      <c r="L70" s="1140"/>
      <c r="M70" s="1140"/>
      <c r="N70" s="1141"/>
      <c r="O70" s="451"/>
    </row>
    <row r="71" spans="1:15" ht="12.75" customHeight="1" x14ac:dyDescent="0.2">
      <c r="A71" s="72"/>
      <c r="B71" s="417"/>
      <c r="C71" s="417"/>
      <c r="D71" s="417"/>
      <c r="E71" s="950" t="str">
        <f>Translations!$B$416</f>
        <v>Location where records are kept</v>
      </c>
      <c r="F71" s="951"/>
      <c r="G71" s="902"/>
      <c r="H71" s="1140"/>
      <c r="I71" s="1140"/>
      <c r="J71" s="1140"/>
      <c r="K71" s="1140"/>
      <c r="L71" s="1140"/>
      <c r="M71" s="1140"/>
      <c r="N71" s="1141"/>
      <c r="O71" s="451"/>
    </row>
    <row r="72" spans="1:15" ht="25.5" customHeight="1" x14ac:dyDescent="0.2">
      <c r="A72" s="72"/>
      <c r="B72" s="417"/>
      <c r="C72" s="417"/>
      <c r="D72" s="417"/>
      <c r="E72" s="950" t="str">
        <f>Translations!$B$418</f>
        <v>Name of IT system used (where applicable).</v>
      </c>
      <c r="F72" s="951"/>
      <c r="G72" s="902"/>
      <c r="H72" s="1140"/>
      <c r="I72" s="1140"/>
      <c r="J72" s="1140"/>
      <c r="K72" s="1140"/>
      <c r="L72" s="1140"/>
      <c r="M72" s="1140"/>
      <c r="N72" s="1141"/>
      <c r="O72" s="451"/>
    </row>
    <row r="73" spans="1:15" ht="25.5" customHeight="1" x14ac:dyDescent="0.2">
      <c r="A73" s="72"/>
      <c r="B73" s="417"/>
      <c r="C73" s="417"/>
      <c r="D73" s="417"/>
      <c r="E73" s="950" t="str">
        <f>Translations!$B$420</f>
        <v>List of EN or other standards applied (where relevant)</v>
      </c>
      <c r="F73" s="951"/>
      <c r="G73" s="902"/>
      <c r="H73" s="1140"/>
      <c r="I73" s="1140"/>
      <c r="J73" s="1140"/>
      <c r="K73" s="1140"/>
      <c r="L73" s="1140"/>
      <c r="M73" s="1140"/>
      <c r="N73" s="1141"/>
      <c r="O73" s="451"/>
    </row>
    <row r="74" spans="1:15" x14ac:dyDescent="0.2">
      <c r="A74" s="65"/>
      <c r="B74" s="417"/>
      <c r="C74" s="417"/>
      <c r="D74" s="417"/>
      <c r="E74" s="417"/>
      <c r="F74" s="417"/>
      <c r="G74" s="417"/>
      <c r="H74" s="417"/>
      <c r="I74" s="417"/>
      <c r="J74" s="417"/>
      <c r="K74" s="417"/>
      <c r="L74" s="417"/>
      <c r="M74" s="417"/>
      <c r="N74" s="417"/>
      <c r="O74" s="417"/>
    </row>
    <row r="75" spans="1:15" x14ac:dyDescent="0.2">
      <c r="A75" s="65"/>
      <c r="B75" s="417"/>
      <c r="C75" s="417"/>
      <c r="D75" s="13" t="s">
        <v>1019</v>
      </c>
      <c r="E75" s="717" t="str">
        <f>Translations!$B$635</f>
        <v xml:space="preserve">Please provide information on process conditions that deviate from normal operations. </v>
      </c>
      <c r="F75" s="717"/>
      <c r="G75" s="717"/>
      <c r="H75" s="717"/>
      <c r="I75" s="717"/>
      <c r="J75" s="717"/>
      <c r="K75" s="717"/>
      <c r="L75" s="717"/>
      <c r="M75" s="717"/>
      <c r="N75" s="717"/>
      <c r="O75" s="3"/>
    </row>
    <row r="76" spans="1:15" ht="25.5" customHeight="1" x14ac:dyDescent="0.2">
      <c r="A76" s="65"/>
      <c r="B76" s="417"/>
      <c r="C76" s="417"/>
      <c r="D76" s="417"/>
      <c r="E76" s="1151" t="str">
        <f>Translations!$B$636</f>
        <v>This information should include an indication of the potential frequency and the duration of such process conditions, as well as an indication of the volume of the N2O emissions during the deviating process conditions such as abatement equipment malfunction.</v>
      </c>
      <c r="F76" s="1152"/>
      <c r="G76" s="1152"/>
      <c r="H76" s="1152"/>
      <c r="I76" s="1152"/>
      <c r="J76" s="1152"/>
      <c r="K76" s="1152"/>
      <c r="L76" s="1152"/>
      <c r="M76" s="1152"/>
      <c r="N76" s="1152"/>
      <c r="O76" s="397"/>
    </row>
    <row r="77" spans="1:15" x14ac:dyDescent="0.2">
      <c r="A77" s="65"/>
      <c r="B77" s="417"/>
      <c r="C77" s="417"/>
      <c r="D77" s="417"/>
      <c r="E77" s="936"/>
      <c r="F77" s="1153"/>
      <c r="G77" s="1153"/>
      <c r="H77" s="1153"/>
      <c r="I77" s="1153"/>
      <c r="J77" s="1153"/>
      <c r="K77" s="1153"/>
      <c r="L77" s="1153"/>
      <c r="M77" s="1153"/>
      <c r="N77" s="1154"/>
      <c r="O77" s="443"/>
    </row>
    <row r="78" spans="1:15" x14ac:dyDescent="0.2">
      <c r="A78" s="65"/>
      <c r="B78" s="417"/>
      <c r="C78" s="417"/>
      <c r="D78" s="417"/>
      <c r="E78" s="863"/>
      <c r="F78" s="1149"/>
      <c r="G78" s="1149"/>
      <c r="H78" s="1149"/>
      <c r="I78" s="1149"/>
      <c r="J78" s="1149"/>
      <c r="K78" s="1149"/>
      <c r="L78" s="1149"/>
      <c r="M78" s="1149"/>
      <c r="N78" s="1150"/>
      <c r="O78" s="443"/>
    </row>
    <row r="79" spans="1:15" x14ac:dyDescent="0.2">
      <c r="A79" s="65"/>
      <c r="B79" s="417"/>
      <c r="C79" s="417"/>
      <c r="D79" s="417"/>
      <c r="E79" s="863"/>
      <c r="F79" s="1149"/>
      <c r="G79" s="1149"/>
      <c r="H79" s="1149"/>
      <c r="I79" s="1149"/>
      <c r="J79" s="1149"/>
      <c r="K79" s="1149"/>
      <c r="L79" s="1149"/>
      <c r="M79" s="1149"/>
      <c r="N79" s="1150"/>
      <c r="O79" s="443"/>
    </row>
    <row r="80" spans="1:15" x14ac:dyDescent="0.2">
      <c r="A80" s="65"/>
      <c r="B80" s="417"/>
      <c r="C80" s="417"/>
      <c r="D80" s="417"/>
      <c r="E80" s="863"/>
      <c r="F80" s="1149"/>
      <c r="G80" s="1149"/>
      <c r="H80" s="1149"/>
      <c r="I80" s="1149"/>
      <c r="J80" s="1149"/>
      <c r="K80" s="1149"/>
      <c r="L80" s="1149"/>
      <c r="M80" s="1149"/>
      <c r="N80" s="1150"/>
      <c r="O80" s="443"/>
    </row>
    <row r="81" spans="1:15" x14ac:dyDescent="0.2">
      <c r="A81" s="65"/>
      <c r="B81" s="417"/>
      <c r="C81" s="417"/>
      <c r="D81" s="417"/>
      <c r="E81" s="863"/>
      <c r="F81" s="1149"/>
      <c r="G81" s="1149"/>
      <c r="H81" s="1149"/>
      <c r="I81" s="1149"/>
      <c r="J81" s="1149"/>
      <c r="K81" s="1149"/>
      <c r="L81" s="1149"/>
      <c r="M81" s="1149"/>
      <c r="N81" s="1150"/>
      <c r="O81" s="443"/>
    </row>
    <row r="82" spans="1:15" x14ac:dyDescent="0.2">
      <c r="A82" s="65"/>
      <c r="B82" s="417"/>
      <c r="C82" s="417"/>
      <c r="D82" s="417"/>
      <c r="E82" s="863"/>
      <c r="F82" s="1149"/>
      <c r="G82" s="1149"/>
      <c r="H82" s="1149"/>
      <c r="I82" s="1149"/>
      <c r="J82" s="1149"/>
      <c r="K82" s="1149"/>
      <c r="L82" s="1149"/>
      <c r="M82" s="1149"/>
      <c r="N82" s="1150"/>
      <c r="O82" s="443"/>
    </row>
    <row r="83" spans="1:15" x14ac:dyDescent="0.2">
      <c r="A83" s="65"/>
      <c r="B83" s="417"/>
      <c r="C83" s="417"/>
      <c r="D83" s="417"/>
      <c r="E83" s="863"/>
      <c r="F83" s="1149"/>
      <c r="G83" s="1149"/>
      <c r="H83" s="1149"/>
      <c r="I83" s="1149"/>
      <c r="J83" s="1149"/>
      <c r="K83" s="1149"/>
      <c r="L83" s="1149"/>
      <c r="M83" s="1149"/>
      <c r="N83" s="1150"/>
      <c r="O83" s="443"/>
    </row>
    <row r="84" spans="1:15" x14ac:dyDescent="0.2">
      <c r="A84" s="65"/>
      <c r="B84" s="417"/>
      <c r="C84" s="417"/>
      <c r="D84" s="417"/>
      <c r="E84" s="863"/>
      <c r="F84" s="1149"/>
      <c r="G84" s="1149"/>
      <c r="H84" s="1149"/>
      <c r="I84" s="1149"/>
      <c r="J84" s="1149"/>
      <c r="K84" s="1149"/>
      <c r="L84" s="1149"/>
      <c r="M84" s="1149"/>
      <c r="N84" s="1150"/>
      <c r="O84" s="443"/>
    </row>
    <row r="85" spans="1:15" x14ac:dyDescent="0.2">
      <c r="A85" s="65"/>
      <c r="B85" s="417"/>
      <c r="C85" s="417"/>
      <c r="D85" s="417"/>
      <c r="E85" s="863"/>
      <c r="F85" s="1149"/>
      <c r="G85" s="1149"/>
      <c r="H85" s="1149"/>
      <c r="I85" s="1149"/>
      <c r="J85" s="1149"/>
      <c r="K85" s="1149"/>
      <c r="L85" s="1149"/>
      <c r="M85" s="1149"/>
      <c r="N85" s="1150"/>
      <c r="O85" s="443"/>
    </row>
    <row r="86" spans="1:15" x14ac:dyDescent="0.2">
      <c r="A86" s="65"/>
      <c r="B86" s="417"/>
      <c r="C86" s="417"/>
      <c r="D86" s="417"/>
      <c r="E86" s="863"/>
      <c r="F86" s="1149"/>
      <c r="G86" s="1149"/>
      <c r="H86" s="1149"/>
      <c r="I86" s="1149"/>
      <c r="J86" s="1149"/>
      <c r="K86" s="1149"/>
      <c r="L86" s="1149"/>
      <c r="M86" s="1149"/>
      <c r="N86" s="1150"/>
      <c r="O86" s="443"/>
    </row>
    <row r="87" spans="1:15" x14ac:dyDescent="0.2">
      <c r="B87" s="417"/>
      <c r="C87" s="417"/>
      <c r="D87" s="417"/>
      <c r="E87" s="863"/>
      <c r="F87" s="1149"/>
      <c r="G87" s="1149"/>
      <c r="H87" s="1149"/>
      <c r="I87" s="1149"/>
      <c r="J87" s="1149"/>
      <c r="K87" s="1149"/>
      <c r="L87" s="1149"/>
      <c r="M87" s="1149"/>
      <c r="N87" s="1150"/>
      <c r="O87" s="443"/>
    </row>
    <row r="88" spans="1:15" x14ac:dyDescent="0.2">
      <c r="B88" s="417"/>
      <c r="C88" s="417"/>
      <c r="D88" s="417"/>
      <c r="E88" s="863"/>
      <c r="F88" s="1149"/>
      <c r="G88" s="1149"/>
      <c r="H88" s="1149"/>
      <c r="I88" s="1149"/>
      <c r="J88" s="1149"/>
      <c r="K88" s="1149"/>
      <c r="L88" s="1149"/>
      <c r="M88" s="1149"/>
      <c r="N88" s="1150"/>
      <c r="O88" s="443"/>
    </row>
    <row r="89" spans="1:15" x14ac:dyDescent="0.2">
      <c r="B89" s="417"/>
      <c r="C89" s="417"/>
      <c r="D89" s="417"/>
      <c r="E89" s="863"/>
      <c r="F89" s="1149"/>
      <c r="G89" s="1149"/>
      <c r="H89" s="1149"/>
      <c r="I89" s="1149"/>
      <c r="J89" s="1149"/>
      <c r="K89" s="1149"/>
      <c r="L89" s="1149"/>
      <c r="M89" s="1149"/>
      <c r="N89" s="1150"/>
      <c r="O89" s="443"/>
    </row>
    <row r="90" spans="1:15" x14ac:dyDescent="0.2">
      <c r="B90" s="417"/>
      <c r="C90" s="417"/>
      <c r="D90" s="417"/>
      <c r="E90" s="863"/>
      <c r="F90" s="1149"/>
      <c r="G90" s="1149"/>
      <c r="H90" s="1149"/>
      <c r="I90" s="1149"/>
      <c r="J90" s="1149"/>
      <c r="K90" s="1149"/>
      <c r="L90" s="1149"/>
      <c r="M90" s="1149"/>
      <c r="N90" s="1150"/>
      <c r="O90" s="443"/>
    </row>
    <row r="91" spans="1:15" x14ac:dyDescent="0.2">
      <c r="B91" s="417"/>
      <c r="C91" s="417"/>
      <c r="D91" s="417"/>
      <c r="E91" s="863"/>
      <c r="F91" s="1149"/>
      <c r="G91" s="1149"/>
      <c r="H91" s="1149"/>
      <c r="I91" s="1149"/>
      <c r="J91" s="1149"/>
      <c r="K91" s="1149"/>
      <c r="L91" s="1149"/>
      <c r="M91" s="1149"/>
      <c r="N91" s="1150"/>
      <c r="O91" s="443"/>
    </row>
    <row r="92" spans="1:15" x14ac:dyDescent="0.2">
      <c r="B92" s="417"/>
      <c r="C92" s="417"/>
      <c r="D92" s="417"/>
      <c r="E92" s="863"/>
      <c r="F92" s="1149"/>
      <c r="G92" s="1149"/>
      <c r="H92" s="1149"/>
      <c r="I92" s="1149"/>
      <c r="J92" s="1149"/>
      <c r="K92" s="1149"/>
      <c r="L92" s="1149"/>
      <c r="M92" s="1149"/>
      <c r="N92" s="1150"/>
      <c r="O92" s="443"/>
    </row>
    <row r="93" spans="1:15" x14ac:dyDescent="0.2">
      <c r="B93" s="417"/>
      <c r="C93" s="417"/>
      <c r="D93" s="417"/>
      <c r="E93" s="863"/>
      <c r="F93" s="1149"/>
      <c r="G93" s="1149"/>
      <c r="H93" s="1149"/>
      <c r="I93" s="1149"/>
      <c r="J93" s="1149"/>
      <c r="K93" s="1149"/>
      <c r="L93" s="1149"/>
      <c r="M93" s="1149"/>
      <c r="N93" s="1150"/>
      <c r="O93" s="443"/>
    </row>
    <row r="94" spans="1:15" x14ac:dyDescent="0.2">
      <c r="B94" s="417"/>
      <c r="C94" s="417"/>
      <c r="D94" s="417"/>
      <c r="E94" s="863"/>
      <c r="F94" s="1149"/>
      <c r="G94" s="1149"/>
      <c r="H94" s="1149"/>
      <c r="I94" s="1149"/>
      <c r="J94" s="1149"/>
      <c r="K94" s="1149"/>
      <c r="L94" s="1149"/>
      <c r="M94" s="1149"/>
      <c r="N94" s="1150"/>
      <c r="O94" s="443"/>
    </row>
    <row r="95" spans="1:15" x14ac:dyDescent="0.2">
      <c r="B95" s="417"/>
      <c r="C95" s="417"/>
      <c r="D95" s="417"/>
      <c r="E95" s="863"/>
      <c r="F95" s="1149"/>
      <c r="G95" s="1149"/>
      <c r="H95" s="1149"/>
      <c r="I95" s="1149"/>
      <c r="J95" s="1149"/>
      <c r="K95" s="1149"/>
      <c r="L95" s="1149"/>
      <c r="M95" s="1149"/>
      <c r="N95" s="1150"/>
      <c r="O95" s="443"/>
    </row>
    <row r="96" spans="1:15" x14ac:dyDescent="0.2">
      <c r="B96" s="417"/>
      <c r="C96" s="417"/>
      <c r="D96" s="417"/>
      <c r="E96" s="866"/>
      <c r="F96" s="1155"/>
      <c r="G96" s="1155"/>
      <c r="H96" s="1155"/>
      <c r="I96" s="1155"/>
      <c r="J96" s="1155"/>
      <c r="K96" s="1155"/>
      <c r="L96" s="1155"/>
      <c r="M96" s="1155"/>
      <c r="N96" s="1156"/>
      <c r="O96" s="443"/>
    </row>
    <row r="97" spans="1:15" ht="12.75" hidden="1" customHeight="1" x14ac:dyDescent="0.2">
      <c r="A97" s="7" t="s">
        <v>1090</v>
      </c>
      <c r="B97" s="417"/>
      <c r="C97" s="417"/>
      <c r="D97" s="417"/>
      <c r="E97" s="417"/>
      <c r="F97" s="417"/>
      <c r="G97" s="417"/>
      <c r="H97" s="417"/>
      <c r="I97" s="417"/>
      <c r="J97" s="417"/>
      <c r="K97" s="417"/>
      <c r="L97" s="417"/>
      <c r="M97" s="417"/>
      <c r="N97" s="417"/>
    </row>
    <row r="98" spans="1:15" s="316" customFormat="1" ht="12.75" hidden="1" customHeight="1" x14ac:dyDescent="0.2">
      <c r="A98" s="7" t="s">
        <v>1090</v>
      </c>
      <c r="B98" s="417"/>
      <c r="C98" s="417"/>
      <c r="D98" s="417"/>
      <c r="E98" s="717" t="str">
        <f>Translations!$B$1150</f>
        <v>Further procedure added by the operator</v>
      </c>
      <c r="F98" s="717"/>
      <c r="G98" s="717"/>
      <c r="H98" s="717"/>
      <c r="I98" s="717"/>
      <c r="J98" s="717"/>
      <c r="K98" s="717"/>
      <c r="L98" s="717"/>
      <c r="M98" s="717"/>
      <c r="N98" s="717"/>
      <c r="O98" s="417"/>
    </row>
    <row r="99" spans="1:15" s="316" customFormat="1" ht="12.75" hidden="1" customHeight="1" x14ac:dyDescent="0.2">
      <c r="A99" s="7" t="s">
        <v>1090</v>
      </c>
      <c r="B99" s="417"/>
      <c r="C99" s="417"/>
      <c r="D99" s="417"/>
      <c r="E99" s="417"/>
      <c r="F99" s="417"/>
      <c r="G99" s="417"/>
      <c r="H99" s="417"/>
      <c r="I99" s="417"/>
      <c r="J99" s="417"/>
      <c r="K99" s="417"/>
      <c r="L99" s="417"/>
      <c r="M99" s="417"/>
      <c r="N99" s="417"/>
      <c r="O99" s="417"/>
    </row>
    <row r="100" spans="1:15" ht="12.75" hidden="1" customHeight="1" x14ac:dyDescent="0.2">
      <c r="A100" s="7" t="s">
        <v>1090</v>
      </c>
      <c r="B100" s="417"/>
      <c r="C100" s="417"/>
      <c r="D100" s="417"/>
      <c r="E100" s="950" t="str">
        <f>Translations!$B$405</f>
        <v>Title of procedure</v>
      </c>
      <c r="F100" s="951"/>
      <c r="G100" s="902"/>
      <c r="H100" s="851"/>
      <c r="I100" s="851"/>
      <c r="J100" s="851"/>
      <c r="K100" s="851"/>
      <c r="L100" s="851"/>
      <c r="M100" s="851"/>
      <c r="N100" s="852"/>
    </row>
    <row r="101" spans="1:15" ht="12.75" hidden="1" customHeight="1" x14ac:dyDescent="0.2">
      <c r="A101" s="7" t="s">
        <v>1090</v>
      </c>
      <c r="B101" s="417"/>
      <c r="C101" s="417"/>
      <c r="D101" s="417"/>
      <c r="E101" s="950" t="str">
        <f>Translations!$B$407</f>
        <v>Reference for procedure</v>
      </c>
      <c r="F101" s="951"/>
      <c r="G101" s="902"/>
      <c r="H101" s="851"/>
      <c r="I101" s="851"/>
      <c r="J101" s="851"/>
      <c r="K101" s="851"/>
      <c r="L101" s="851"/>
      <c r="M101" s="851"/>
      <c r="N101" s="852"/>
    </row>
    <row r="102" spans="1:15" ht="12.75" hidden="1" customHeight="1" x14ac:dyDescent="0.2">
      <c r="A102" s="7" t="s">
        <v>1090</v>
      </c>
      <c r="B102" s="417"/>
      <c r="C102" s="417"/>
      <c r="D102" s="417"/>
      <c r="E102" s="950" t="str">
        <f>Translations!$B$409</f>
        <v>Diagram reference (where applicable)</v>
      </c>
      <c r="F102" s="951"/>
      <c r="G102" s="902"/>
      <c r="H102" s="851"/>
      <c r="I102" s="851"/>
      <c r="J102" s="851"/>
      <c r="K102" s="851"/>
      <c r="L102" s="851"/>
      <c r="M102" s="851"/>
      <c r="N102" s="852"/>
    </row>
    <row r="103" spans="1:15" ht="25.5" hidden="1" customHeight="1" x14ac:dyDescent="0.2">
      <c r="A103" s="7" t="s">
        <v>1090</v>
      </c>
      <c r="B103" s="417"/>
      <c r="C103" s="417"/>
      <c r="D103" s="417"/>
      <c r="E103" s="952" t="str">
        <f>Translations!$B$411</f>
        <v xml:space="preserve">Brief description of procedure    </v>
      </c>
      <c r="F103" s="953"/>
      <c r="G103" s="954"/>
      <c r="H103" s="955"/>
      <c r="I103" s="955"/>
      <c r="J103" s="955"/>
      <c r="K103" s="955"/>
      <c r="L103" s="955"/>
      <c r="M103" s="955"/>
      <c r="N103" s="956"/>
    </row>
    <row r="104" spans="1:15" ht="25.5" hidden="1" customHeight="1" x14ac:dyDescent="0.2">
      <c r="A104" s="7" t="s">
        <v>1090</v>
      </c>
      <c r="B104" s="417"/>
      <c r="C104" s="417"/>
      <c r="D104" s="417"/>
      <c r="E104" s="590"/>
      <c r="F104" s="591"/>
      <c r="G104" s="957"/>
      <c r="H104" s="958"/>
      <c r="I104" s="958"/>
      <c r="J104" s="958"/>
      <c r="K104" s="958"/>
      <c r="L104" s="958"/>
      <c r="M104" s="958"/>
      <c r="N104" s="959"/>
    </row>
    <row r="105" spans="1:15" ht="25.5" hidden="1" customHeight="1" x14ac:dyDescent="0.2">
      <c r="A105" s="7" t="s">
        <v>1090</v>
      </c>
      <c r="B105" s="417"/>
      <c r="C105" s="417"/>
      <c r="D105" s="417"/>
      <c r="E105" s="592"/>
      <c r="F105" s="593"/>
      <c r="G105" s="960"/>
      <c r="H105" s="961"/>
      <c r="I105" s="961"/>
      <c r="J105" s="961"/>
      <c r="K105" s="961"/>
      <c r="L105" s="961"/>
      <c r="M105" s="961"/>
      <c r="N105" s="962"/>
    </row>
    <row r="106" spans="1:15" ht="25.5" hidden="1" customHeight="1" x14ac:dyDescent="0.2">
      <c r="A106" s="7" t="s">
        <v>1090</v>
      </c>
      <c r="B106" s="417"/>
      <c r="C106" s="417"/>
      <c r="D106" s="417"/>
      <c r="E106" s="950" t="str">
        <f>Translations!$B$414</f>
        <v>Post or department responsible for the procedure and for any data generated</v>
      </c>
      <c r="F106" s="951"/>
      <c r="G106" s="902"/>
      <c r="H106" s="903"/>
      <c r="I106" s="903"/>
      <c r="J106" s="903"/>
      <c r="K106" s="903"/>
      <c r="L106" s="903"/>
      <c r="M106" s="903"/>
      <c r="N106" s="904"/>
    </row>
    <row r="107" spans="1:15" ht="12.75" hidden="1" customHeight="1" x14ac:dyDescent="0.2">
      <c r="A107" s="7" t="s">
        <v>1090</v>
      </c>
      <c r="B107" s="417"/>
      <c r="C107" s="417"/>
      <c r="D107" s="417"/>
      <c r="E107" s="950" t="str">
        <f>Translations!$B$416</f>
        <v>Location where records are kept</v>
      </c>
      <c r="F107" s="951"/>
      <c r="G107" s="902"/>
      <c r="H107" s="851"/>
      <c r="I107" s="851"/>
      <c r="J107" s="851"/>
      <c r="K107" s="851"/>
      <c r="L107" s="851"/>
      <c r="M107" s="851"/>
      <c r="N107" s="852"/>
    </row>
    <row r="108" spans="1:15" ht="25.5" hidden="1" customHeight="1" x14ac:dyDescent="0.2">
      <c r="A108" s="7" t="s">
        <v>1090</v>
      </c>
      <c r="B108" s="417"/>
      <c r="C108" s="417"/>
      <c r="D108" s="417"/>
      <c r="E108" s="950" t="str">
        <f>Translations!$B$418</f>
        <v>Name of IT system used (where applicable).</v>
      </c>
      <c r="F108" s="951"/>
      <c r="G108" s="902"/>
      <c r="H108" s="851"/>
      <c r="I108" s="851"/>
      <c r="J108" s="851"/>
      <c r="K108" s="851"/>
      <c r="L108" s="851"/>
      <c r="M108" s="851"/>
      <c r="N108" s="852"/>
    </row>
    <row r="109" spans="1:15" ht="25.5" hidden="1" customHeight="1" x14ac:dyDescent="0.2">
      <c r="A109" s="7" t="s">
        <v>1090</v>
      </c>
      <c r="B109" s="417"/>
      <c r="C109" s="417"/>
      <c r="D109" s="417"/>
      <c r="E109" s="950" t="str">
        <f>Translations!$B$420</f>
        <v>List of EN or other standards applied (where relevant)</v>
      </c>
      <c r="F109" s="951"/>
      <c r="G109" s="902"/>
      <c r="H109" s="851"/>
      <c r="I109" s="851"/>
      <c r="J109" s="851"/>
      <c r="K109" s="851"/>
      <c r="L109" s="851"/>
      <c r="M109" s="851"/>
      <c r="N109" s="852"/>
    </row>
    <row r="110" spans="1:15" ht="12.75" customHeight="1" x14ac:dyDescent="0.2">
      <c r="A110" s="8" t="s">
        <v>5</v>
      </c>
      <c r="B110" s="417"/>
      <c r="C110" s="417"/>
      <c r="D110" s="417"/>
      <c r="E110" s="417"/>
      <c r="F110" s="417"/>
      <c r="G110" s="417"/>
      <c r="H110" s="417"/>
      <c r="I110" s="417"/>
      <c r="J110" s="417"/>
      <c r="K110" s="417"/>
      <c r="L110" s="417"/>
      <c r="M110" s="417"/>
      <c r="N110" s="417"/>
    </row>
    <row r="111" spans="1:15" ht="5.0999999999999996" customHeight="1" x14ac:dyDescent="0.2">
      <c r="A111" s="7"/>
      <c r="B111" s="417"/>
      <c r="C111" s="430"/>
      <c r="D111" s="14"/>
      <c r="E111" s="417"/>
      <c r="F111" s="417"/>
      <c r="G111" s="1025" t="str">
        <f>Translations!$B$429</f>
        <v>Click "+" to add more procedures</v>
      </c>
      <c r="H111" s="1026"/>
      <c r="I111" s="1026"/>
      <c r="J111" s="1026"/>
      <c r="K111" s="1027"/>
      <c r="L111" s="417"/>
      <c r="M111" s="322"/>
      <c r="N111" s="417"/>
      <c r="O111" s="338"/>
    </row>
    <row r="112" spans="1:15" ht="12.75" customHeight="1" x14ac:dyDescent="0.2">
      <c r="A112" s="7"/>
      <c r="B112" s="417"/>
      <c r="C112" s="430"/>
      <c r="D112" s="14"/>
      <c r="E112" s="417"/>
      <c r="F112" s="417"/>
      <c r="G112" s="1028"/>
      <c r="H112" s="1029"/>
      <c r="I112" s="1029"/>
      <c r="J112" s="1029"/>
      <c r="K112" s="854"/>
      <c r="L112" s="417"/>
      <c r="M112" s="322"/>
      <c r="N112" s="417"/>
      <c r="O112" s="338"/>
    </row>
    <row r="113" spans="1:15" ht="5.0999999999999996" customHeight="1" x14ac:dyDescent="0.2">
      <c r="A113" s="7"/>
      <c r="B113" s="417"/>
      <c r="C113" s="430"/>
      <c r="D113" s="14"/>
      <c r="E113" s="417"/>
      <c r="F113" s="417"/>
      <c r="G113" s="1030"/>
      <c r="H113" s="1031"/>
      <c r="I113" s="1031"/>
      <c r="J113" s="1031"/>
      <c r="K113" s="1032"/>
      <c r="L113" s="417"/>
      <c r="M113" s="322"/>
      <c r="N113" s="417"/>
      <c r="O113" s="338"/>
    </row>
    <row r="114" spans="1:15" ht="12.75" customHeight="1" x14ac:dyDescent="0.2">
      <c r="B114" s="417"/>
      <c r="C114" s="417"/>
      <c r="D114" s="417"/>
      <c r="E114" s="417"/>
      <c r="F114" s="417"/>
      <c r="G114" s="417"/>
      <c r="H114" s="417"/>
      <c r="I114" s="417"/>
      <c r="J114" s="417"/>
      <c r="K114" s="417"/>
      <c r="L114" s="417"/>
      <c r="M114" s="417"/>
      <c r="N114" s="417"/>
    </row>
    <row r="115" spans="1:15" x14ac:dyDescent="0.2">
      <c r="B115" s="417"/>
      <c r="C115" s="417"/>
      <c r="D115" s="417"/>
      <c r="E115" s="417"/>
      <c r="F115" s="417"/>
      <c r="G115" s="417"/>
      <c r="H115" s="417"/>
      <c r="I115" s="417"/>
      <c r="J115" s="417"/>
      <c r="K115" s="417"/>
      <c r="L115" s="417"/>
      <c r="M115" s="417"/>
      <c r="N115" s="417"/>
      <c r="O115" s="417"/>
    </row>
    <row r="116" spans="1:15" ht="15" customHeight="1" x14ac:dyDescent="0.2">
      <c r="A116" s="72"/>
      <c r="B116" s="417"/>
      <c r="C116" s="417"/>
      <c r="D116" s="441"/>
      <c r="E116" s="417"/>
      <c r="F116" s="770" t="str">
        <f>EUconst_MsgNextSheet</f>
        <v xml:space="preserve">&lt;&lt;&lt; Click here to proceed to next sheet &gt;&gt;&gt; </v>
      </c>
      <c r="G116" s="770"/>
      <c r="H116" s="770"/>
      <c r="I116" s="770"/>
      <c r="J116" s="770"/>
      <c r="K116" s="770"/>
      <c r="L116" s="770"/>
      <c r="M116" s="417"/>
      <c r="N116" s="417"/>
      <c r="O116" s="417"/>
    </row>
  </sheetData>
  <sheetProtection sheet="1" objects="1" scenarios="1" formatCells="0" formatColumns="0" formatRows="0"/>
  <mergeCells count="160">
    <mergeCell ref="B2:D4"/>
    <mergeCell ref="E4:F4"/>
    <mergeCell ref="G20:N20"/>
    <mergeCell ref="K2:L2"/>
    <mergeCell ref="E3:F3"/>
    <mergeCell ref="G3:H3"/>
    <mergeCell ref="I2:J2"/>
    <mergeCell ref="M2:N2"/>
    <mergeCell ref="I3:J3"/>
    <mergeCell ref="K3:L3"/>
    <mergeCell ref="E2:F2"/>
    <mergeCell ref="G2:H2"/>
    <mergeCell ref="D10:N10"/>
    <mergeCell ref="I4:J4"/>
    <mergeCell ref="K4:L4"/>
    <mergeCell ref="G4:H4"/>
    <mergeCell ref="M3:N3"/>
    <mergeCell ref="M4:N4"/>
    <mergeCell ref="E15:N15"/>
    <mergeCell ref="E12:N12"/>
    <mergeCell ref="E13:N13"/>
    <mergeCell ref="K8:N8"/>
    <mergeCell ref="E41:F41"/>
    <mergeCell ref="G21:N21"/>
    <mergeCell ref="E16:F16"/>
    <mergeCell ref="E17:F17"/>
    <mergeCell ref="C6:K6"/>
    <mergeCell ref="L6:N6"/>
    <mergeCell ref="G18:N18"/>
    <mergeCell ref="G16:N16"/>
    <mergeCell ref="E19:F19"/>
    <mergeCell ref="G19:N19"/>
    <mergeCell ref="E37:F37"/>
    <mergeCell ref="E18:F18"/>
    <mergeCell ref="G17:N17"/>
    <mergeCell ref="E22:F22"/>
    <mergeCell ref="E49:F49"/>
    <mergeCell ref="G23:N23"/>
    <mergeCell ref="G22:N22"/>
    <mergeCell ref="E30:F30"/>
    <mergeCell ref="E73:F73"/>
    <mergeCell ref="G66:N66"/>
    <mergeCell ref="E61:F61"/>
    <mergeCell ref="E23:F23"/>
    <mergeCell ref="E31:F31"/>
    <mergeCell ref="E72:F72"/>
    <mergeCell ref="G72:N72"/>
    <mergeCell ref="E67:F67"/>
    <mergeCell ref="E70:F70"/>
    <mergeCell ref="E71:F71"/>
    <mergeCell ref="E64:F64"/>
    <mergeCell ref="E42:F42"/>
    <mergeCell ref="E40:F40"/>
    <mergeCell ref="E54:F54"/>
    <mergeCell ref="E66:F66"/>
    <mergeCell ref="E63:N63"/>
    <mergeCell ref="E55:F55"/>
    <mergeCell ref="G46:N46"/>
    <mergeCell ref="G47:N47"/>
    <mergeCell ref="E53:F53"/>
    <mergeCell ref="G111:K113"/>
    <mergeCell ref="E91:N91"/>
    <mergeCell ref="E92:N92"/>
    <mergeCell ref="E93:N93"/>
    <mergeCell ref="E94:N94"/>
    <mergeCell ref="E108:F108"/>
    <mergeCell ref="G108:N108"/>
    <mergeCell ref="E95:N95"/>
    <mergeCell ref="E96:N96"/>
    <mergeCell ref="G109:N109"/>
    <mergeCell ref="E75:N75"/>
    <mergeCell ref="E76:N76"/>
    <mergeCell ref="E77:N77"/>
    <mergeCell ref="E78:N78"/>
    <mergeCell ref="E101:F101"/>
    <mergeCell ref="E90:N90"/>
    <mergeCell ref="E87:N87"/>
    <mergeCell ref="E81:N81"/>
    <mergeCell ref="G101:N101"/>
    <mergeCell ref="E82:N82"/>
    <mergeCell ref="E109:F109"/>
    <mergeCell ref="E106:F106"/>
    <mergeCell ref="E86:N86"/>
    <mergeCell ref="E79:N79"/>
    <mergeCell ref="E80:N80"/>
    <mergeCell ref="E100:F100"/>
    <mergeCell ref="E83:N83"/>
    <mergeCell ref="E85:N85"/>
    <mergeCell ref="E84:N84"/>
    <mergeCell ref="G100:N100"/>
    <mergeCell ref="E107:F107"/>
    <mergeCell ref="G107:N107"/>
    <mergeCell ref="G106:N106"/>
    <mergeCell ref="E88:N88"/>
    <mergeCell ref="E89:N89"/>
    <mergeCell ref="E102:F102"/>
    <mergeCell ref="G102:N102"/>
    <mergeCell ref="G105:N105"/>
    <mergeCell ref="G104:N104"/>
    <mergeCell ref="E98:N98"/>
    <mergeCell ref="G73:N73"/>
    <mergeCell ref="G71:N71"/>
    <mergeCell ref="G58:N58"/>
    <mergeCell ref="G59:N59"/>
    <mergeCell ref="G60:N60"/>
    <mergeCell ref="G69:N69"/>
    <mergeCell ref="G64:N64"/>
    <mergeCell ref="G68:N68"/>
    <mergeCell ref="G70:N70"/>
    <mergeCell ref="G49:N49"/>
    <mergeCell ref="G52:N52"/>
    <mergeCell ref="G53:N53"/>
    <mergeCell ref="G67:N67"/>
    <mergeCell ref="G61:N61"/>
    <mergeCell ref="G65:N65"/>
    <mergeCell ref="E60:F60"/>
    <mergeCell ref="E65:F65"/>
    <mergeCell ref="E52:F52"/>
    <mergeCell ref="G56:N56"/>
    <mergeCell ref="G57:N57"/>
    <mergeCell ref="E58:F58"/>
    <mergeCell ref="E59:F59"/>
    <mergeCell ref="G24:N24"/>
    <mergeCell ref="G25:N25"/>
    <mergeCell ref="G28:N28"/>
    <mergeCell ref="G29:N29"/>
    <mergeCell ref="E27:N27"/>
    <mergeCell ref="E43:F43"/>
    <mergeCell ref="E25:F25"/>
    <mergeCell ref="E24:F24"/>
    <mergeCell ref="E28:F28"/>
    <mergeCell ref="E29:F29"/>
    <mergeCell ref="G43:N43"/>
    <mergeCell ref="E35:F35"/>
    <mergeCell ref="G37:N37"/>
    <mergeCell ref="E39:N39"/>
    <mergeCell ref="E34:F34"/>
    <mergeCell ref="G35:N35"/>
    <mergeCell ref="G40:N40"/>
    <mergeCell ref="G30:N30"/>
    <mergeCell ref="G31:N31"/>
    <mergeCell ref="G32:N32"/>
    <mergeCell ref="G36:N36"/>
    <mergeCell ref="F116:L116"/>
    <mergeCell ref="G33:N33"/>
    <mergeCell ref="G34:N34"/>
    <mergeCell ref="E103:F103"/>
    <mergeCell ref="G103:N103"/>
    <mergeCell ref="E36:F36"/>
    <mergeCell ref="E51:N51"/>
    <mergeCell ref="E48:F48"/>
    <mergeCell ref="G41:N41"/>
    <mergeCell ref="G42:N42"/>
    <mergeCell ref="G54:N54"/>
    <mergeCell ref="G55:N55"/>
    <mergeCell ref="G44:N44"/>
    <mergeCell ref="G45:N45"/>
    <mergeCell ref="E46:F46"/>
    <mergeCell ref="E47:F47"/>
    <mergeCell ref="G48:N48"/>
  </mergeCells>
  <phoneticPr fontId="39" type="noConversion"/>
  <conditionalFormatting sqref="G16:N25 G28:N37 G40:N49 G52:N61 G64:N73 G100:N109 E77:N96">
    <cfRule type="expression" dxfId="77" priority="1" stopIfTrue="1">
      <formula>($L$6=EUconst_NotRelevant)</formula>
    </cfRule>
  </conditionalFormatting>
  <hyperlinks>
    <hyperlink ref="E4:F4" location="JUMP_H_Bottom" display="JUMP_H_Bottom" xr:uid="{00000000-0004-0000-0900-000000000000}"/>
    <hyperlink ref="G2:H2" location="JUMP_a_Content" display="Table of contents" xr:uid="{00000000-0004-0000-0900-000001000000}"/>
    <hyperlink ref="I2:J2" location="JUMP_G_Top" display="JUMP_G_Top" xr:uid="{00000000-0004-0000-0900-000002000000}"/>
    <hyperlink ref="K2:L2" location="JUMP_I_Top" display="JUMP_I_Top" xr:uid="{00000000-0004-0000-0900-000003000000}"/>
    <hyperlink ref="E3:F3" location="JUMP_H_Top" display="JUMP_H_Top" xr:uid="{00000000-0004-0000-0900-000004000000}"/>
    <hyperlink ref="F116:L116" location="JUMP_I_Top" display="JUMP_I_Top" xr:uid="{00000000-0004-0000-0900-000005000000}"/>
  </hyperlinks>
  <pageMargins left="0.78740157480314965" right="0.78740157480314965" top="0.78740157480314965" bottom="0.78740157480314965" header="0.39370078740157483" footer="0.39370078740157483"/>
  <pageSetup paperSize="9" scale="61" fitToHeight="10" orientation="portrait" r:id="rId1"/>
  <headerFooter alignWithMargins="0">
    <oddHeader>&amp;L&amp;F, &amp;A&amp;R&amp;D, &amp;T</oddHeader>
    <oddFooter>&amp;C&amp;P / &amp;N</oddFooter>
  </headerFooter>
  <rowBreaks count="2" manualBreakCount="2">
    <brk id="38" min="1" max="13" man="1"/>
    <brk id="62" min="1" max="1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9">
    <tabColor indexed="11"/>
    <pageSetUpPr fitToPage="1"/>
  </sheetPr>
  <dimension ref="A1:AB503"/>
  <sheetViews>
    <sheetView topLeftCell="B1" zoomScaleNormal="100" workbookViewId="0">
      <pane ySplit="4" topLeftCell="A5" activePane="bottomLeft" state="frozen"/>
      <selection activeCell="B2" sqref="B2"/>
      <selection pane="bottomLeft" activeCell="B2" sqref="B2:D4"/>
    </sheetView>
  </sheetViews>
  <sheetFormatPr defaultColWidth="9.140625" defaultRowHeight="12.75" outlineLevelRow="1" x14ac:dyDescent="0.2"/>
  <cols>
    <col min="1" max="1" width="2.7109375" style="8" hidden="1" customWidth="1"/>
    <col min="2" max="2" width="2.7109375" style="8" customWidth="1"/>
    <col min="3" max="4" width="4.7109375" style="8" customWidth="1"/>
    <col min="5" max="14" width="12.7109375" style="8" customWidth="1"/>
    <col min="15" max="15" width="4.7109375" style="8" customWidth="1"/>
    <col min="16" max="16" width="24.85546875" style="8" hidden="1" customWidth="1"/>
    <col min="17" max="23" width="11.42578125" style="8" hidden="1" customWidth="1"/>
    <col min="24" max="16384" width="9.140625" style="8"/>
  </cols>
  <sheetData>
    <row r="1" spans="1:28" ht="13.5" hidden="1" thickBot="1" x14ac:dyDescent="0.25">
      <c r="A1" s="17" t="s">
        <v>1090</v>
      </c>
      <c r="B1" s="72"/>
      <c r="C1" s="72"/>
      <c r="D1" s="75"/>
      <c r="E1" s="72"/>
      <c r="F1" s="72"/>
      <c r="G1" s="72"/>
      <c r="H1" s="72"/>
      <c r="I1" s="72"/>
      <c r="J1" s="72"/>
      <c r="K1" s="72"/>
      <c r="L1" s="72"/>
      <c r="M1" s="72"/>
      <c r="N1" s="72"/>
      <c r="O1" s="72"/>
      <c r="P1" s="17" t="s">
        <v>1090</v>
      </c>
      <c r="Q1" s="17" t="s">
        <v>1090</v>
      </c>
      <c r="R1" s="17" t="s">
        <v>1090</v>
      </c>
      <c r="S1" s="17" t="s">
        <v>1090</v>
      </c>
      <c r="T1" s="17" t="s">
        <v>1090</v>
      </c>
      <c r="U1" s="17" t="s">
        <v>1090</v>
      </c>
      <c r="V1" s="17" t="s">
        <v>1090</v>
      </c>
      <c r="W1" s="17" t="s">
        <v>1090</v>
      </c>
      <c r="X1" s="417"/>
      <c r="Y1" s="417"/>
      <c r="Z1" s="417"/>
      <c r="AA1" s="417"/>
      <c r="AB1" s="417"/>
    </row>
    <row r="2" spans="1:28" ht="13.5" customHeight="1" thickBot="1" x14ac:dyDescent="0.25">
      <c r="A2" s="17"/>
      <c r="B2" s="803" t="str">
        <f>Translations!$B$637</f>
        <v>I. PFC emissions</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c r="P2" s="17"/>
      <c r="Q2" s="72"/>
      <c r="R2" s="72"/>
      <c r="S2" s="72"/>
      <c r="T2" s="72"/>
      <c r="U2" s="72"/>
      <c r="V2" s="72"/>
      <c r="W2" s="72"/>
    </row>
    <row r="3" spans="1:28" ht="12.75" customHeight="1" x14ac:dyDescent="0.2">
      <c r="A3" s="17"/>
      <c r="B3" s="806"/>
      <c r="C3" s="807"/>
      <c r="D3" s="808"/>
      <c r="E3" s="776" t="str">
        <f>Translations!$B$63</f>
        <v>Top of sheet</v>
      </c>
      <c r="F3" s="776"/>
      <c r="G3" s="1193" t="str">
        <f>Translations!$B$29</f>
        <v>Determination of PFC emissions</v>
      </c>
      <c r="H3" s="1194"/>
      <c r="I3" s="1195" t="str">
        <f>EUwideConstants!$A$94</f>
        <v>PFCs</v>
      </c>
      <c r="J3" s="1196"/>
      <c r="K3" s="1187" t="str">
        <f>F_MeasurementBasedApproaches!$G$4</f>
        <v>Management &amp; Procedures</v>
      </c>
      <c r="L3" s="1188"/>
      <c r="M3" s="1131"/>
      <c r="N3" s="778"/>
      <c r="O3" s="7"/>
      <c r="P3" s="17"/>
      <c r="Q3" s="72"/>
      <c r="R3" s="72"/>
      <c r="S3" s="72"/>
      <c r="T3" s="72"/>
      <c r="U3" s="72"/>
      <c r="V3" s="72"/>
      <c r="W3" s="72"/>
    </row>
    <row r="4" spans="1:28" ht="13.5" customHeight="1" thickBot="1" x14ac:dyDescent="0.25">
      <c r="A4" s="17"/>
      <c r="B4" s="809"/>
      <c r="C4" s="810"/>
      <c r="D4" s="811"/>
      <c r="E4" s="776" t="str">
        <f>Translations!$B$64</f>
        <v>End of sheet</v>
      </c>
      <c r="F4" s="776"/>
      <c r="G4" s="1197"/>
      <c r="H4" s="1185"/>
      <c r="I4" s="1185"/>
      <c r="J4" s="1185"/>
      <c r="K4" s="1185"/>
      <c r="L4" s="1186"/>
      <c r="M4" s="1131"/>
      <c r="N4" s="778"/>
      <c r="O4" s="7"/>
      <c r="P4" s="17"/>
      <c r="Q4" s="72"/>
      <c r="R4" s="72"/>
      <c r="S4" s="72"/>
      <c r="T4" s="72"/>
      <c r="U4" s="72"/>
      <c r="V4" s="72"/>
      <c r="W4" s="72"/>
    </row>
    <row r="5" spans="1:28" ht="12.75" customHeight="1" thickBot="1" x14ac:dyDescent="0.25">
      <c r="A5" s="72"/>
      <c r="C5" s="9"/>
      <c r="D5" s="10"/>
      <c r="F5" s="10"/>
      <c r="G5" s="10"/>
      <c r="H5" s="10"/>
      <c r="M5" s="7"/>
      <c r="N5" s="7"/>
      <c r="O5" s="7"/>
      <c r="P5" s="17"/>
      <c r="Q5" s="72"/>
      <c r="R5" s="72"/>
      <c r="S5" s="72"/>
      <c r="T5" s="72"/>
      <c r="U5" s="72"/>
      <c r="V5" s="72"/>
      <c r="W5" s="72"/>
    </row>
    <row r="6" spans="1:28" s="99" customFormat="1" ht="25.5" customHeight="1" thickBot="1" x14ac:dyDescent="0.25">
      <c r="A6" s="76"/>
      <c r="B6" s="34"/>
      <c r="C6" s="812" t="str">
        <f>Translations!$B$28</f>
        <v>I. Determination of PFC emissions from production of primary aluminium</v>
      </c>
      <c r="D6" s="812"/>
      <c r="E6" s="812"/>
      <c r="F6" s="812"/>
      <c r="G6" s="812"/>
      <c r="H6" s="812"/>
      <c r="I6" s="812"/>
      <c r="J6" s="812"/>
      <c r="K6" s="812"/>
      <c r="L6" s="1000" t="str">
        <f>IF(AND(NOT(ISBLANK(CNTR_InstHasPFC)), CNTR_InstHasPFC=FALSE),EUconst_NotRelevant,EUconst_Relevant)</f>
        <v>relevant</v>
      </c>
      <c r="M6" s="1001"/>
      <c r="N6" s="1002"/>
      <c r="O6" s="36"/>
      <c r="P6" s="41"/>
      <c r="Q6" s="274"/>
      <c r="R6" s="274"/>
      <c r="S6" s="274"/>
      <c r="T6" s="274"/>
      <c r="U6" s="274"/>
      <c r="V6" s="274"/>
      <c r="W6" s="274"/>
    </row>
    <row r="7" spans="1:28" s="99" customFormat="1" ht="5.0999999999999996" customHeight="1" x14ac:dyDescent="0.2">
      <c r="A7" s="76"/>
      <c r="B7" s="34"/>
      <c r="C7" s="216"/>
      <c r="D7" s="221"/>
      <c r="E7" s="216"/>
      <c r="F7" s="216"/>
      <c r="G7" s="216"/>
      <c r="H7" s="216"/>
      <c r="I7" s="216"/>
      <c r="J7" s="216"/>
      <c r="K7" s="216"/>
      <c r="L7" s="219"/>
      <c r="M7" s="219"/>
      <c r="N7" s="219"/>
      <c r="O7" s="36"/>
      <c r="P7" s="41"/>
      <c r="Q7" s="274"/>
      <c r="R7" s="274"/>
      <c r="S7" s="274"/>
      <c r="T7" s="274"/>
      <c r="U7" s="274"/>
      <c r="V7" s="274"/>
      <c r="W7" s="274"/>
    </row>
    <row r="8" spans="1:28" x14ac:dyDescent="0.2">
      <c r="A8" s="72"/>
      <c r="D8" s="10"/>
      <c r="K8" s="1192" t="str">
        <f>IF(L6=EUconst_NotRelevant,HYPERLINK("#JUMP_J_Top",EUconst_MsgNextSheet),HYPERLINK("",EUconst_MsgEnterThisSection))</f>
        <v>Please enter data in this section</v>
      </c>
      <c r="L8" s="1192"/>
      <c r="M8" s="1192"/>
      <c r="N8" s="1192"/>
      <c r="P8" s="72"/>
      <c r="Q8" s="72"/>
      <c r="R8" s="72"/>
      <c r="S8" s="72"/>
      <c r="T8" s="72"/>
      <c r="U8" s="72"/>
      <c r="V8" s="72"/>
      <c r="W8" s="72"/>
      <c r="X8" s="417"/>
      <c r="Y8" s="417"/>
      <c r="Z8" s="417"/>
      <c r="AA8" s="417"/>
      <c r="AB8" s="417"/>
    </row>
    <row r="9" spans="1:28" ht="5.0999999999999996" customHeight="1" x14ac:dyDescent="0.2">
      <c r="A9" s="208"/>
      <c r="B9" s="13"/>
      <c r="C9" s="13"/>
      <c r="D9" s="439"/>
      <c r="E9" s="411"/>
      <c r="F9" s="7"/>
      <c r="G9" s="411"/>
      <c r="H9" s="411"/>
      <c r="I9" s="411"/>
      <c r="J9" s="411"/>
      <c r="K9" s="411"/>
      <c r="L9" s="411"/>
      <c r="M9" s="411"/>
      <c r="N9" s="411"/>
      <c r="O9" s="417"/>
      <c r="P9" s="72"/>
      <c r="Q9" s="72"/>
      <c r="R9" s="72"/>
      <c r="S9" s="72"/>
      <c r="T9" s="72"/>
      <c r="U9" s="72"/>
      <c r="V9" s="72"/>
      <c r="W9" s="72"/>
      <c r="X9" s="417"/>
      <c r="Y9" s="417"/>
      <c r="Z9" s="417"/>
      <c r="AA9" s="417"/>
      <c r="AB9" s="417"/>
    </row>
    <row r="10" spans="1:28" ht="15.75" x14ac:dyDescent="0.2">
      <c r="A10" s="72"/>
      <c r="B10" s="417"/>
      <c r="C10" s="53">
        <v>14</v>
      </c>
      <c r="D10" s="884" t="str">
        <f>Translations!$B$29</f>
        <v>Determination of PFC emissions</v>
      </c>
      <c r="E10" s="884"/>
      <c r="F10" s="884"/>
      <c r="G10" s="884"/>
      <c r="H10" s="884"/>
      <c r="I10" s="884"/>
      <c r="J10" s="884"/>
      <c r="K10" s="884"/>
      <c r="L10" s="884"/>
      <c r="M10" s="884"/>
      <c r="N10" s="884"/>
      <c r="O10" s="417"/>
      <c r="P10" s="72"/>
      <c r="Q10" s="72"/>
      <c r="R10" s="72"/>
      <c r="S10" s="72"/>
      <c r="T10" s="72"/>
      <c r="U10" s="72"/>
      <c r="V10" s="72"/>
      <c r="W10" s="72"/>
      <c r="X10" s="417"/>
      <c r="Y10" s="417"/>
      <c r="Z10" s="417"/>
      <c r="AA10" s="417"/>
      <c r="AB10" s="417"/>
    </row>
    <row r="11" spans="1:28" x14ac:dyDescent="0.2">
      <c r="A11" s="72"/>
      <c r="B11" s="417"/>
      <c r="C11" s="328"/>
      <c r="D11" s="68"/>
      <c r="E11" s="440"/>
      <c r="F11" s="440"/>
      <c r="G11" s="440"/>
      <c r="H11" s="440"/>
      <c r="I11" s="440"/>
      <c r="J11" s="440"/>
      <c r="K11" s="440"/>
      <c r="L11" s="440"/>
      <c r="M11" s="440"/>
      <c r="N11" s="440"/>
      <c r="O11" s="440"/>
      <c r="P11" s="72"/>
      <c r="Q11" s="72"/>
      <c r="R11" s="72"/>
      <c r="S11" s="72"/>
      <c r="T11" s="72"/>
      <c r="U11" s="72"/>
      <c r="V11" s="72"/>
      <c r="W11" s="72"/>
      <c r="X11" s="417"/>
      <c r="Y11" s="417"/>
      <c r="Z11" s="417"/>
      <c r="AA11" s="417"/>
      <c r="AB11" s="417"/>
    </row>
    <row r="12" spans="1:28" ht="38.25" customHeight="1" x14ac:dyDescent="0.2">
      <c r="A12" s="72"/>
      <c r="B12" s="417"/>
      <c r="C12" s="328"/>
      <c r="D12" s="769" t="str">
        <f>Translations!$B$638</f>
        <v>Note: this section is to be completed for determination of emissions of perfluorocarbons from production or processing of primary aluminium at an installation.  As a "calculation based approach" is used here, make sure you have entered all appropriate data (except the source stream details and procedures to be provided in this sheet) in section 7 (sheet D_CalculationBasedApproaches).</v>
      </c>
      <c r="E12" s="769"/>
      <c r="F12" s="769"/>
      <c r="G12" s="769"/>
      <c r="H12" s="769"/>
      <c r="I12" s="769"/>
      <c r="J12" s="769"/>
      <c r="K12" s="769"/>
      <c r="L12" s="769"/>
      <c r="M12" s="769"/>
      <c r="N12" s="769"/>
      <c r="O12" s="769"/>
      <c r="P12" s="72"/>
      <c r="Q12" s="72"/>
      <c r="R12" s="72"/>
      <c r="S12" s="72"/>
      <c r="T12" s="72"/>
      <c r="U12" s="72"/>
      <c r="V12" s="72"/>
      <c r="W12" s="72"/>
      <c r="X12" s="417"/>
      <c r="Y12" s="417"/>
      <c r="Z12" s="417"/>
      <c r="AA12" s="417"/>
      <c r="AB12" s="417"/>
    </row>
    <row r="13" spans="1:28" x14ac:dyDescent="0.2">
      <c r="A13" s="72"/>
      <c r="B13" s="417"/>
      <c r="C13" s="417"/>
      <c r="D13" s="417"/>
      <c r="E13" s="417"/>
      <c r="F13" s="417"/>
      <c r="G13" s="417"/>
      <c r="H13" s="417"/>
      <c r="I13" s="417"/>
      <c r="J13" s="417"/>
      <c r="K13" s="417"/>
      <c r="L13" s="417"/>
      <c r="M13" s="417"/>
      <c r="N13" s="417"/>
      <c r="O13" s="417"/>
      <c r="P13" s="72"/>
      <c r="Q13" s="72"/>
      <c r="R13" s="72"/>
      <c r="S13" s="72"/>
      <c r="T13" s="72"/>
      <c r="U13" s="72"/>
      <c r="V13" s="72"/>
      <c r="W13" s="72"/>
      <c r="X13" s="417"/>
      <c r="Y13" s="417"/>
      <c r="Z13" s="417"/>
      <c r="AA13" s="417"/>
      <c r="AB13" s="417"/>
    </row>
    <row r="14" spans="1:28" ht="25.5" customHeight="1" x14ac:dyDescent="0.2">
      <c r="A14" s="72"/>
      <c r="B14" s="417"/>
      <c r="C14" s="251" t="s">
        <v>1018</v>
      </c>
      <c r="D14" s="717" t="str">
        <f>Translations!$B$639</f>
        <v>Please provide a concise description of the approach used to determine your PFC emissions and to convert these to annual CO2(e) emissions in the text box below.</v>
      </c>
      <c r="E14" s="717"/>
      <c r="F14" s="717"/>
      <c r="G14" s="717"/>
      <c r="H14" s="717"/>
      <c r="I14" s="717"/>
      <c r="J14" s="717"/>
      <c r="K14" s="717"/>
      <c r="L14" s="717"/>
      <c r="M14" s="717"/>
      <c r="N14" s="717"/>
      <c r="O14" s="3"/>
      <c r="P14" s="72"/>
      <c r="Q14" s="72"/>
      <c r="R14" s="72"/>
      <c r="S14" s="72"/>
      <c r="T14" s="72"/>
      <c r="U14" s="72"/>
      <c r="V14" s="72"/>
      <c r="W14" s="72"/>
      <c r="X14" s="417"/>
      <c r="Y14" s="417"/>
      <c r="Z14" s="417"/>
      <c r="AA14" s="417"/>
      <c r="AB14" s="417"/>
    </row>
    <row r="15" spans="1:28" s="316" customFormat="1" ht="12.75" customHeight="1" x14ac:dyDescent="0.2">
      <c r="A15" s="72"/>
      <c r="B15" s="417"/>
      <c r="C15" s="417"/>
      <c r="D15" s="337"/>
      <c r="E15" s="898" t="str">
        <f>Translations!$B$640</f>
        <v>Please provide a concise description of the monitoring approach, including formulae, used to determine your annual CO2(e) emissions in the text box below.</v>
      </c>
      <c r="F15" s="898"/>
      <c r="G15" s="898"/>
      <c r="H15" s="898"/>
      <c r="I15" s="898"/>
      <c r="J15" s="898"/>
      <c r="K15" s="898"/>
      <c r="L15" s="898"/>
      <c r="M15" s="898"/>
      <c r="N15" s="898"/>
      <c r="O15" s="8"/>
      <c r="P15" s="72"/>
      <c r="Q15" s="72"/>
      <c r="R15" s="72"/>
      <c r="S15" s="72"/>
      <c r="T15" s="72"/>
      <c r="U15" s="72"/>
      <c r="V15" s="72"/>
      <c r="W15" s="72"/>
    </row>
    <row r="16" spans="1:28" s="316" customFormat="1" ht="25.5" customHeight="1" x14ac:dyDescent="0.2">
      <c r="A16" s="72"/>
      <c r="B16" s="417"/>
      <c r="C16" s="417"/>
      <c r="D16" s="337"/>
      <c r="E16" s="1191" t="str">
        <f>Translations!$B$338</f>
        <v>If the description is too complex, e.g. complex formulas are applied, you may provide the description in a separate document using a file format acceptable for the CA. In this case please reference this file here, by using the file name and date.</v>
      </c>
      <c r="F16" s="1191"/>
      <c r="G16" s="1191"/>
      <c r="H16" s="1191"/>
      <c r="I16" s="1191"/>
      <c r="J16" s="1191"/>
      <c r="K16" s="1191"/>
      <c r="L16" s="1191"/>
      <c r="M16" s="1191"/>
      <c r="N16" s="1191"/>
      <c r="O16" s="8"/>
      <c r="P16" s="72"/>
      <c r="Q16" s="72"/>
      <c r="R16" s="72"/>
      <c r="S16" s="72"/>
      <c r="T16" s="72"/>
      <c r="U16" s="72"/>
      <c r="V16" s="72"/>
      <c r="W16" s="72"/>
    </row>
    <row r="17" spans="1:28" s="112" customFormat="1" ht="25.5" customHeight="1" x14ac:dyDescent="0.2">
      <c r="A17" s="65"/>
      <c r="C17" s="331"/>
      <c r="E17" s="1178" t="str">
        <f>Translations!$B$195</f>
        <v>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v>
      </c>
      <c r="F17" s="1178"/>
      <c r="G17" s="1178"/>
      <c r="H17" s="1178"/>
      <c r="I17" s="1178"/>
      <c r="J17" s="1178"/>
      <c r="K17" s="1178"/>
      <c r="L17" s="1178"/>
      <c r="M17" s="1178"/>
      <c r="N17" s="1178"/>
      <c r="P17" s="349"/>
      <c r="Q17" s="349"/>
      <c r="R17" s="349"/>
      <c r="S17" s="349"/>
      <c r="T17" s="349"/>
      <c r="U17" s="349"/>
      <c r="V17" s="349"/>
      <c r="W17" s="349"/>
    </row>
    <row r="18" spans="1:28" ht="5.0999999999999996" customHeight="1" x14ac:dyDescent="0.2">
      <c r="A18" s="72"/>
      <c r="B18" s="417"/>
      <c r="C18" s="417"/>
      <c r="D18" s="431"/>
      <c r="E18" s="431"/>
      <c r="F18" s="431"/>
      <c r="G18" s="431"/>
      <c r="H18" s="431"/>
      <c r="I18" s="431"/>
      <c r="J18" s="431"/>
      <c r="K18" s="417"/>
      <c r="L18" s="417"/>
      <c r="M18" s="417"/>
      <c r="N18" s="417"/>
      <c r="O18" s="417"/>
      <c r="P18" s="72"/>
      <c r="Q18" s="72"/>
      <c r="R18" s="72"/>
      <c r="S18" s="72"/>
      <c r="T18" s="72"/>
      <c r="U18" s="72"/>
      <c r="V18" s="72"/>
      <c r="W18" s="72"/>
      <c r="X18" s="417"/>
      <c r="Y18" s="417"/>
      <c r="Z18" s="417"/>
      <c r="AA18" s="417"/>
      <c r="AB18" s="417"/>
    </row>
    <row r="19" spans="1:28" ht="12.75" customHeight="1" x14ac:dyDescent="0.2">
      <c r="A19" s="72"/>
      <c r="B19" s="417"/>
      <c r="C19" s="417"/>
      <c r="D19" s="936"/>
      <c r="E19" s="1153"/>
      <c r="F19" s="1153"/>
      <c r="G19" s="1153"/>
      <c r="H19" s="1153"/>
      <c r="I19" s="1153"/>
      <c r="J19" s="1153"/>
      <c r="K19" s="1153"/>
      <c r="L19" s="1153"/>
      <c r="M19" s="1153"/>
      <c r="N19" s="1154"/>
      <c r="O19" s="417"/>
      <c r="P19" s="72"/>
      <c r="Q19" s="72"/>
      <c r="R19" s="72"/>
      <c r="S19" s="72"/>
      <c r="T19" s="72"/>
      <c r="U19" s="72"/>
      <c r="V19" s="72"/>
      <c r="W19" s="72"/>
      <c r="X19" s="417"/>
      <c r="Y19" s="417"/>
      <c r="Z19" s="417"/>
      <c r="AA19" s="417"/>
      <c r="AB19" s="417"/>
    </row>
    <row r="20" spans="1:28" x14ac:dyDescent="0.2">
      <c r="A20" s="72"/>
      <c r="B20" s="417"/>
      <c r="C20" s="417"/>
      <c r="D20" s="1184"/>
      <c r="E20" s="1149"/>
      <c r="F20" s="1149"/>
      <c r="G20" s="1149"/>
      <c r="H20" s="1149"/>
      <c r="I20" s="1149"/>
      <c r="J20" s="1149"/>
      <c r="K20" s="1149"/>
      <c r="L20" s="1149"/>
      <c r="M20" s="1149"/>
      <c r="N20" s="1150"/>
      <c r="O20" s="417"/>
      <c r="P20" s="72"/>
      <c r="Q20" s="72"/>
      <c r="R20" s="72"/>
      <c r="S20" s="72"/>
      <c r="T20" s="72"/>
      <c r="U20" s="72"/>
      <c r="V20" s="72"/>
      <c r="W20" s="72"/>
      <c r="X20" s="417"/>
      <c r="Y20" s="417"/>
      <c r="Z20" s="417"/>
      <c r="AA20" s="417"/>
      <c r="AB20" s="417"/>
    </row>
    <row r="21" spans="1:28" x14ac:dyDescent="0.2">
      <c r="A21" s="72"/>
      <c r="B21" s="417"/>
      <c r="C21" s="417"/>
      <c r="D21" s="1184"/>
      <c r="E21" s="1149"/>
      <c r="F21" s="1149"/>
      <c r="G21" s="1149"/>
      <c r="H21" s="1149"/>
      <c r="I21" s="1149"/>
      <c r="J21" s="1149"/>
      <c r="K21" s="1149"/>
      <c r="L21" s="1149"/>
      <c r="M21" s="1149"/>
      <c r="N21" s="1150"/>
      <c r="O21" s="417"/>
      <c r="P21" s="72"/>
      <c r="Q21" s="72"/>
      <c r="R21" s="72"/>
      <c r="S21" s="72"/>
      <c r="T21" s="72"/>
      <c r="U21" s="72"/>
      <c r="V21" s="72"/>
      <c r="W21" s="72"/>
      <c r="X21" s="417"/>
      <c r="Y21" s="417"/>
      <c r="Z21" s="417"/>
      <c r="AA21" s="417"/>
      <c r="AB21" s="417"/>
    </row>
    <row r="22" spans="1:28" x14ac:dyDescent="0.2">
      <c r="A22" s="72"/>
      <c r="B22" s="417"/>
      <c r="C22" s="417"/>
      <c r="D22" s="1184"/>
      <c r="E22" s="1149"/>
      <c r="F22" s="1149"/>
      <c r="G22" s="1149"/>
      <c r="H22" s="1149"/>
      <c r="I22" s="1149"/>
      <c r="J22" s="1149"/>
      <c r="K22" s="1149"/>
      <c r="L22" s="1149"/>
      <c r="M22" s="1149"/>
      <c r="N22" s="1150"/>
      <c r="O22" s="417"/>
      <c r="P22" s="72"/>
      <c r="Q22" s="72"/>
      <c r="R22" s="72"/>
      <c r="S22" s="72"/>
      <c r="T22" s="72"/>
      <c r="U22" s="72"/>
      <c r="V22" s="72"/>
      <c r="W22" s="72"/>
      <c r="X22" s="417"/>
      <c r="Y22" s="417"/>
      <c r="Z22" s="417"/>
      <c r="AA22" s="417"/>
      <c r="AB22" s="417"/>
    </row>
    <row r="23" spans="1:28" x14ac:dyDescent="0.2">
      <c r="A23" s="72"/>
      <c r="B23" s="417"/>
      <c r="C23" s="417"/>
      <c r="D23" s="1184"/>
      <c r="E23" s="1149"/>
      <c r="F23" s="1149"/>
      <c r="G23" s="1149"/>
      <c r="H23" s="1149"/>
      <c r="I23" s="1149"/>
      <c r="J23" s="1149"/>
      <c r="K23" s="1149"/>
      <c r="L23" s="1149"/>
      <c r="M23" s="1149"/>
      <c r="N23" s="1150"/>
      <c r="O23" s="417"/>
      <c r="P23" s="72"/>
      <c r="Q23" s="72"/>
      <c r="R23" s="72"/>
      <c r="S23" s="72"/>
      <c r="T23" s="72"/>
      <c r="U23" s="72"/>
      <c r="V23" s="72"/>
      <c r="W23" s="72"/>
      <c r="X23" s="417"/>
      <c r="Y23" s="417"/>
      <c r="Z23" s="417"/>
      <c r="AA23" s="417"/>
      <c r="AB23" s="417"/>
    </row>
    <row r="24" spans="1:28" x14ac:dyDescent="0.2">
      <c r="A24" s="72"/>
      <c r="B24" s="417"/>
      <c r="C24" s="417"/>
      <c r="D24" s="1184"/>
      <c r="E24" s="1149"/>
      <c r="F24" s="1149"/>
      <c r="G24" s="1149"/>
      <c r="H24" s="1149"/>
      <c r="I24" s="1149"/>
      <c r="J24" s="1149"/>
      <c r="K24" s="1149"/>
      <c r="L24" s="1149"/>
      <c r="M24" s="1149"/>
      <c r="N24" s="1150"/>
      <c r="O24" s="417"/>
      <c r="P24" s="72"/>
      <c r="Q24" s="72"/>
      <c r="R24" s="72"/>
      <c r="S24" s="72"/>
      <c r="T24" s="72"/>
      <c r="U24" s="72"/>
      <c r="V24" s="72"/>
      <c r="W24" s="72"/>
      <c r="X24" s="417"/>
      <c r="Y24" s="417"/>
      <c r="Z24" s="417"/>
      <c r="AA24" s="417"/>
      <c r="AB24" s="417"/>
    </row>
    <row r="25" spans="1:28" x14ac:dyDescent="0.2">
      <c r="A25" s="72"/>
      <c r="B25" s="417"/>
      <c r="C25" s="417"/>
      <c r="D25" s="1184"/>
      <c r="E25" s="1149"/>
      <c r="F25" s="1149"/>
      <c r="G25" s="1149"/>
      <c r="H25" s="1149"/>
      <c r="I25" s="1149"/>
      <c r="J25" s="1149"/>
      <c r="K25" s="1149"/>
      <c r="L25" s="1149"/>
      <c r="M25" s="1149"/>
      <c r="N25" s="1150"/>
      <c r="O25" s="417"/>
      <c r="P25" s="72"/>
      <c r="Q25" s="72"/>
      <c r="R25" s="72"/>
      <c r="S25" s="72"/>
      <c r="T25" s="72"/>
      <c r="U25" s="72"/>
      <c r="V25" s="72"/>
      <c r="W25" s="72"/>
      <c r="X25" s="417"/>
      <c r="Y25" s="417"/>
      <c r="Z25" s="417"/>
      <c r="AA25" s="417"/>
      <c r="AB25" s="417"/>
    </row>
    <row r="26" spans="1:28" x14ac:dyDescent="0.2">
      <c r="A26" s="72"/>
      <c r="B26" s="417"/>
      <c r="C26" s="417"/>
      <c r="D26" s="1184"/>
      <c r="E26" s="1149"/>
      <c r="F26" s="1149"/>
      <c r="G26" s="1149"/>
      <c r="H26" s="1149"/>
      <c r="I26" s="1149"/>
      <c r="J26" s="1149"/>
      <c r="K26" s="1149"/>
      <c r="L26" s="1149"/>
      <c r="M26" s="1149"/>
      <c r="N26" s="1150"/>
      <c r="O26" s="417"/>
      <c r="P26" s="72"/>
      <c r="Q26" s="72"/>
      <c r="R26" s="72"/>
      <c r="S26" s="72"/>
      <c r="T26" s="72"/>
      <c r="U26" s="72"/>
      <c r="V26" s="72"/>
      <c r="W26" s="72"/>
      <c r="X26" s="417"/>
      <c r="Y26" s="417"/>
      <c r="Z26" s="417"/>
      <c r="AA26" s="417"/>
      <c r="AB26" s="417"/>
    </row>
    <row r="27" spans="1:28" x14ac:dyDescent="0.2">
      <c r="A27" s="72"/>
      <c r="B27" s="417"/>
      <c r="C27" s="417"/>
      <c r="D27" s="1184"/>
      <c r="E27" s="1149"/>
      <c r="F27" s="1149"/>
      <c r="G27" s="1149"/>
      <c r="H27" s="1149"/>
      <c r="I27" s="1149"/>
      <c r="J27" s="1149"/>
      <c r="K27" s="1149"/>
      <c r="L27" s="1149"/>
      <c r="M27" s="1149"/>
      <c r="N27" s="1150"/>
      <c r="O27" s="417"/>
      <c r="P27" s="72"/>
      <c r="Q27" s="72"/>
      <c r="R27" s="72"/>
      <c r="S27" s="72"/>
      <c r="T27" s="72"/>
      <c r="U27" s="72"/>
      <c r="V27" s="72"/>
      <c r="W27" s="72"/>
      <c r="X27" s="417"/>
      <c r="Y27" s="417"/>
      <c r="Z27" s="417"/>
      <c r="AA27" s="417"/>
      <c r="AB27" s="417"/>
    </row>
    <row r="28" spans="1:28" x14ac:dyDescent="0.2">
      <c r="A28" s="72"/>
      <c r="B28" s="417"/>
      <c r="C28" s="417"/>
      <c r="D28" s="1184"/>
      <c r="E28" s="1149"/>
      <c r="F28" s="1149"/>
      <c r="G28" s="1149"/>
      <c r="H28" s="1149"/>
      <c r="I28" s="1149"/>
      <c r="J28" s="1149"/>
      <c r="K28" s="1149"/>
      <c r="L28" s="1149"/>
      <c r="M28" s="1149"/>
      <c r="N28" s="1150"/>
      <c r="O28" s="417"/>
      <c r="P28" s="72"/>
      <c r="Q28" s="72"/>
      <c r="R28" s="72"/>
      <c r="S28" s="72"/>
      <c r="T28" s="72"/>
      <c r="U28" s="72"/>
      <c r="V28" s="72"/>
      <c r="W28" s="72"/>
      <c r="X28" s="417"/>
      <c r="Y28" s="417"/>
      <c r="Z28" s="417"/>
      <c r="AA28" s="417"/>
      <c r="AB28" s="417"/>
    </row>
    <row r="29" spans="1:28" x14ac:dyDescent="0.2">
      <c r="A29" s="72"/>
      <c r="B29" s="417"/>
      <c r="C29" s="417"/>
      <c r="D29" s="1184"/>
      <c r="E29" s="1149"/>
      <c r="F29" s="1149"/>
      <c r="G29" s="1149"/>
      <c r="H29" s="1149"/>
      <c r="I29" s="1149"/>
      <c r="J29" s="1149"/>
      <c r="K29" s="1149"/>
      <c r="L29" s="1149"/>
      <c r="M29" s="1149"/>
      <c r="N29" s="1150"/>
      <c r="O29" s="417"/>
      <c r="P29" s="72"/>
      <c r="Q29" s="72"/>
      <c r="R29" s="72"/>
      <c r="S29" s="72"/>
      <c r="T29" s="72"/>
      <c r="U29" s="72"/>
      <c r="V29" s="72"/>
      <c r="W29" s="72"/>
      <c r="X29" s="417"/>
      <c r="Y29" s="417"/>
      <c r="Z29" s="417"/>
      <c r="AA29" s="417"/>
      <c r="AB29" s="417"/>
    </row>
    <row r="30" spans="1:28" x14ac:dyDescent="0.2">
      <c r="A30" s="72"/>
      <c r="B30" s="417"/>
      <c r="C30" s="417"/>
      <c r="D30" s="1184"/>
      <c r="E30" s="1149"/>
      <c r="F30" s="1149"/>
      <c r="G30" s="1149"/>
      <c r="H30" s="1149"/>
      <c r="I30" s="1149"/>
      <c r="J30" s="1149"/>
      <c r="K30" s="1149"/>
      <c r="L30" s="1149"/>
      <c r="M30" s="1149"/>
      <c r="N30" s="1150"/>
      <c r="O30" s="417"/>
      <c r="P30" s="72"/>
      <c r="Q30" s="72"/>
      <c r="R30" s="72"/>
      <c r="S30" s="72"/>
      <c r="T30" s="72"/>
      <c r="U30" s="72"/>
      <c r="V30" s="72"/>
      <c r="W30" s="72"/>
      <c r="X30" s="417"/>
      <c r="Y30" s="417"/>
      <c r="Z30" s="417"/>
      <c r="AA30" s="417"/>
      <c r="AB30" s="417"/>
    </row>
    <row r="31" spans="1:28" x14ac:dyDescent="0.2">
      <c r="A31" s="72"/>
      <c r="B31" s="417"/>
      <c r="C31" s="417"/>
      <c r="D31" s="1184"/>
      <c r="E31" s="1149"/>
      <c r="F31" s="1149"/>
      <c r="G31" s="1149"/>
      <c r="H31" s="1149"/>
      <c r="I31" s="1149"/>
      <c r="J31" s="1149"/>
      <c r="K31" s="1149"/>
      <c r="L31" s="1149"/>
      <c r="M31" s="1149"/>
      <c r="N31" s="1150"/>
      <c r="O31" s="417"/>
      <c r="P31" s="72"/>
      <c r="Q31" s="72"/>
      <c r="R31" s="72"/>
      <c r="S31" s="72"/>
      <c r="T31" s="72"/>
      <c r="U31" s="72"/>
      <c r="V31" s="72"/>
      <c r="W31" s="72"/>
      <c r="X31" s="417"/>
      <c r="Y31" s="417"/>
      <c r="Z31" s="417"/>
      <c r="AA31" s="417"/>
      <c r="AB31" s="417"/>
    </row>
    <row r="32" spans="1:28" x14ac:dyDescent="0.2">
      <c r="A32" s="72"/>
      <c r="B32" s="417"/>
      <c r="C32" s="417"/>
      <c r="D32" s="1184"/>
      <c r="E32" s="1149"/>
      <c r="F32" s="1149"/>
      <c r="G32" s="1149"/>
      <c r="H32" s="1149"/>
      <c r="I32" s="1149"/>
      <c r="J32" s="1149"/>
      <c r="K32" s="1149"/>
      <c r="L32" s="1149"/>
      <c r="M32" s="1149"/>
      <c r="N32" s="1150"/>
      <c r="O32" s="417"/>
      <c r="P32" s="72"/>
      <c r="Q32" s="72"/>
      <c r="R32" s="72"/>
      <c r="S32" s="72"/>
      <c r="T32" s="72"/>
      <c r="U32" s="72"/>
      <c r="V32" s="72"/>
      <c r="W32" s="72"/>
      <c r="X32" s="417"/>
      <c r="Y32" s="417"/>
      <c r="Z32" s="417"/>
      <c r="AA32" s="417"/>
      <c r="AB32" s="417"/>
    </row>
    <row r="33" spans="1:28" x14ac:dyDescent="0.2">
      <c r="A33" s="72"/>
      <c r="B33" s="417"/>
      <c r="C33" s="417"/>
      <c r="D33" s="1184"/>
      <c r="E33" s="1149"/>
      <c r="F33" s="1149"/>
      <c r="G33" s="1149"/>
      <c r="H33" s="1149"/>
      <c r="I33" s="1149"/>
      <c r="J33" s="1149"/>
      <c r="K33" s="1149"/>
      <c r="L33" s="1149"/>
      <c r="M33" s="1149"/>
      <c r="N33" s="1150"/>
      <c r="O33" s="417"/>
      <c r="P33" s="72"/>
      <c r="Q33" s="72"/>
      <c r="R33" s="72"/>
      <c r="S33" s="72"/>
      <c r="T33" s="72"/>
      <c r="U33" s="72"/>
      <c r="V33" s="72"/>
      <c r="W33" s="72"/>
      <c r="X33" s="417"/>
      <c r="Y33" s="417"/>
      <c r="Z33" s="417"/>
      <c r="AA33" s="417"/>
      <c r="AB33" s="417"/>
    </row>
    <row r="34" spans="1:28" x14ac:dyDescent="0.2">
      <c r="A34" s="72"/>
      <c r="B34" s="417"/>
      <c r="C34" s="417"/>
      <c r="D34" s="1184"/>
      <c r="E34" s="1149"/>
      <c r="F34" s="1149"/>
      <c r="G34" s="1149"/>
      <c r="H34" s="1149"/>
      <c r="I34" s="1149"/>
      <c r="J34" s="1149"/>
      <c r="K34" s="1149"/>
      <c r="L34" s="1149"/>
      <c r="M34" s="1149"/>
      <c r="N34" s="1150"/>
      <c r="O34" s="417"/>
      <c r="P34" s="72"/>
      <c r="Q34" s="72"/>
      <c r="R34" s="72"/>
      <c r="S34" s="72"/>
      <c r="T34" s="72"/>
      <c r="U34" s="72"/>
      <c r="V34" s="72"/>
      <c r="W34" s="72"/>
      <c r="X34" s="417"/>
      <c r="Y34" s="417"/>
      <c r="Z34" s="417"/>
      <c r="AA34" s="417"/>
      <c r="AB34" s="417"/>
    </row>
    <row r="35" spans="1:28" x14ac:dyDescent="0.2">
      <c r="A35" s="72"/>
      <c r="B35" s="417"/>
      <c r="C35" s="417"/>
      <c r="D35" s="1184"/>
      <c r="E35" s="1149"/>
      <c r="F35" s="1149"/>
      <c r="G35" s="1149"/>
      <c r="H35" s="1149"/>
      <c r="I35" s="1149"/>
      <c r="J35" s="1149"/>
      <c r="K35" s="1149"/>
      <c r="L35" s="1149"/>
      <c r="M35" s="1149"/>
      <c r="N35" s="1150"/>
      <c r="O35" s="417"/>
      <c r="P35" s="72"/>
      <c r="Q35" s="72"/>
      <c r="R35" s="72"/>
      <c r="S35" s="72"/>
      <c r="T35" s="72"/>
      <c r="U35" s="72"/>
      <c r="V35" s="72"/>
      <c r="W35" s="72"/>
      <c r="X35" s="417"/>
      <c r="Y35" s="417"/>
      <c r="Z35" s="417"/>
      <c r="AA35" s="417"/>
      <c r="AB35" s="417"/>
    </row>
    <row r="36" spans="1:28" x14ac:dyDescent="0.2">
      <c r="A36" s="72"/>
      <c r="B36" s="417"/>
      <c r="C36" s="417"/>
      <c r="D36" s="1184"/>
      <c r="E36" s="1149"/>
      <c r="F36" s="1149"/>
      <c r="G36" s="1149"/>
      <c r="H36" s="1149"/>
      <c r="I36" s="1149"/>
      <c r="J36" s="1149"/>
      <c r="K36" s="1149"/>
      <c r="L36" s="1149"/>
      <c r="M36" s="1149"/>
      <c r="N36" s="1150"/>
      <c r="O36" s="417"/>
      <c r="P36" s="72"/>
      <c r="Q36" s="72"/>
      <c r="R36" s="72"/>
      <c r="S36" s="72"/>
      <c r="T36" s="72"/>
      <c r="U36" s="72"/>
      <c r="V36" s="72"/>
      <c r="W36" s="72"/>
      <c r="X36" s="417"/>
      <c r="Y36" s="417"/>
      <c r="Z36" s="417"/>
      <c r="AA36" s="417"/>
      <c r="AB36" s="417"/>
    </row>
    <row r="37" spans="1:28" x14ac:dyDescent="0.2">
      <c r="A37" s="72"/>
      <c r="B37" s="417"/>
      <c r="C37" s="417"/>
      <c r="D37" s="1184"/>
      <c r="E37" s="1149"/>
      <c r="F37" s="1149"/>
      <c r="G37" s="1149"/>
      <c r="H37" s="1149"/>
      <c r="I37" s="1149"/>
      <c r="J37" s="1149"/>
      <c r="K37" s="1149"/>
      <c r="L37" s="1149"/>
      <c r="M37" s="1149"/>
      <c r="N37" s="1150"/>
      <c r="O37" s="417"/>
      <c r="P37" s="72"/>
      <c r="Q37" s="72"/>
      <c r="R37" s="72"/>
      <c r="S37" s="72"/>
      <c r="T37" s="72"/>
      <c r="U37" s="72"/>
      <c r="V37" s="72"/>
      <c r="W37" s="72"/>
      <c r="X37" s="417"/>
      <c r="Y37" s="417"/>
      <c r="Z37" s="417"/>
      <c r="AA37" s="417"/>
      <c r="AB37" s="417"/>
    </row>
    <row r="38" spans="1:28" x14ac:dyDescent="0.2">
      <c r="A38" s="72"/>
      <c r="B38" s="337"/>
      <c r="C38" s="417"/>
      <c r="D38" s="1189"/>
      <c r="E38" s="1155"/>
      <c r="F38" s="1155"/>
      <c r="G38" s="1155"/>
      <c r="H38" s="1155"/>
      <c r="I38" s="1155"/>
      <c r="J38" s="1155"/>
      <c r="K38" s="1155"/>
      <c r="L38" s="1155"/>
      <c r="M38" s="1155"/>
      <c r="N38" s="1156"/>
      <c r="O38" s="417"/>
      <c r="P38" s="72"/>
      <c r="Q38" s="72"/>
      <c r="R38" s="72"/>
      <c r="S38" s="72"/>
      <c r="T38" s="72"/>
      <c r="U38" s="72"/>
      <c r="V38" s="72"/>
      <c r="W38" s="72"/>
      <c r="X38" s="417"/>
      <c r="Y38" s="417"/>
      <c r="Z38" s="417"/>
      <c r="AA38" s="417"/>
      <c r="AB38" s="417"/>
    </row>
    <row r="39" spans="1:28" x14ac:dyDescent="0.2">
      <c r="A39" s="72"/>
      <c r="B39" s="417"/>
      <c r="C39" s="417"/>
      <c r="D39" s="411"/>
      <c r="E39" s="411"/>
      <c r="F39" s="411"/>
      <c r="G39" s="411"/>
      <c r="H39" s="411"/>
      <c r="I39" s="411"/>
      <c r="J39" s="411"/>
      <c r="K39" s="417"/>
      <c r="L39" s="417"/>
      <c r="M39" s="417"/>
      <c r="N39" s="417"/>
      <c r="O39" s="417"/>
      <c r="P39" s="72"/>
      <c r="Q39" s="72"/>
      <c r="R39" s="72"/>
      <c r="S39" s="72"/>
      <c r="T39" s="72"/>
      <c r="U39" s="72"/>
      <c r="V39" s="72"/>
      <c r="W39" s="72" t="s">
        <v>1502</v>
      </c>
      <c r="X39" s="417"/>
      <c r="Y39" s="417"/>
      <c r="Z39" s="417"/>
      <c r="AA39" s="417"/>
      <c r="AB39" s="417"/>
    </row>
    <row r="40" spans="1:28" ht="12.75" customHeight="1" x14ac:dyDescent="0.2">
      <c r="A40" s="72"/>
      <c r="B40" s="417"/>
      <c r="C40" s="277" t="s">
        <v>1020</v>
      </c>
      <c r="D40" s="717" t="str">
        <f>Translations!$B$561</f>
        <v>Process diagram where requested by the Competent Authority:</v>
      </c>
      <c r="E40" s="717"/>
      <c r="F40" s="717"/>
      <c r="G40" s="717"/>
      <c r="H40" s="946"/>
      <c r="I40" s="1190"/>
      <c r="J40" s="895"/>
      <c r="K40" s="896"/>
      <c r="L40" s="896"/>
      <c r="M40" s="896"/>
      <c r="N40" s="897"/>
      <c r="O40" s="417"/>
      <c r="P40" s="72"/>
      <c r="Q40" s="72"/>
      <c r="R40" s="72"/>
      <c r="S40" s="72"/>
      <c r="T40" s="72"/>
      <c r="U40" s="72"/>
      <c r="V40" s="75"/>
      <c r="W40" s="92" t="b">
        <f>CNTR_SmallEmitter=TRUE</f>
        <v>0</v>
      </c>
      <c r="X40" s="417"/>
      <c r="Y40" s="417"/>
      <c r="Z40" s="417"/>
      <c r="AA40" s="417"/>
      <c r="AB40" s="417"/>
    </row>
    <row r="41" spans="1:28" ht="25.5" customHeight="1" x14ac:dyDescent="0.2">
      <c r="A41" s="72"/>
      <c r="B41" s="417"/>
      <c r="C41" s="441"/>
      <c r="D41" s="1178" t="str">
        <f>Translations!$B$641</f>
        <v>Please provide the reference to a process diagram containing all relevant emission sources and emission points during typical operation and during 'non-typical' operations, i.e. restrictive and transition phases, including breakdown periods or commissioning phases.</v>
      </c>
      <c r="E41" s="1178"/>
      <c r="F41" s="1178"/>
      <c r="G41" s="1178"/>
      <c r="H41" s="1178"/>
      <c r="I41" s="1178"/>
      <c r="J41" s="1178"/>
      <c r="K41" s="1178"/>
      <c r="L41" s="1178"/>
      <c r="M41" s="1178"/>
      <c r="N41" s="1178"/>
      <c r="O41" s="417"/>
      <c r="P41" s="72"/>
      <c r="Q41" s="72"/>
      <c r="R41" s="72"/>
      <c r="S41" s="72"/>
      <c r="T41" s="72"/>
      <c r="U41" s="72"/>
      <c r="V41" s="72"/>
      <c r="W41" s="72"/>
      <c r="X41" s="417"/>
      <c r="Y41" s="417"/>
      <c r="Z41" s="417"/>
      <c r="AA41" s="417"/>
      <c r="AB41" s="417"/>
    </row>
    <row r="42" spans="1:28" x14ac:dyDescent="0.2">
      <c r="A42" s="72"/>
      <c r="B42" s="417"/>
      <c r="C42" s="417"/>
      <c r="D42" s="411"/>
      <c r="E42" s="411"/>
      <c r="F42" s="411"/>
      <c r="G42" s="411"/>
      <c r="H42" s="411"/>
      <c r="I42" s="411"/>
      <c r="J42" s="411"/>
      <c r="K42" s="417"/>
      <c r="L42" s="417"/>
      <c r="M42" s="417"/>
      <c r="N42" s="417"/>
      <c r="O42" s="417"/>
      <c r="P42" s="72"/>
      <c r="Q42" s="72"/>
      <c r="R42" s="72"/>
      <c r="S42" s="72"/>
      <c r="T42" s="72"/>
      <c r="U42" s="72"/>
      <c r="V42" s="72"/>
      <c r="W42" s="72"/>
      <c r="X42" s="417"/>
      <c r="Y42" s="417"/>
      <c r="Z42" s="417"/>
      <c r="AA42" s="417"/>
      <c r="AB42" s="417"/>
    </row>
    <row r="43" spans="1:28" x14ac:dyDescent="0.2">
      <c r="A43" s="72"/>
      <c r="B43" s="417"/>
      <c r="C43" s="277" t="s">
        <v>554</v>
      </c>
      <c r="D43" s="717" t="str">
        <f>Translations!$B$642</f>
        <v>List of source streams to be monitored regarding PFCs:</v>
      </c>
      <c r="E43" s="717"/>
      <c r="F43" s="717"/>
      <c r="G43" s="717"/>
      <c r="H43" s="717"/>
      <c r="I43" s="717"/>
      <c r="J43" s="717"/>
      <c r="K43" s="717"/>
      <c r="L43" s="717"/>
      <c r="M43" s="717"/>
      <c r="N43" s="717"/>
      <c r="O43" s="417"/>
      <c r="P43" s="72"/>
      <c r="Q43" s="72"/>
      <c r="R43" s="72"/>
      <c r="S43" s="72"/>
      <c r="T43" s="72"/>
      <c r="U43" s="72"/>
      <c r="V43" s="72"/>
      <c r="W43" s="72"/>
      <c r="X43" s="417"/>
      <c r="Y43" s="417"/>
      <c r="Z43" s="417"/>
      <c r="AA43" s="417"/>
      <c r="AB43" s="417"/>
    </row>
    <row r="44" spans="1:28" ht="25.5" customHeight="1" x14ac:dyDescent="0.2">
      <c r="A44" s="72"/>
      <c r="B44" s="417"/>
      <c r="C44" s="417"/>
      <c r="D44" s="1178" t="str">
        <f>Translations!$B$643</f>
        <v>In the case of PFC emissions, two methodologies (A: Slope method, B: Overvoltage Method) may be used. Several cell types may exist in an installation (e.g. different technologies or years of construction) which may exhibit different emission characteristics.</v>
      </c>
      <c r="E44" s="1178"/>
      <c r="F44" s="1178"/>
      <c r="G44" s="1178"/>
      <c r="H44" s="1178"/>
      <c r="I44" s="1178"/>
      <c r="J44" s="1178"/>
      <c r="K44" s="1178"/>
      <c r="L44" s="1178"/>
      <c r="M44" s="1178"/>
      <c r="N44" s="1178"/>
      <c r="O44" s="417"/>
      <c r="P44" s="72"/>
      <c r="Q44" s="72"/>
      <c r="R44" s="72"/>
      <c r="S44" s="72"/>
      <c r="T44" s="72"/>
      <c r="U44" s="72"/>
      <c r="V44" s="72"/>
      <c r="W44" s="72"/>
      <c r="X44" s="417"/>
      <c r="Y44" s="417"/>
      <c r="Z44" s="417"/>
      <c r="AA44" s="417"/>
      <c r="AB44" s="417"/>
    </row>
    <row r="45" spans="1:28" ht="25.5" customHeight="1" x14ac:dyDescent="0.2">
      <c r="A45" s="72"/>
      <c r="B45" s="417"/>
      <c r="C45" s="417"/>
      <c r="D45" s="1178" t="str">
        <f>Translations!$B$644</f>
        <v xml:space="preserve">Groups of cells which are monitored using the same method and which exhibit the same emission characteristics (same emission factors) should be considered as "source streams" (i.e. entities to be monitored) in analogy to other calculation based monitoring approaches. </v>
      </c>
      <c r="E45" s="1178"/>
      <c r="F45" s="1178"/>
      <c r="G45" s="1178"/>
      <c r="H45" s="1178"/>
      <c r="I45" s="1178"/>
      <c r="J45" s="1178"/>
      <c r="K45" s="1178"/>
      <c r="L45" s="1178"/>
      <c r="M45" s="1178"/>
      <c r="N45" s="1178"/>
      <c r="O45" s="417"/>
      <c r="P45" s="72"/>
      <c r="Q45" s="72"/>
      <c r="R45" s="72"/>
      <c r="S45" s="72"/>
      <c r="T45" s="72"/>
      <c r="U45" s="72"/>
      <c r="V45" s="72"/>
      <c r="W45" s="72"/>
      <c r="X45" s="417"/>
      <c r="Y45" s="417"/>
      <c r="Z45" s="417"/>
      <c r="AA45" s="417"/>
      <c r="AB45" s="417"/>
    </row>
    <row r="46" spans="1:28" ht="25.5" customHeight="1" x14ac:dyDescent="0.2">
      <c r="A46" s="72"/>
      <c r="B46" s="417"/>
      <c r="C46" s="417"/>
      <c r="D46" s="1178" t="str">
        <f>Translations!$B$645</f>
        <v>Please indicate here in the list of the "source streams" of your installation the monitoring methodology and cell/anode type as appropriate. The list is automatically taken from section 6.e in sheet C_InstallationDescription.</v>
      </c>
      <c r="E46" s="1178"/>
      <c r="F46" s="1178"/>
      <c r="G46" s="1178"/>
      <c r="H46" s="1178"/>
      <c r="I46" s="1178"/>
      <c r="J46" s="1178"/>
      <c r="K46" s="1178"/>
      <c r="L46" s="1178"/>
      <c r="M46" s="1178"/>
      <c r="N46" s="1178"/>
      <c r="O46" s="417"/>
      <c r="P46" s="72"/>
      <c r="Q46" s="72"/>
      <c r="R46" s="72"/>
      <c r="S46" s="72"/>
      <c r="T46" s="72"/>
      <c r="U46" s="72"/>
      <c r="V46" s="72"/>
      <c r="W46" s="72"/>
      <c r="X46" s="417"/>
      <c r="Y46" s="417"/>
      <c r="Z46" s="417"/>
      <c r="AA46" s="417"/>
      <c r="AB46" s="417"/>
    </row>
    <row r="47" spans="1:28" x14ac:dyDescent="0.2">
      <c r="A47" s="72"/>
      <c r="B47" s="417"/>
      <c r="C47" s="417"/>
      <c r="D47" s="1178" t="str">
        <f>Translations!$B$646</f>
        <v>This list will then be used in the following section for defining further details for each source stream.</v>
      </c>
      <c r="E47" s="1178"/>
      <c r="F47" s="1178"/>
      <c r="G47" s="1178"/>
      <c r="H47" s="1178"/>
      <c r="I47" s="1178"/>
      <c r="J47" s="1178"/>
      <c r="K47" s="1178"/>
      <c r="L47" s="1178"/>
      <c r="M47" s="1178"/>
      <c r="N47" s="1178"/>
      <c r="O47" s="417"/>
      <c r="P47" s="72"/>
      <c r="Q47" s="72"/>
      <c r="R47" s="72"/>
      <c r="S47" s="72"/>
      <c r="T47" s="72"/>
      <c r="U47" s="72"/>
      <c r="V47" s="72"/>
      <c r="W47" s="72"/>
      <c r="X47" s="417"/>
      <c r="Y47" s="417"/>
      <c r="Z47" s="417"/>
      <c r="AA47" s="417"/>
      <c r="AB47" s="417"/>
    </row>
    <row r="48" spans="1:28" x14ac:dyDescent="0.2">
      <c r="A48" s="72"/>
      <c r="B48" s="417"/>
      <c r="C48" s="417"/>
      <c r="D48" s="440"/>
      <c r="E48" s="440"/>
      <c r="F48" s="440"/>
      <c r="G48" s="440"/>
      <c r="H48" s="440"/>
      <c r="I48" s="440"/>
      <c r="J48" s="440"/>
      <c r="K48" s="417"/>
      <c r="L48" s="417"/>
      <c r="M48" s="417"/>
      <c r="N48" s="417"/>
      <c r="O48" s="417"/>
      <c r="P48" s="72"/>
      <c r="Q48" s="72"/>
      <c r="R48" s="72"/>
      <c r="S48" s="72"/>
      <c r="T48" s="72"/>
      <c r="U48" s="72"/>
      <c r="V48" s="72"/>
      <c r="W48" s="72"/>
      <c r="X48" s="417"/>
      <c r="Y48" s="417"/>
      <c r="Z48" s="417"/>
      <c r="AA48" s="417"/>
      <c r="AB48" s="417"/>
    </row>
    <row r="49" spans="1:28" ht="12.75" customHeight="1" x14ac:dyDescent="0.2">
      <c r="A49" s="72"/>
      <c r="B49" s="417"/>
      <c r="C49" s="417"/>
      <c r="D49" s="51"/>
      <c r="E49" s="1181" t="str">
        <f>Translations!$B$288</f>
        <v>Source stream Name</v>
      </c>
      <c r="F49" s="1182"/>
      <c r="G49" s="1183"/>
      <c r="H49" s="927" t="str">
        <f>Translations!$B$289</f>
        <v>Source stream type</v>
      </c>
      <c r="I49" s="927"/>
      <c r="J49" s="927"/>
      <c r="K49" s="927"/>
      <c r="L49" s="927" t="str">
        <f>Translations!$B$647</f>
        <v>Cell type</v>
      </c>
      <c r="M49" s="927"/>
      <c r="N49" s="927"/>
      <c r="O49" s="417"/>
      <c r="P49" s="72"/>
      <c r="Q49" s="72"/>
      <c r="R49" s="72"/>
      <c r="S49" s="72"/>
      <c r="T49" s="72"/>
      <c r="U49" s="72" t="str">
        <f>Translations!$B$648</f>
        <v>Monitoring method</v>
      </c>
      <c r="V49" s="72"/>
      <c r="W49" s="72"/>
      <c r="X49" s="417"/>
      <c r="Y49" s="417"/>
      <c r="Z49" s="417"/>
      <c r="AA49" s="417"/>
      <c r="AB49" s="417"/>
    </row>
    <row r="50" spans="1:28" ht="13.15" customHeight="1" x14ac:dyDescent="0.2">
      <c r="A50" s="72"/>
      <c r="B50" s="417"/>
      <c r="C50" s="417"/>
      <c r="D50" s="268" t="str">
        <f>IF(COUNTIF(CNTR_CheckPFC,S50)=0,"",INDEX(C_InstallationDescription!$E$194:$E$204,MATCH(S50,CNTR_CheckPFC,0)))</f>
        <v/>
      </c>
      <c r="E50" s="1175" t="str">
        <f>IF(D50="","",INDEX(C_InstallationDescription!$F$194:$F$204,MATCH(D50,C_InstallationDescription!$E$194:$E$204,0)))</f>
        <v/>
      </c>
      <c r="F50" s="1179"/>
      <c r="G50" s="1180"/>
      <c r="H50" s="1173" t="str">
        <f>IF(D50="","",INDEX(C_InstallationDescription!$I$194:$I$204,MATCH(D50,C_InstallationDescription!$E$194:$E$204,0)))</f>
        <v/>
      </c>
      <c r="I50" s="1173"/>
      <c r="J50" s="1173"/>
      <c r="K50" s="1173"/>
      <c r="L50" s="1174"/>
      <c r="M50" s="1174"/>
      <c r="N50" s="1174"/>
      <c r="O50" s="417"/>
      <c r="P50" s="72"/>
      <c r="Q50" s="72"/>
      <c r="R50" s="72"/>
      <c r="S50" s="285">
        <v>1</v>
      </c>
      <c r="T50" s="72"/>
      <c r="U50" s="410" t="str">
        <f t="shared" ref="U50:U55" si="0">IF(D50="","",MATCH(H50,CNTR_PFCSourceStreams,0))</f>
        <v/>
      </c>
      <c r="V50" s="72"/>
      <c r="W50" s="72"/>
      <c r="X50" s="417"/>
      <c r="Y50" s="417"/>
      <c r="Z50" s="417"/>
      <c r="AA50" s="417"/>
      <c r="AB50" s="417"/>
    </row>
    <row r="51" spans="1:28" x14ac:dyDescent="0.2">
      <c r="A51" s="72"/>
      <c r="B51" s="417"/>
      <c r="C51" s="417"/>
      <c r="D51" s="268" t="str">
        <f>IF(COUNTIF(CNTR_CheckPFC,S51)=0,"",INDEX(C_InstallationDescription!$E$194:$E$204,MATCH(S51,CNTR_CheckPFC,0)))</f>
        <v/>
      </c>
      <c r="E51" s="1175" t="str">
        <f>IF(D51="","",INDEX(C_InstallationDescription!$F$194:$F$204,MATCH(D51,C_InstallationDescription!$E$194:$E$204,0)))</f>
        <v/>
      </c>
      <c r="F51" s="1179"/>
      <c r="G51" s="1180"/>
      <c r="H51" s="1173" t="str">
        <f>IF(D51="","",INDEX(C_InstallationDescription!$I$194:$I$204,MATCH(D51,C_InstallationDescription!$E$194:$E$204,0)))</f>
        <v/>
      </c>
      <c r="I51" s="1173"/>
      <c r="J51" s="1173"/>
      <c r="K51" s="1173"/>
      <c r="L51" s="1174"/>
      <c r="M51" s="1174"/>
      <c r="N51" s="1174"/>
      <c r="O51" s="417"/>
      <c r="P51" s="72"/>
      <c r="Q51" s="72"/>
      <c r="R51" s="72"/>
      <c r="S51" s="285">
        <v>2</v>
      </c>
      <c r="T51" s="72"/>
      <c r="U51" s="410" t="str">
        <f t="shared" si="0"/>
        <v/>
      </c>
      <c r="V51" s="72"/>
      <c r="W51" s="72"/>
      <c r="X51" s="417"/>
      <c r="Y51" s="417"/>
      <c r="Z51" s="417"/>
      <c r="AA51" s="417"/>
      <c r="AB51" s="417"/>
    </row>
    <row r="52" spans="1:28" x14ac:dyDescent="0.2">
      <c r="A52" s="72"/>
      <c r="B52" s="417"/>
      <c r="C52" s="417"/>
      <c r="D52" s="268" t="str">
        <f>IF(COUNTIF(CNTR_CheckPFC,S52)=0,"",INDEX(C_InstallationDescription!$E$194:$E$204,MATCH(S52,CNTR_CheckPFC,0)))</f>
        <v/>
      </c>
      <c r="E52" s="1175" t="str">
        <f>IF(D52="","",INDEX(C_InstallationDescription!$F$194:$F$204,MATCH(D52,C_InstallationDescription!$E$194:$E$204,0)))</f>
        <v/>
      </c>
      <c r="F52" s="1179"/>
      <c r="G52" s="1180"/>
      <c r="H52" s="1173" t="str">
        <f>IF(D52="","",INDEX(C_InstallationDescription!$I$194:$I$204,MATCH(D52,C_InstallationDescription!$E$194:$E$204,0)))</f>
        <v/>
      </c>
      <c r="I52" s="1173"/>
      <c r="J52" s="1173"/>
      <c r="K52" s="1173"/>
      <c r="L52" s="1174"/>
      <c r="M52" s="1174"/>
      <c r="N52" s="1174"/>
      <c r="O52" s="417"/>
      <c r="P52" s="72"/>
      <c r="Q52" s="72"/>
      <c r="R52" s="72"/>
      <c r="S52" s="285">
        <v>3</v>
      </c>
      <c r="T52" s="72"/>
      <c r="U52" s="410" t="str">
        <f t="shared" si="0"/>
        <v/>
      </c>
      <c r="V52" s="72"/>
      <c r="W52" s="72"/>
      <c r="X52" s="417"/>
      <c r="Y52" s="417"/>
      <c r="Z52" s="417"/>
      <c r="AA52" s="417"/>
      <c r="AB52" s="417"/>
    </row>
    <row r="53" spans="1:28" x14ac:dyDescent="0.2">
      <c r="A53" s="72"/>
      <c r="B53" s="417"/>
      <c r="C53" s="417"/>
      <c r="D53" s="268" t="str">
        <f>IF(COUNTIF(CNTR_CheckPFC,S53)=0,"",INDEX(C_InstallationDescription!$E$194:$E$204,MATCH(S53,CNTR_CheckPFC,0)))</f>
        <v/>
      </c>
      <c r="E53" s="1175" t="str">
        <f>IF(D53="","",INDEX(C_InstallationDescription!$F$194:$F$204,MATCH(D53,C_InstallationDescription!$E$194:$E$204,0)))</f>
        <v/>
      </c>
      <c r="F53" s="1179"/>
      <c r="G53" s="1180"/>
      <c r="H53" s="1173" t="str">
        <f>IF(D53="","",INDEX(C_InstallationDescription!$I$194:$I$204,MATCH(D53,C_InstallationDescription!$E$194:$E$204,0)))</f>
        <v/>
      </c>
      <c r="I53" s="1173"/>
      <c r="J53" s="1173"/>
      <c r="K53" s="1173"/>
      <c r="L53" s="1174"/>
      <c r="M53" s="1174"/>
      <c r="N53" s="1174"/>
      <c r="O53" s="417"/>
      <c r="P53" s="72"/>
      <c r="Q53" s="72"/>
      <c r="R53" s="72"/>
      <c r="S53" s="285">
        <v>4</v>
      </c>
      <c r="T53" s="72"/>
      <c r="U53" s="410" t="str">
        <f t="shared" si="0"/>
        <v/>
      </c>
      <c r="V53" s="72"/>
      <c r="W53" s="72"/>
      <c r="X53" s="417"/>
      <c r="Y53" s="417"/>
      <c r="Z53" s="417"/>
      <c r="AA53" s="417"/>
      <c r="AB53" s="417"/>
    </row>
    <row r="54" spans="1:28" x14ac:dyDescent="0.2">
      <c r="A54" s="72"/>
      <c r="B54" s="417"/>
      <c r="C54" s="417"/>
      <c r="D54" s="268" t="str">
        <f>IF(COUNTIF(CNTR_CheckPFC,S54)=0,"",INDEX(C_InstallationDescription!$E$194:$E$204,MATCH(S54,CNTR_CheckPFC,0)))</f>
        <v/>
      </c>
      <c r="E54" s="1175" t="str">
        <f>IF(D54="","",INDEX(C_InstallationDescription!$F$194:$F$204,MATCH(D54,C_InstallationDescription!$E$194:$E$204,0)))</f>
        <v/>
      </c>
      <c r="F54" s="1179"/>
      <c r="G54" s="1180"/>
      <c r="H54" s="1173" t="str">
        <f>IF(D54="","",INDEX(C_InstallationDescription!$I$194:$I$204,MATCH(D54,C_InstallationDescription!$E$194:$E$204,0)))</f>
        <v/>
      </c>
      <c r="I54" s="1173"/>
      <c r="J54" s="1173"/>
      <c r="K54" s="1173"/>
      <c r="L54" s="1174"/>
      <c r="M54" s="1174"/>
      <c r="N54" s="1174"/>
      <c r="O54" s="417"/>
      <c r="P54" s="72"/>
      <c r="Q54" s="72"/>
      <c r="R54" s="72"/>
      <c r="S54" s="285">
        <v>5</v>
      </c>
      <c r="T54" s="72"/>
      <c r="U54" s="410" t="str">
        <f t="shared" si="0"/>
        <v/>
      </c>
      <c r="V54" s="72"/>
      <c r="W54" s="72"/>
      <c r="X54" s="417"/>
      <c r="Y54" s="417"/>
      <c r="Z54" s="417"/>
      <c r="AA54" s="417"/>
      <c r="AB54" s="417"/>
    </row>
    <row r="55" spans="1:28" hidden="1" x14ac:dyDescent="0.2">
      <c r="A55" s="72" t="s">
        <v>1090</v>
      </c>
      <c r="B55" s="417"/>
      <c r="C55" s="417"/>
      <c r="D55" s="268" t="str">
        <f>IF(COUNTIF(CNTR_CheckPFC,S55)=0,"",INDEX(C_InstallationDescription!$E$194:$E$204,MATCH(S55,CNTR_CheckPFC,0)))</f>
        <v/>
      </c>
      <c r="E55" s="1175" t="str">
        <f>IF(D55="","",INDEX(C_InstallationDescription!$F$194:$F$204,MATCH(D55,C_InstallationDescription!$E$194:$E$204,0)))</f>
        <v/>
      </c>
      <c r="F55" s="1179"/>
      <c r="G55" s="1180"/>
      <c r="H55" s="1173" t="str">
        <f>IF(D55="","",INDEX(C_InstallationDescription!$I$194:$I$204,MATCH(D55,C_InstallationDescription!$E$194:$E$204,0)))</f>
        <v/>
      </c>
      <c r="I55" s="1173"/>
      <c r="J55" s="1173"/>
      <c r="K55" s="1173"/>
      <c r="L55" s="1174"/>
      <c r="M55" s="1174"/>
      <c r="N55" s="1174"/>
      <c r="O55" s="417"/>
      <c r="P55" s="72"/>
      <c r="Q55" s="72"/>
      <c r="R55" s="72"/>
      <c r="S55" s="285"/>
      <c r="T55" s="72"/>
      <c r="U55" s="410" t="str">
        <f t="shared" si="0"/>
        <v/>
      </c>
      <c r="V55" s="72"/>
      <c r="W55" s="72"/>
      <c r="X55" s="417"/>
      <c r="Y55" s="417"/>
      <c r="Z55" s="417"/>
      <c r="AA55" s="417"/>
      <c r="AB55" s="417"/>
    </row>
    <row r="56" spans="1:28" x14ac:dyDescent="0.2">
      <c r="A56" s="72" t="s">
        <v>1508</v>
      </c>
      <c r="B56" s="417"/>
      <c r="C56" s="417"/>
      <c r="D56" s="411"/>
      <c r="E56" s="411"/>
      <c r="F56" s="411"/>
      <c r="G56" s="411"/>
      <c r="H56" s="411"/>
      <c r="I56" s="411"/>
      <c r="J56" s="411"/>
      <c r="K56" s="417"/>
      <c r="L56" s="417"/>
      <c r="M56" s="417"/>
      <c r="N56" s="417"/>
      <c r="O56" s="417"/>
      <c r="P56" s="72"/>
      <c r="Q56" s="72"/>
      <c r="R56" s="72"/>
      <c r="S56" s="72"/>
      <c r="T56" s="72"/>
      <c r="U56" s="72"/>
      <c r="V56" s="72"/>
      <c r="W56" s="72"/>
      <c r="X56" s="417"/>
      <c r="Y56" s="417"/>
      <c r="Z56" s="417"/>
      <c r="AA56" s="417"/>
      <c r="AB56" s="417"/>
    </row>
    <row r="57" spans="1:28" ht="5.0999999999999996" customHeight="1" x14ac:dyDescent="0.2">
      <c r="A57" s="12"/>
      <c r="C57" s="78"/>
      <c r="D57" s="14"/>
      <c r="G57" s="794" t="str">
        <f>Translations!$B$297</f>
        <v>Click "+" to add more source streams</v>
      </c>
      <c r="H57" s="794"/>
      <c r="I57" s="794"/>
      <c r="J57" s="794"/>
      <c r="K57" s="909"/>
      <c r="M57" s="334"/>
      <c r="O57" s="338"/>
      <c r="P57" s="65"/>
      <c r="Q57" s="65"/>
      <c r="R57" s="65"/>
      <c r="S57" s="65"/>
      <c r="T57" s="65"/>
      <c r="U57" s="369"/>
      <c r="V57" s="65"/>
      <c r="W57" s="72"/>
    </row>
    <row r="58" spans="1:28" ht="12.75" customHeight="1" x14ac:dyDescent="0.2">
      <c r="A58" s="12"/>
      <c r="C58" s="78"/>
      <c r="D58" s="14"/>
      <c r="G58" s="794"/>
      <c r="H58" s="794"/>
      <c r="I58" s="794"/>
      <c r="J58" s="794"/>
      <c r="K58" s="909"/>
      <c r="M58" s="334"/>
      <c r="O58" s="338"/>
      <c r="P58" s="65"/>
      <c r="Q58" s="65"/>
      <c r="R58" s="65"/>
      <c r="S58" s="65"/>
      <c r="T58" s="65"/>
      <c r="U58" s="369"/>
      <c r="V58" s="65"/>
      <c r="W58" s="72"/>
    </row>
    <row r="59" spans="1:28" ht="5.0999999999999996" customHeight="1" x14ac:dyDescent="0.2">
      <c r="A59" s="12"/>
      <c r="C59" s="78"/>
      <c r="D59" s="14"/>
      <c r="G59" s="794"/>
      <c r="H59" s="794"/>
      <c r="I59" s="794"/>
      <c r="J59" s="794"/>
      <c r="K59" s="909"/>
      <c r="M59" s="334"/>
      <c r="O59" s="338"/>
      <c r="P59" s="65"/>
      <c r="Q59" s="65"/>
      <c r="R59" s="65"/>
      <c r="S59" s="65"/>
      <c r="T59" s="65"/>
      <c r="U59" s="369"/>
      <c r="V59" s="65"/>
      <c r="W59" s="72"/>
    </row>
    <row r="60" spans="1:28" x14ac:dyDescent="0.2">
      <c r="A60" s="72"/>
      <c r="B60" s="417"/>
      <c r="C60" s="417"/>
      <c r="D60" s="411"/>
      <c r="E60" s="411"/>
      <c r="F60" s="411"/>
      <c r="G60" s="411"/>
      <c r="H60" s="411"/>
      <c r="I60" s="411"/>
      <c r="J60" s="411"/>
      <c r="K60" s="417"/>
      <c r="L60" s="417"/>
      <c r="M60" s="417"/>
      <c r="N60" s="417"/>
      <c r="O60" s="417"/>
      <c r="P60" s="72"/>
      <c r="Q60" s="72"/>
      <c r="R60" s="72"/>
      <c r="S60" s="72"/>
      <c r="T60" s="72"/>
      <c r="U60" s="72"/>
      <c r="V60" s="72"/>
      <c r="W60" s="72"/>
      <c r="X60" s="417"/>
      <c r="Y60" s="417"/>
      <c r="Z60" s="417"/>
      <c r="AA60" s="417"/>
      <c r="AB60" s="417"/>
    </row>
    <row r="61" spans="1:28" x14ac:dyDescent="0.2">
      <c r="A61" s="72"/>
      <c r="B61" s="417"/>
      <c r="C61" s="417"/>
      <c r="D61" s="411"/>
      <c r="E61" s="411"/>
      <c r="F61" s="411"/>
      <c r="G61" s="411"/>
      <c r="H61" s="411"/>
      <c r="I61" s="411"/>
      <c r="J61" s="411"/>
      <c r="K61" s="417"/>
      <c r="L61" s="417"/>
      <c r="M61" s="417"/>
      <c r="N61" s="417"/>
      <c r="O61" s="417"/>
      <c r="P61" s="72"/>
      <c r="Q61" s="72"/>
      <c r="R61" s="72"/>
      <c r="S61" s="72"/>
      <c r="T61" s="72"/>
      <c r="U61" s="72"/>
      <c r="V61" s="72"/>
      <c r="W61" s="72"/>
      <c r="X61" s="417"/>
      <c r="Y61" s="417"/>
      <c r="Z61" s="417"/>
      <c r="AA61" s="417"/>
      <c r="AB61" s="417"/>
    </row>
    <row r="62" spans="1:28" x14ac:dyDescent="0.2">
      <c r="A62" s="72"/>
      <c r="B62" s="417"/>
      <c r="C62" s="417"/>
      <c r="D62" s="411"/>
      <c r="E62" s="411"/>
      <c r="F62" s="411"/>
      <c r="G62" s="411"/>
      <c r="H62" s="411"/>
      <c r="I62" s="411"/>
      <c r="J62" s="411"/>
      <c r="K62" s="417"/>
      <c r="L62" s="417"/>
      <c r="M62" s="417"/>
      <c r="N62" s="417"/>
      <c r="O62" s="417"/>
      <c r="P62" s="72"/>
      <c r="Q62" s="72"/>
      <c r="R62" s="72"/>
      <c r="S62" s="72"/>
      <c r="T62" s="72"/>
      <c r="U62" s="72"/>
      <c r="V62" s="72"/>
      <c r="W62" s="72"/>
      <c r="X62" s="417"/>
      <c r="Y62" s="417"/>
      <c r="Z62" s="417"/>
      <c r="AA62" s="417"/>
      <c r="AB62" s="417"/>
    </row>
    <row r="63" spans="1:28" ht="15.75" x14ac:dyDescent="0.2">
      <c r="A63" s="72"/>
      <c r="B63" s="417"/>
      <c r="C63" s="53">
        <v>15</v>
      </c>
      <c r="D63" s="884" t="str">
        <f>Translations!$B$30</f>
        <v>Monitoring details for source streams of PFC emissions</v>
      </c>
      <c r="E63" s="884"/>
      <c r="F63" s="884"/>
      <c r="G63" s="884"/>
      <c r="H63" s="884"/>
      <c r="I63" s="884"/>
      <c r="J63" s="884"/>
      <c r="K63" s="884"/>
      <c r="L63" s="884"/>
      <c r="M63" s="884"/>
      <c r="N63" s="884"/>
      <c r="O63" s="417"/>
      <c r="P63" s="72"/>
      <c r="Q63" s="72"/>
      <c r="R63" s="72"/>
      <c r="S63" s="72"/>
      <c r="T63" s="72"/>
      <c r="U63" s="72"/>
      <c r="V63" s="72"/>
      <c r="W63" s="72"/>
      <c r="X63" s="417"/>
      <c r="Y63" s="417"/>
      <c r="Z63" s="417"/>
      <c r="AA63" s="417"/>
      <c r="AB63" s="417"/>
    </row>
    <row r="64" spans="1:28" x14ac:dyDescent="0.2">
      <c r="A64" s="72"/>
      <c r="B64" s="417"/>
      <c r="C64" s="417"/>
      <c r="D64" s="411"/>
      <c r="E64" s="411"/>
      <c r="F64" s="411"/>
      <c r="G64" s="411"/>
      <c r="H64" s="411"/>
      <c r="I64" s="411"/>
      <c r="J64" s="411"/>
      <c r="K64" s="417"/>
      <c r="L64" s="417"/>
      <c r="M64" s="417"/>
      <c r="N64" s="417"/>
      <c r="O64" s="417"/>
      <c r="P64" s="72"/>
      <c r="Q64" s="72"/>
      <c r="R64" s="72"/>
      <c r="S64" s="66" t="s">
        <v>470</v>
      </c>
      <c r="T64" s="107" t="s">
        <v>471</v>
      </c>
      <c r="U64" s="107" t="s">
        <v>472</v>
      </c>
      <c r="V64" s="72"/>
      <c r="W64" s="72"/>
      <c r="X64" s="417"/>
      <c r="Y64" s="417"/>
      <c r="Z64" s="417"/>
      <c r="AA64" s="417"/>
      <c r="AB64" s="417"/>
    </row>
    <row r="65" spans="1:28" ht="12.75" customHeight="1" x14ac:dyDescent="0.2">
      <c r="A65" s="72"/>
      <c r="B65" s="11"/>
      <c r="C65" s="11"/>
      <c r="D65" s="769" t="str">
        <f>Translations!$B$433</f>
        <v>Please note that the guiding text is only displayed for the first source stream.</v>
      </c>
      <c r="E65" s="767"/>
      <c r="F65" s="767"/>
      <c r="G65" s="767"/>
      <c r="H65" s="767"/>
      <c r="I65" s="767"/>
      <c r="J65" s="767"/>
      <c r="K65" s="767"/>
      <c r="L65" s="767"/>
      <c r="M65" s="767"/>
      <c r="N65" s="767"/>
      <c r="O65" s="11"/>
      <c r="P65" s="15"/>
      <c r="Q65" s="72"/>
      <c r="R65" s="72"/>
      <c r="S65" s="76"/>
      <c r="T65" s="76"/>
      <c r="U65" s="76"/>
      <c r="V65" s="72"/>
      <c r="W65" s="72"/>
    </row>
    <row r="66" spans="1:28" ht="12.75" customHeight="1" x14ac:dyDescent="0.2">
      <c r="A66" s="72"/>
      <c r="B66" s="11"/>
      <c r="C66" s="11"/>
      <c r="D66" s="769" t="str">
        <f>Translations!$B$434</f>
        <v>If you want to display data for further source streams, please click on the "+" signs at the left (data grouping function).</v>
      </c>
      <c r="E66" s="767"/>
      <c r="F66" s="767"/>
      <c r="G66" s="767"/>
      <c r="H66" s="767"/>
      <c r="I66" s="767"/>
      <c r="J66" s="767"/>
      <c r="K66" s="767"/>
      <c r="L66" s="767"/>
      <c r="M66" s="767"/>
      <c r="N66" s="767"/>
      <c r="O66" s="11"/>
      <c r="P66" s="15"/>
      <c r="Q66" s="72"/>
      <c r="R66" s="72"/>
      <c r="S66" s="76"/>
      <c r="T66" s="76"/>
      <c r="U66" s="76"/>
      <c r="V66" s="72"/>
      <c r="W66" s="72"/>
    </row>
    <row r="67" spans="1:28" ht="12.75" customHeight="1" x14ac:dyDescent="0.2">
      <c r="A67" s="72"/>
      <c r="B67" s="11"/>
      <c r="C67" s="11"/>
      <c r="D67" s="769" t="str">
        <f>Translations!$B$435</f>
        <v>For adding further source streams, please go to section 6.e in sheet C_InstallationDescription, and use the macro there.</v>
      </c>
      <c r="E67" s="767"/>
      <c r="F67" s="767"/>
      <c r="G67" s="767"/>
      <c r="H67" s="767"/>
      <c r="I67" s="767"/>
      <c r="J67" s="767"/>
      <c r="K67" s="767"/>
      <c r="L67" s="767"/>
      <c r="M67" s="767"/>
      <c r="N67" s="767"/>
      <c r="O67" s="11"/>
      <c r="P67" s="15"/>
      <c r="Q67" s="72"/>
      <c r="R67" s="72"/>
      <c r="S67" s="76"/>
      <c r="T67" s="76"/>
      <c r="U67" s="76"/>
      <c r="V67" s="72"/>
      <c r="W67" s="72"/>
    </row>
    <row r="68" spans="1:28" ht="12.75" hidden="1" customHeight="1" x14ac:dyDescent="0.2">
      <c r="A68" s="72" t="s">
        <v>1090</v>
      </c>
      <c r="B68" s="11"/>
      <c r="C68" s="11"/>
      <c r="D68" s="769" t="str">
        <f>Translations!$B$135</f>
        <v>For showing/hiding examples, press the "Examples" button in the navigation area.</v>
      </c>
      <c r="E68" s="767"/>
      <c r="F68" s="767"/>
      <c r="G68" s="767"/>
      <c r="H68" s="767"/>
      <c r="I68" s="767"/>
      <c r="J68" s="767"/>
      <c r="K68" s="767"/>
      <c r="L68" s="767"/>
      <c r="M68" s="767"/>
      <c r="N68" s="767"/>
      <c r="O68" s="11"/>
      <c r="P68" s="15"/>
      <c r="Q68" s="72"/>
      <c r="R68" s="72"/>
      <c r="S68" s="76"/>
      <c r="T68" s="76"/>
      <c r="U68" s="76"/>
      <c r="V68" s="72"/>
      <c r="W68" s="72"/>
    </row>
    <row r="69" spans="1:28" ht="12.75" hidden="1" customHeight="1" x14ac:dyDescent="0.2">
      <c r="A69" s="72" t="s">
        <v>1090</v>
      </c>
      <c r="B69" s="11"/>
      <c r="C69" s="11"/>
      <c r="D69" s="769" t="str">
        <f>Translations!$B$436</f>
        <v>The example is integrated in the first source stream.</v>
      </c>
      <c r="E69" s="767"/>
      <c r="F69" s="767"/>
      <c r="G69" s="767"/>
      <c r="H69" s="767"/>
      <c r="I69" s="767"/>
      <c r="J69" s="767"/>
      <c r="K69" s="767"/>
      <c r="L69" s="767"/>
      <c r="M69" s="767"/>
      <c r="N69" s="767"/>
      <c r="O69" s="11"/>
      <c r="P69" s="15"/>
      <c r="Q69" s="72"/>
      <c r="R69" s="72"/>
      <c r="S69" s="66" t="s">
        <v>470</v>
      </c>
      <c r="T69" s="107" t="s">
        <v>471</v>
      </c>
      <c r="U69" s="107" t="s">
        <v>472</v>
      </c>
      <c r="V69" s="72"/>
      <c r="W69" s="72"/>
    </row>
    <row r="70" spans="1:28" ht="13.5" thickBot="1" x14ac:dyDescent="0.25">
      <c r="A70" s="72"/>
      <c r="B70" s="417"/>
      <c r="C70" s="417"/>
      <c r="D70" s="411"/>
      <c r="E70" s="411"/>
      <c r="F70" s="411"/>
      <c r="G70" s="411"/>
      <c r="H70" s="411"/>
      <c r="I70" s="411"/>
      <c r="J70" s="411"/>
      <c r="K70" s="417"/>
      <c r="L70" s="417"/>
      <c r="M70" s="417"/>
      <c r="N70" s="417"/>
      <c r="O70" s="417"/>
      <c r="P70" s="72"/>
      <c r="Q70" s="72"/>
      <c r="R70" s="72"/>
      <c r="S70" s="66" t="s">
        <v>470</v>
      </c>
      <c r="T70" s="107" t="s">
        <v>471</v>
      </c>
      <c r="U70" s="107" t="s">
        <v>472</v>
      </c>
      <c r="V70" s="92" t="s">
        <v>1507</v>
      </c>
      <c r="W70" s="72"/>
      <c r="X70" s="417"/>
      <c r="Y70" s="417"/>
      <c r="Z70" s="417"/>
      <c r="AA70" s="417"/>
      <c r="AB70" s="417"/>
    </row>
    <row r="71" spans="1:28" ht="15.75" thickBot="1" x14ac:dyDescent="0.25">
      <c r="A71" s="72"/>
      <c r="B71" s="417"/>
      <c r="C71" s="267" t="str">
        <f>INDEX($D$50:$D$55,Q71)</f>
        <v/>
      </c>
      <c r="D71" s="1040" t="str">
        <f>CONCATENATE(Euconst_SourceStream," ", Q71,":")</f>
        <v>Source Stream 1:</v>
      </c>
      <c r="E71" s="1040"/>
      <c r="F71" s="1040"/>
      <c r="G71" s="1066"/>
      <c r="H71" s="1067" t="str">
        <f>IF(INDEX($E$50:$E$55,Q71)="","",INDEX($E$50:$E$55,Q71))</f>
        <v/>
      </c>
      <c r="I71" s="1067"/>
      <c r="J71" s="1067"/>
      <c r="K71" s="1067"/>
      <c r="L71" s="1068"/>
      <c r="M71" s="1069" t="str">
        <f>IF(S71=TRUE,IF(U71="",T71,U71),"")</f>
        <v/>
      </c>
      <c r="N71" s="1070"/>
      <c r="O71" s="417"/>
      <c r="P71" s="72"/>
      <c r="Q71" s="33">
        <v>1</v>
      </c>
      <c r="R71" s="37"/>
      <c r="S71" s="40" t="b">
        <f>IF(INDEX(C_InstallationDescription!$M:$M,MATCH(Q73,C_InstallationDescription!$Q:$Q,0))="",FALSE,TRUE)</f>
        <v>0</v>
      </c>
      <c r="T71" s="92" t="str">
        <f>IF(S71=TRUE,INDEX(C_InstallationDescription!$M:$M,MATCH(Q73,C_InstallationDescription!$Q:$Q,0)),"")</f>
        <v/>
      </c>
      <c r="U71" s="40" t="str">
        <f>IF(S71=TRUE,IF(ISBLANK(INDEX(C_InstallationDescription!$N:$N,MATCH(Q73,C_InstallationDescription!$Q:$Q,0))),"",INDEX(C_InstallationDescription!$N:$N,MATCH(Q73,C_InstallationDescription!$Q:$Q,0))),"")</f>
        <v/>
      </c>
      <c r="V71" s="285" t="str">
        <f>IF(ISNUMBER(INDEX(CNTR_ListPFCmethods,Q71)),INDEX(CNTR_ListPFCmethods,Q71),"")</f>
        <v/>
      </c>
      <c r="W71" s="72"/>
      <c r="X71" s="417"/>
      <c r="Y71" s="417"/>
      <c r="Z71" s="417"/>
      <c r="AA71" s="417"/>
      <c r="AB71" s="417"/>
    </row>
    <row r="72" spans="1:28" ht="5.0999999999999996" customHeight="1" x14ac:dyDescent="0.2">
      <c r="A72" s="72"/>
      <c r="C72" s="13"/>
      <c r="D72" s="257"/>
      <c r="E72" s="257"/>
      <c r="F72" s="257"/>
      <c r="G72" s="257"/>
      <c r="H72" s="276"/>
      <c r="I72" s="276"/>
      <c r="J72" s="276"/>
      <c r="K72" s="276"/>
      <c r="L72" s="276"/>
      <c r="M72" s="277"/>
      <c r="N72" s="277"/>
      <c r="P72" s="72"/>
      <c r="Q72" s="12"/>
      <c r="R72" s="23"/>
      <c r="S72" s="23"/>
      <c r="T72" s="23"/>
      <c r="U72" s="23"/>
      <c r="V72" s="72"/>
      <c r="W72" s="72"/>
      <c r="X72" s="417"/>
      <c r="Y72" s="417"/>
      <c r="Z72" s="417"/>
      <c r="AA72" s="417"/>
      <c r="AB72" s="417"/>
    </row>
    <row r="73" spans="1:28" s="24" customFormat="1" ht="12.75" customHeight="1" x14ac:dyDescent="0.2">
      <c r="A73" s="72"/>
      <c r="B73" s="8"/>
      <c r="C73" s="8"/>
      <c r="D73" s="13"/>
      <c r="E73" s="924" t="str">
        <f>Translations!$B$437</f>
        <v>Source stream type:</v>
      </c>
      <c r="F73" s="924"/>
      <c r="G73" s="925"/>
      <c r="H73" s="1071" t="str">
        <f>IF(INDEX($H$50:$H$55,Q71)="","",INDEX($H$50:$H$55,Q71))</f>
        <v/>
      </c>
      <c r="I73" s="1072"/>
      <c r="J73" s="1072"/>
      <c r="K73" s="1072"/>
      <c r="L73" s="1073"/>
      <c r="O73" s="7"/>
      <c r="P73" s="17"/>
      <c r="Q73" s="39" t="str">
        <f>EUconst_CNTR_SourceCategory&amp;C71</f>
        <v>SourceCategory_</v>
      </c>
      <c r="R73" s="23"/>
      <c r="S73" s="23"/>
      <c r="T73" s="23"/>
      <c r="U73" s="23"/>
      <c r="V73" s="23"/>
      <c r="W73" s="23"/>
    </row>
    <row r="74" spans="1:28" s="24" customFormat="1" x14ac:dyDescent="0.2">
      <c r="A74" s="29"/>
      <c r="B74" s="8"/>
      <c r="C74" s="8"/>
      <c r="D74" s="11"/>
      <c r="E74" s="924" t="str">
        <f>Translations!$B$438</f>
        <v>Method applicable according to MRR:</v>
      </c>
      <c r="F74" s="924"/>
      <c r="G74" s="925"/>
      <c r="H74" s="1062" t="str">
        <f>IF(H73="","",INDEX(EUwideConstants!$F$265:$F$325,MATCH(H73,EUConst_TierActivityListNames,0)))</f>
        <v/>
      </c>
      <c r="I74" s="1062"/>
      <c r="J74" s="1062"/>
      <c r="K74" s="1062"/>
      <c r="L74" s="1062"/>
      <c r="M74" s="2"/>
      <c r="N74" s="2"/>
      <c r="O74" s="7"/>
      <c r="P74" s="17"/>
      <c r="Q74" s="12"/>
      <c r="R74" s="23"/>
      <c r="S74" s="23"/>
      <c r="T74" s="23"/>
      <c r="U74" s="23"/>
      <c r="V74" s="23"/>
      <c r="W74" s="23"/>
    </row>
    <row r="75" spans="1:28" s="24" customFormat="1" ht="25.5" customHeight="1" x14ac:dyDescent="0.2">
      <c r="A75" s="29"/>
      <c r="D75" s="38"/>
      <c r="E75" s="924" t="str">
        <f>Translations!$B$439</f>
        <v>Parameter to which uncertainty applies:</v>
      </c>
      <c r="F75" s="924"/>
      <c r="G75" s="925"/>
      <c r="H75" s="1175" t="str">
        <f>IF(H73="","",INDEX(EUwideConstants!$E$265:$E$325,MATCH(H73,EUConst_TierActivityListNames,0)))</f>
        <v/>
      </c>
      <c r="I75" s="1176"/>
      <c r="J75" s="1176"/>
      <c r="K75" s="1176"/>
      <c r="L75" s="1177"/>
      <c r="P75" s="17"/>
      <c r="Q75" s="12"/>
      <c r="R75" s="23"/>
      <c r="S75" s="23"/>
      <c r="T75" s="23"/>
      <c r="U75" s="23"/>
      <c r="V75" s="23"/>
      <c r="W75" s="23"/>
    </row>
    <row r="76" spans="1:28" s="24" customFormat="1" ht="5.0999999999999996" customHeight="1" x14ac:dyDescent="0.2">
      <c r="A76" s="29"/>
      <c r="D76" s="38"/>
      <c r="E76" s="129"/>
      <c r="F76" s="129"/>
      <c r="G76" s="129"/>
      <c r="H76" s="134"/>
      <c r="I76" s="134"/>
      <c r="J76" s="134"/>
      <c r="K76" s="134"/>
      <c r="L76" s="134"/>
      <c r="P76" s="17"/>
      <c r="Q76" s="12"/>
      <c r="R76" s="23"/>
      <c r="S76" s="23"/>
      <c r="T76" s="23"/>
      <c r="U76" s="23"/>
      <c r="V76" s="23"/>
      <c r="W76" s="23"/>
    </row>
    <row r="77" spans="1:28" s="11" customFormat="1" ht="15" x14ac:dyDescent="0.2">
      <c r="A77" s="15"/>
      <c r="C77" s="13"/>
      <c r="D77" s="1040" t="str">
        <f>Translations!$B$446</f>
        <v>Automatic guidance on applicable tiers:</v>
      </c>
      <c r="E77" s="1040"/>
      <c r="F77" s="1040"/>
      <c r="G77" s="1040"/>
      <c r="H77" s="1040"/>
      <c r="I77" s="1040"/>
      <c r="J77" s="1040"/>
      <c r="K77" s="1040"/>
      <c r="L77" s="1040"/>
      <c r="M77" s="1040"/>
      <c r="N77" s="1040"/>
      <c r="O77" s="417"/>
      <c r="P77" s="15"/>
      <c r="Q77" s="15"/>
      <c r="R77" s="15"/>
      <c r="S77" s="15"/>
      <c r="T77" s="15"/>
      <c r="U77" s="15"/>
      <c r="V77" s="15"/>
      <c r="W77" s="15"/>
    </row>
    <row r="78" spans="1:28" s="11" customFormat="1" ht="5.0999999999999996" customHeight="1" x14ac:dyDescent="0.2">
      <c r="A78" s="15"/>
      <c r="C78" s="13"/>
      <c r="D78" s="257"/>
      <c r="E78" s="257"/>
      <c r="F78" s="257"/>
      <c r="G78" s="257"/>
      <c r="H78" s="257"/>
      <c r="I78" s="257"/>
      <c r="J78" s="257"/>
      <c r="K78" s="257"/>
      <c r="L78" s="257"/>
      <c r="M78" s="257"/>
      <c r="N78" s="257"/>
      <c r="O78" s="417"/>
      <c r="P78" s="15"/>
      <c r="Q78" s="15"/>
      <c r="R78" s="15"/>
      <c r="S78" s="15"/>
      <c r="T78" s="15"/>
      <c r="U78" s="15"/>
      <c r="V78" s="15"/>
      <c r="W78" s="15"/>
    </row>
    <row r="79" spans="1:28" s="11" customFormat="1" ht="39.950000000000003" customHeight="1" x14ac:dyDescent="0.2">
      <c r="A79" s="15"/>
      <c r="C79" s="13"/>
      <c r="E79" s="1178" t="str">
        <f>Translations!$B$649</f>
        <v>Below in the green fields the required tiers for activity data and calculation factors are displayed based on your inputs in section 5(d) and (e), and 6(e) and 6(f). Those are the minimum tiers for major source streams in category C installations. However, lower requirements may be allowed. An appropriate guidance will be displayed in the green text box below, depending on the following points:</v>
      </c>
      <c r="F79" s="1178"/>
      <c r="G79" s="1178"/>
      <c r="H79" s="1178"/>
      <c r="I79" s="1178"/>
      <c r="J79" s="1178"/>
      <c r="K79" s="1178"/>
      <c r="L79" s="1178"/>
      <c r="M79" s="1178"/>
      <c r="N79" s="1178"/>
      <c r="O79" s="417"/>
      <c r="P79" s="15"/>
      <c r="Q79" s="15"/>
      <c r="R79" s="15"/>
      <c r="S79" s="15"/>
      <c r="T79" s="15"/>
      <c r="U79" s="15"/>
      <c r="V79" s="15"/>
      <c r="W79" s="15"/>
    </row>
    <row r="80" spans="1:28" s="11" customFormat="1" ht="12.75" customHeight="1" x14ac:dyDescent="0.2">
      <c r="A80" s="15"/>
      <c r="C80" s="13"/>
      <c r="E80" s="409" t="s">
        <v>1292</v>
      </c>
      <c r="F80" s="1178" t="str">
        <f>Translations!$B$650</f>
        <v>Reduced requirements apply to installations with low emissions in accordance to Article 47(2);</v>
      </c>
      <c r="G80" s="1178"/>
      <c r="H80" s="1178"/>
      <c r="I80" s="1178"/>
      <c r="J80" s="1178"/>
      <c r="K80" s="1178"/>
      <c r="L80" s="1178"/>
      <c r="M80" s="1178"/>
      <c r="N80" s="1178"/>
      <c r="O80" s="417"/>
      <c r="P80" s="15"/>
      <c r="Q80" s="15"/>
      <c r="R80" s="15"/>
      <c r="S80" s="15"/>
      <c r="T80" s="15"/>
      <c r="U80" s="15"/>
      <c r="V80" s="15"/>
      <c r="W80" s="15"/>
    </row>
    <row r="81" spans="1:28" s="11" customFormat="1" ht="12.75" customHeight="1" x14ac:dyDescent="0.2">
      <c r="A81" s="15"/>
      <c r="C81" s="13"/>
      <c r="E81" s="409" t="s">
        <v>1292</v>
      </c>
      <c r="F81" s="1178" t="str">
        <f>Translations!$B$651</f>
        <v>The installation category (A, B or C) in accordance to Article 19;</v>
      </c>
      <c r="G81" s="1178"/>
      <c r="H81" s="1178"/>
      <c r="I81" s="1178"/>
      <c r="J81" s="1178"/>
      <c r="K81" s="1178"/>
      <c r="L81" s="1178"/>
      <c r="M81" s="1178"/>
      <c r="N81" s="1178"/>
      <c r="O81" s="417"/>
      <c r="P81" s="15"/>
      <c r="Q81" s="15"/>
      <c r="R81" s="15"/>
      <c r="S81" s="15"/>
      <c r="T81" s="15"/>
      <c r="U81" s="15"/>
      <c r="V81" s="15"/>
      <c r="W81" s="15"/>
    </row>
    <row r="82" spans="1:28" s="11" customFormat="1" ht="12.75" customHeight="1" x14ac:dyDescent="0.2">
      <c r="A82" s="15"/>
      <c r="C82" s="13"/>
      <c r="E82" s="409" t="s">
        <v>1292</v>
      </c>
      <c r="F82" s="1178" t="str">
        <f>Translations!$B$450</f>
        <v>Reduced requirements apply to minor source streams and de-minimimis source streams as classified pursuant to Article 19(3).</v>
      </c>
      <c r="G82" s="1178"/>
      <c r="H82" s="1178"/>
      <c r="I82" s="1178"/>
      <c r="J82" s="1178"/>
      <c r="K82" s="1178"/>
      <c r="L82" s="1178"/>
      <c r="M82" s="1178"/>
      <c r="N82" s="1178"/>
      <c r="O82" s="417"/>
      <c r="P82" s="15"/>
      <c r="Q82" s="15"/>
      <c r="R82" s="15"/>
      <c r="S82" s="15"/>
      <c r="T82" s="15"/>
      <c r="U82" s="15"/>
      <c r="V82" s="15"/>
      <c r="W82" s="15"/>
    </row>
    <row r="83" spans="1:28" s="11" customFormat="1" ht="12.75" customHeight="1" x14ac:dyDescent="0.2">
      <c r="A83" s="15"/>
      <c r="C83" s="13"/>
      <c r="E83" s="1178" t="str">
        <f>Translations!$B$451</f>
        <v>This message on applicable tiers is relevant for the activity data and for all calculation factors.</v>
      </c>
      <c r="F83" s="1178"/>
      <c r="G83" s="1178"/>
      <c r="H83" s="1178"/>
      <c r="I83" s="1178"/>
      <c r="J83" s="1178"/>
      <c r="K83" s="1178"/>
      <c r="L83" s="1178"/>
      <c r="M83" s="1178"/>
      <c r="N83" s="1178"/>
      <c r="O83" s="417"/>
      <c r="P83" s="15"/>
      <c r="Q83" s="15"/>
      <c r="R83" s="15"/>
      <c r="S83" s="15"/>
      <c r="T83" s="15"/>
      <c r="U83" s="15"/>
      <c r="V83" s="15"/>
      <c r="W83" s="15"/>
    </row>
    <row r="84" spans="1:28" s="11" customFormat="1" ht="5.0999999999999996" customHeight="1" x14ac:dyDescent="0.2">
      <c r="A84" s="15"/>
      <c r="C84" s="13"/>
      <c r="O84" s="417"/>
      <c r="P84" s="15"/>
      <c r="Q84" s="15"/>
      <c r="R84" s="15"/>
      <c r="S84" s="15"/>
      <c r="T84" s="15"/>
      <c r="U84" s="15"/>
      <c r="V84" s="15"/>
      <c r="W84" s="15"/>
    </row>
    <row r="85" spans="1:28" s="11" customFormat="1" ht="51" customHeight="1" x14ac:dyDescent="0.2">
      <c r="A85" s="15"/>
      <c r="C85" s="13"/>
      <c r="E85" s="1063" t="str">
        <f>IF(H71="","",INDEX(EUconst_SmallEmiSouStreamMsg,MATCH(Q85,EUconst_SmallEmiSouStream,0)))</f>
        <v/>
      </c>
      <c r="F85" s="1064"/>
      <c r="G85" s="1064"/>
      <c r="H85" s="1064"/>
      <c r="I85" s="1064"/>
      <c r="J85" s="1064"/>
      <c r="K85" s="1064"/>
      <c r="L85" s="1064"/>
      <c r="M85" s="1064"/>
      <c r="N85" s="1065"/>
      <c r="O85" s="417"/>
      <c r="P85" s="15"/>
      <c r="Q85" s="275" t="str">
        <f>IF(ISBLANK(CNTR_SmallEmitter),IF(CNTR_SmallEmitter=TRUE,EUconst_CNTR_SmallEmitter,EUconst_CNTR_NoSmallEmitter),EUconst_CNTR_NoSmallEmitter) &amp; IF((CNTR_Category)="","C",CNTR_Category) &amp; "_" &amp; IF(M71="",1,MATCH(M71,SourceCategory,0))</f>
        <v>NoSmallEmitter_C_1</v>
      </c>
      <c r="R85" s="15"/>
      <c r="S85" s="15"/>
      <c r="T85" s="15"/>
      <c r="U85" s="15"/>
      <c r="V85" s="15"/>
      <c r="W85" s="15"/>
    </row>
    <row r="86" spans="1:28" x14ac:dyDescent="0.2">
      <c r="A86" s="72"/>
      <c r="B86" s="417"/>
      <c r="C86" s="417"/>
      <c r="D86" s="411"/>
      <c r="E86" s="411"/>
      <c r="F86" s="411"/>
      <c r="G86" s="411"/>
      <c r="H86" s="411"/>
      <c r="I86" s="411"/>
      <c r="J86" s="411"/>
      <c r="K86" s="417"/>
      <c r="L86" s="417"/>
      <c r="M86" s="417"/>
      <c r="N86" s="417"/>
      <c r="O86" s="417"/>
      <c r="P86" s="72"/>
      <c r="Q86" s="72"/>
      <c r="R86" s="72"/>
      <c r="S86" s="72"/>
      <c r="T86" s="72"/>
      <c r="U86" s="72"/>
      <c r="V86" s="72"/>
      <c r="W86" s="72"/>
      <c r="X86" s="417"/>
      <c r="Y86" s="417"/>
      <c r="Z86" s="417"/>
      <c r="AA86" s="417"/>
      <c r="AB86" s="417"/>
    </row>
    <row r="87" spans="1:28" ht="15" customHeight="1" x14ac:dyDescent="0.2">
      <c r="A87" s="72"/>
      <c r="B87" s="417"/>
      <c r="C87" s="278"/>
      <c r="D87" s="1040" t="str">
        <f>Translations!$B$652</f>
        <v>Activity Data</v>
      </c>
      <c r="E87" s="1040"/>
      <c r="F87" s="1040"/>
      <c r="G87" s="1040"/>
      <c r="H87" s="1040"/>
      <c r="I87" s="1040"/>
      <c r="J87" s="1040"/>
      <c r="K87" s="1040"/>
      <c r="L87" s="1040"/>
      <c r="M87" s="1040"/>
      <c r="N87" s="1040"/>
      <c r="O87" s="417"/>
      <c r="P87" s="72"/>
      <c r="Q87" s="72"/>
      <c r="R87" s="72"/>
      <c r="S87" s="72"/>
      <c r="T87" s="72"/>
      <c r="U87" s="72"/>
      <c r="V87" s="72"/>
      <c r="W87" s="72"/>
      <c r="X87" s="417"/>
      <c r="Y87" s="417"/>
      <c r="Z87" s="417"/>
      <c r="AA87" s="417"/>
      <c r="AB87" s="417"/>
    </row>
    <row r="88" spans="1:28" ht="5.0999999999999996" customHeight="1" x14ac:dyDescent="0.2">
      <c r="A88" s="72"/>
      <c r="B88" s="417"/>
      <c r="C88" s="278"/>
      <c r="D88" s="257"/>
      <c r="E88" s="257"/>
      <c r="F88" s="257"/>
      <c r="G88" s="257"/>
      <c r="H88" s="257"/>
      <c r="I88" s="257"/>
      <c r="J88" s="257"/>
      <c r="K88" s="257"/>
      <c r="L88" s="257"/>
      <c r="M88" s="257"/>
      <c r="N88" s="257"/>
      <c r="O88" s="417"/>
      <c r="P88" s="72"/>
      <c r="Q88" s="72"/>
      <c r="R88" s="72"/>
      <c r="S88" s="72"/>
      <c r="T88" s="72"/>
      <c r="U88" s="72"/>
      <c r="V88" s="72"/>
      <c r="W88" s="72"/>
      <c r="X88" s="417"/>
      <c r="Y88" s="417"/>
      <c r="Z88" s="417"/>
      <c r="AA88" s="417"/>
      <c r="AB88" s="417"/>
    </row>
    <row r="89" spans="1:28" x14ac:dyDescent="0.2">
      <c r="A89" s="72"/>
      <c r="B89" s="417"/>
      <c r="C89" s="337"/>
      <c r="D89" s="337" t="str">
        <f>Translations!$B$653</f>
        <v>Primary aluminium production:</v>
      </c>
      <c r="E89" s="411"/>
      <c r="F89" s="411"/>
      <c r="G89" s="411"/>
      <c r="H89" s="411"/>
      <c r="I89" s="411"/>
      <c r="J89" s="411"/>
      <c r="K89" s="417"/>
      <c r="L89" s="417"/>
      <c r="M89" s="417"/>
      <c r="N89" s="417"/>
      <c r="O89" s="417"/>
      <c r="P89" s="72"/>
      <c r="Q89" s="72"/>
      <c r="R89" s="72"/>
      <c r="S89" s="72"/>
      <c r="T89" s="72"/>
      <c r="U89" s="72" t="s">
        <v>1509</v>
      </c>
      <c r="V89" s="72" t="s">
        <v>1506</v>
      </c>
      <c r="W89" s="72" t="s">
        <v>281</v>
      </c>
      <c r="X89" s="417"/>
      <c r="Y89" s="417"/>
      <c r="Z89" s="417"/>
      <c r="AA89" s="417"/>
      <c r="AB89" s="417"/>
    </row>
    <row r="90" spans="1:28" x14ac:dyDescent="0.2">
      <c r="A90" s="72"/>
      <c r="B90" s="417"/>
      <c r="C90" s="417"/>
      <c r="D90" s="13" t="s">
        <v>1020</v>
      </c>
      <c r="E90" s="14" t="str">
        <f>Translations!$B$477</f>
        <v>Activity data tier level required:</v>
      </c>
      <c r="F90" s="11"/>
      <c r="G90" s="11"/>
      <c r="H90" s="268" t="str">
        <f>IF(H73="","",IF(CNTR_Category="A",INDEX(EUwideConstants!$G:$G,MATCH(Q90,EUwideConstants!$S:$S,0)),INDEX(EUwideConstants!$P:$P,MATCH(Q90,EUwideConstants!$S:$S,0))))</f>
        <v/>
      </c>
      <c r="I90" s="1163" t="str">
        <f>IF(H90="","",IF(S90=0,EUconst_NA,IF(ISERROR(S90),"",EUconst_MsgTierActivityLevel &amp; " " &amp;S90)))</f>
        <v/>
      </c>
      <c r="J90" s="929"/>
      <c r="K90" s="929"/>
      <c r="L90" s="929"/>
      <c r="M90" s="929"/>
      <c r="N90" s="887"/>
      <c r="O90" s="417"/>
      <c r="P90" s="72"/>
      <c r="Q90" s="92" t="str">
        <f>EUconst_CNTR_ActivityData&amp;H73</f>
        <v>ActivityData_</v>
      </c>
      <c r="R90" s="29"/>
      <c r="S90" s="32" t="str">
        <f>IF(H90="","",IF(H90=EUconst_NA,"",INDEX(EUwideConstants!$H:$O,MATCH(Q90,EUwideConstants!$S:$S,0),MATCH(H90,CNTR_TierList,0))))</f>
        <v/>
      </c>
      <c r="T90" s="72"/>
      <c r="U90" s="285" t="str">
        <f>V71</f>
        <v/>
      </c>
      <c r="V90" s="285">
        <v>0</v>
      </c>
      <c r="W90" s="92" t="b">
        <f>IF($L$6=EUconst_NotRelevant,TRUE,IF(V90&gt;0,(V90&lt;&gt;U90),IF(U90="",TRUE,FALSE)))</f>
        <v>1</v>
      </c>
      <c r="X90" s="417"/>
      <c r="Y90" s="417"/>
      <c r="Z90" s="417"/>
      <c r="AA90" s="417"/>
      <c r="AB90" s="417"/>
    </row>
    <row r="91" spans="1:28" x14ac:dyDescent="0.2">
      <c r="A91" s="72"/>
      <c r="B91" s="417"/>
      <c r="C91" s="417"/>
      <c r="D91" s="13" t="s">
        <v>554</v>
      </c>
      <c r="E91" s="14" t="str">
        <f>Translations!$B$478</f>
        <v>Activity data tier used:</v>
      </c>
      <c r="F91" s="11"/>
      <c r="G91" s="11"/>
      <c r="H91" s="197"/>
      <c r="I91" s="1163" t="str">
        <f>IF(OR(ISBLANK(H91),H91=EUconst_NoTier),"",IF(S91=0,EUconst_NA,IF(ISERROR(S91),"",EUconst_MsgTierActivityLevel &amp; " " &amp;S91)))</f>
        <v/>
      </c>
      <c r="J91" s="929"/>
      <c r="K91" s="929"/>
      <c r="L91" s="929"/>
      <c r="M91" s="929"/>
      <c r="N91" s="887"/>
      <c r="O91" s="417"/>
      <c r="P91" s="72"/>
      <c r="Q91" s="92" t="str">
        <f>EUconst_CNTR_ActivityData&amp;H73</f>
        <v>ActivityData_</v>
      </c>
      <c r="R91" s="29"/>
      <c r="S91" s="32" t="str">
        <f>IF(ISBLANK(H91),"",IF(H91=EUconst_NA,"",INDEX(EUwideConstants!$H:$O,MATCH(Q91,EUwideConstants!$S:$S,0),MATCH(H91,CNTR_TierList,0))))</f>
        <v/>
      </c>
      <c r="T91" s="72"/>
      <c r="U91" s="285" t="str">
        <f>U90</f>
        <v/>
      </c>
      <c r="V91" s="285">
        <v>0</v>
      </c>
      <c r="W91" s="92" t="b">
        <f>IF($L$6=EUconst_NotRelevant,TRUE,IF(V91&gt;0,(V91&lt;&gt;U91),IF(U91="",TRUE,FALSE)))</f>
        <v>1</v>
      </c>
      <c r="X91" s="417"/>
      <c r="Y91" s="417"/>
      <c r="Z91" s="417"/>
      <c r="AA91" s="417"/>
      <c r="AB91" s="417"/>
    </row>
    <row r="92" spans="1:28" x14ac:dyDescent="0.2">
      <c r="A92" s="72"/>
      <c r="B92" s="417"/>
      <c r="C92" s="417"/>
      <c r="D92" s="13" t="s">
        <v>1022</v>
      </c>
      <c r="E92" s="14" t="str">
        <f>Translations!$B$479</f>
        <v>Uncertainty achieved:</v>
      </c>
      <c r="F92" s="11"/>
      <c r="G92" s="11"/>
      <c r="H92" s="269"/>
      <c r="I92" s="14" t="str">
        <f>Translations!$B$480</f>
        <v>Comment:</v>
      </c>
      <c r="J92" s="1162"/>
      <c r="K92" s="1140"/>
      <c r="L92" s="1140"/>
      <c r="M92" s="1140"/>
      <c r="N92" s="1141"/>
      <c r="O92" s="417"/>
      <c r="P92" s="72"/>
      <c r="Q92" s="72"/>
      <c r="R92" s="72"/>
      <c r="S92" s="72"/>
      <c r="T92" s="72"/>
      <c r="U92" s="285" t="str">
        <f>U91</f>
        <v/>
      </c>
      <c r="V92" s="285">
        <v>0</v>
      </c>
      <c r="W92" s="92" t="b">
        <f>IF($L$6=EUconst_NotRelevant,TRUE,IF(V92&gt;0,(V92&lt;&gt;U92),IF(U92="",TRUE,FALSE)))</f>
        <v>1</v>
      </c>
      <c r="X92" s="417"/>
      <c r="Y92" s="417"/>
      <c r="Z92" s="417"/>
      <c r="AA92" s="417"/>
      <c r="AB92" s="417"/>
    </row>
    <row r="93" spans="1:28" ht="5.0999999999999996" customHeight="1" x14ac:dyDescent="0.2">
      <c r="A93" s="72"/>
      <c r="B93" s="417"/>
      <c r="C93" s="417"/>
      <c r="D93" s="417"/>
      <c r="E93" s="411"/>
      <c r="F93" s="411"/>
      <c r="G93" s="411"/>
      <c r="H93" s="411"/>
      <c r="I93" s="411"/>
      <c r="J93" s="411"/>
      <c r="K93" s="411"/>
      <c r="L93" s="417"/>
      <c r="M93" s="417"/>
      <c r="N93" s="417"/>
      <c r="O93" s="417"/>
      <c r="P93" s="72"/>
      <c r="Q93" s="72"/>
      <c r="R93" s="72"/>
      <c r="S93" s="72"/>
      <c r="T93" s="72"/>
      <c r="U93" s="72"/>
      <c r="V93" s="72"/>
      <c r="W93" s="72"/>
      <c r="X93" s="417"/>
      <c r="Y93" s="417"/>
      <c r="Z93" s="417"/>
      <c r="AA93" s="417"/>
      <c r="AB93" s="417"/>
    </row>
    <row r="94" spans="1:28" x14ac:dyDescent="0.2">
      <c r="A94" s="72"/>
      <c r="B94" s="417"/>
      <c r="C94" s="417"/>
      <c r="D94" s="337" t="str">
        <f>Translations!$B$654</f>
        <v>Method A: number of Anode effects per cell-day</v>
      </c>
      <c r="E94" s="411"/>
      <c r="F94" s="411"/>
      <c r="G94" s="411"/>
      <c r="H94" s="411"/>
      <c r="I94" s="411"/>
      <c r="J94" s="411"/>
      <c r="K94" s="411"/>
      <c r="L94" s="417"/>
      <c r="M94" s="417"/>
      <c r="N94" s="417"/>
      <c r="O94" s="417"/>
      <c r="P94" s="72"/>
      <c r="Q94" s="72"/>
      <c r="R94" s="72"/>
      <c r="S94" s="72"/>
      <c r="T94" s="72"/>
      <c r="U94" s="72"/>
      <c r="V94" s="72"/>
      <c r="W94" s="72"/>
      <c r="X94" s="417"/>
      <c r="Y94" s="417"/>
      <c r="Z94" s="417"/>
      <c r="AA94" s="417"/>
      <c r="AB94" s="417"/>
    </row>
    <row r="95" spans="1:28" x14ac:dyDescent="0.2">
      <c r="A95" s="72"/>
      <c r="B95" s="417"/>
      <c r="C95" s="417"/>
      <c r="D95" s="13" t="s">
        <v>1023</v>
      </c>
      <c r="E95" s="14" t="str">
        <f>Translations!$B$477</f>
        <v>Activity data tier level required:</v>
      </c>
      <c r="F95" s="11"/>
      <c r="G95" s="11"/>
      <c r="H95" s="268" t="str">
        <f>IF(W95,"",H90)</f>
        <v/>
      </c>
      <c r="I95" s="1163" t="str">
        <f>IF(W95,"",I90)</f>
        <v/>
      </c>
      <c r="J95" s="929"/>
      <c r="K95" s="929"/>
      <c r="L95" s="929"/>
      <c r="M95" s="929"/>
      <c r="N95" s="887"/>
      <c r="O95" s="417"/>
      <c r="P95" s="72"/>
      <c r="Q95" s="72"/>
      <c r="R95" s="29"/>
      <c r="S95" s="23"/>
      <c r="T95" s="72"/>
      <c r="U95" s="285" t="str">
        <f>U92</f>
        <v/>
      </c>
      <c r="V95" s="285">
        <v>1</v>
      </c>
      <c r="W95" s="92" t="b">
        <f>IF($L$6=EUconst_NotRelevant,TRUE,IF(V95&gt;0,(V95&lt;&gt;U95),IF(U95="",TRUE,FALSE)))</f>
        <v>1</v>
      </c>
      <c r="X95" s="417"/>
      <c r="Y95" s="417"/>
      <c r="Z95" s="417"/>
      <c r="AA95" s="417"/>
      <c r="AB95" s="417"/>
    </row>
    <row r="96" spans="1:28" x14ac:dyDescent="0.2">
      <c r="A96" s="72"/>
      <c r="B96" s="417"/>
      <c r="C96" s="417"/>
      <c r="D96" s="13" t="s">
        <v>1019</v>
      </c>
      <c r="E96" s="14" t="str">
        <f>Translations!$B$478</f>
        <v>Activity data tier used:</v>
      </c>
      <c r="F96" s="11"/>
      <c r="G96" s="11"/>
      <c r="H96" s="197"/>
      <c r="I96" s="1163" t="str">
        <f>IF(OR(ISBLANK(H96),H96=EUconst_NoTier),"",IF(S96=0,EUconst_NA,IF(ISERROR(S96),"",EUconst_MsgTierActivityLevel &amp; " " &amp;S96)))</f>
        <v/>
      </c>
      <c r="J96" s="929"/>
      <c r="K96" s="929"/>
      <c r="L96" s="929"/>
      <c r="M96" s="929"/>
      <c r="N96" s="887"/>
      <c r="O96" s="417"/>
      <c r="P96" s="72"/>
      <c r="Q96" s="92" t="str">
        <f>EUconst_CNTR_ActivityData&amp;H73</f>
        <v>ActivityData_</v>
      </c>
      <c r="R96" s="29"/>
      <c r="S96" s="32" t="str">
        <f>IF(ISBLANK(H96),"",IF(H96=EUconst_NA,"",INDEX(EUwideConstants!$H:$O,MATCH(Q96,EUwideConstants!$S:$S,0),MATCH(H96,CNTR_TierList,0))))</f>
        <v/>
      </c>
      <c r="T96" s="72"/>
      <c r="U96" s="285" t="str">
        <f>U95</f>
        <v/>
      </c>
      <c r="V96" s="285">
        <v>1</v>
      </c>
      <c r="W96" s="92" t="b">
        <f>IF($L$6=EUconst_NotRelevant,TRUE,IF(V96&gt;0,(V96&lt;&gt;U96),IF(U96="",TRUE,FALSE)))</f>
        <v>1</v>
      </c>
      <c r="X96" s="417"/>
      <c r="Y96" s="417"/>
      <c r="Z96" s="417"/>
      <c r="AA96" s="417"/>
      <c r="AB96" s="417"/>
    </row>
    <row r="97" spans="1:28" x14ac:dyDescent="0.2">
      <c r="A97" s="72"/>
      <c r="B97" s="417"/>
      <c r="C97" s="417"/>
      <c r="D97" s="13" t="s">
        <v>1349</v>
      </c>
      <c r="E97" s="14" t="str">
        <f>Translations!$B$479</f>
        <v>Uncertainty achieved:</v>
      </c>
      <c r="F97" s="11"/>
      <c r="G97" s="11"/>
      <c r="H97" s="269"/>
      <c r="I97" s="14" t="str">
        <f>Translations!$B$480</f>
        <v>Comment:</v>
      </c>
      <c r="J97" s="1162"/>
      <c r="K97" s="1140"/>
      <c r="L97" s="1140"/>
      <c r="M97" s="1140"/>
      <c r="N97" s="1141"/>
      <c r="O97" s="417"/>
      <c r="P97" s="72"/>
      <c r="Q97" s="72"/>
      <c r="R97" s="72"/>
      <c r="S97" s="72"/>
      <c r="T97" s="72"/>
      <c r="U97" s="285" t="str">
        <f>U96</f>
        <v/>
      </c>
      <c r="V97" s="285">
        <v>1</v>
      </c>
      <c r="W97" s="92" t="b">
        <f>IF($L$6=EUconst_NotRelevant,TRUE,IF(V97&gt;0,(V97&lt;&gt;U97),IF(U97="",TRUE,FALSE)))</f>
        <v>1</v>
      </c>
      <c r="X97" s="417"/>
      <c r="Y97" s="417"/>
      <c r="Z97" s="417"/>
      <c r="AA97" s="417"/>
      <c r="AB97" s="417"/>
    </row>
    <row r="98" spans="1:28" ht="5.0999999999999996" customHeight="1" x14ac:dyDescent="0.2">
      <c r="A98" s="72"/>
      <c r="B98" s="417"/>
      <c r="C98" s="417"/>
      <c r="D98" s="417"/>
      <c r="E98" s="411"/>
      <c r="F98" s="411"/>
      <c r="G98" s="411"/>
      <c r="H98" s="411"/>
      <c r="I98" s="411"/>
      <c r="J98" s="411"/>
      <c r="K98" s="411"/>
      <c r="L98" s="417"/>
      <c r="M98" s="417"/>
      <c r="N98" s="417"/>
      <c r="O98" s="417"/>
      <c r="P98" s="72"/>
      <c r="Q98" s="72"/>
      <c r="R98" s="72"/>
      <c r="S98" s="72"/>
      <c r="T98" s="72"/>
      <c r="U98" s="72"/>
      <c r="V98" s="72"/>
      <c r="W98" s="72"/>
      <c r="X98" s="417"/>
      <c r="Y98" s="417"/>
      <c r="Z98" s="417"/>
      <c r="AA98" s="417"/>
      <c r="AB98" s="417"/>
    </row>
    <row r="99" spans="1:28" x14ac:dyDescent="0.2">
      <c r="A99" s="72"/>
      <c r="B99" s="417"/>
      <c r="C99" s="417"/>
      <c r="D99" s="337" t="str">
        <f>Translations!$B$655</f>
        <v>Method A: average anode effect minutes per occurrence</v>
      </c>
      <c r="E99" s="411"/>
      <c r="F99" s="411"/>
      <c r="G99" s="411"/>
      <c r="H99" s="411"/>
      <c r="I99" s="411"/>
      <c r="J99" s="411"/>
      <c r="K99" s="411"/>
      <c r="L99" s="417"/>
      <c r="M99" s="417"/>
      <c r="N99" s="417"/>
      <c r="O99" s="417"/>
      <c r="P99" s="72"/>
      <c r="Q99" s="72"/>
      <c r="R99" s="72"/>
      <c r="S99" s="72"/>
      <c r="T99" s="72"/>
      <c r="U99" s="72"/>
      <c r="V99" s="72"/>
      <c r="W99" s="72"/>
      <c r="X99" s="417"/>
      <c r="Y99" s="417"/>
      <c r="Z99" s="417"/>
      <c r="AA99" s="417"/>
      <c r="AB99" s="417"/>
    </row>
    <row r="100" spans="1:28" x14ac:dyDescent="0.2">
      <c r="A100" s="72"/>
      <c r="B100" s="417"/>
      <c r="C100" s="417"/>
      <c r="D100" s="13" t="s">
        <v>1351</v>
      </c>
      <c r="E100" s="14" t="str">
        <f>Translations!$B$477</f>
        <v>Activity data tier level required:</v>
      </c>
      <c r="F100" s="11"/>
      <c r="G100" s="11"/>
      <c r="H100" s="268" t="str">
        <f>IF(W100,"",H90)</f>
        <v/>
      </c>
      <c r="I100" s="1163" t="str">
        <f>IF(W100,"",I90)</f>
        <v/>
      </c>
      <c r="J100" s="929"/>
      <c r="K100" s="929"/>
      <c r="L100" s="929"/>
      <c r="M100" s="929"/>
      <c r="N100" s="887"/>
      <c r="O100" s="417"/>
      <c r="P100" s="72"/>
      <c r="Q100" s="72"/>
      <c r="R100" s="29"/>
      <c r="S100" s="23"/>
      <c r="T100" s="72"/>
      <c r="U100" s="285" t="str">
        <f>U97</f>
        <v/>
      </c>
      <c r="V100" s="285">
        <v>1</v>
      </c>
      <c r="W100" s="92" t="b">
        <f>IF($L$6=EUconst_NotRelevant,TRUE,IF(V100&gt;0,(V100&lt;&gt;U100),IF(U100="",TRUE,FALSE)))</f>
        <v>1</v>
      </c>
      <c r="X100" s="417"/>
      <c r="Y100" s="417"/>
      <c r="Z100" s="417"/>
      <c r="AA100" s="417"/>
      <c r="AB100" s="417"/>
    </row>
    <row r="101" spans="1:28" x14ac:dyDescent="0.2">
      <c r="A101" s="72"/>
      <c r="B101" s="417"/>
      <c r="C101" s="417"/>
      <c r="D101" s="13" t="s">
        <v>1352</v>
      </c>
      <c r="E101" s="14" t="str">
        <f>Translations!$B$478</f>
        <v>Activity data tier used:</v>
      </c>
      <c r="F101" s="11"/>
      <c r="G101" s="11"/>
      <c r="H101" s="197"/>
      <c r="I101" s="1163" t="str">
        <f>IF(OR(ISBLANK(H101),H101=EUconst_NoTier),"",IF(S101=0,EUconst_NA,IF(ISERROR(S101),"",EUconst_MsgTierActivityLevel &amp; " " &amp;S101)))</f>
        <v/>
      </c>
      <c r="J101" s="929"/>
      <c r="K101" s="929"/>
      <c r="L101" s="929"/>
      <c r="M101" s="929"/>
      <c r="N101" s="887"/>
      <c r="O101" s="417"/>
      <c r="P101" s="72"/>
      <c r="Q101" s="92" t="str">
        <f>EUconst_CNTR_ActivityData&amp;H73</f>
        <v>ActivityData_</v>
      </c>
      <c r="R101" s="29"/>
      <c r="S101" s="32" t="str">
        <f>IF(ISBLANK(H101),"",IF(H101=EUconst_NA,"",INDEX(EUwideConstants!$H:$O,MATCH(Q101,EUwideConstants!$S:$S,0),MATCH(H101,CNTR_TierList,0))))</f>
        <v/>
      </c>
      <c r="T101" s="72"/>
      <c r="U101" s="285" t="str">
        <f>U100</f>
        <v/>
      </c>
      <c r="V101" s="285">
        <v>1</v>
      </c>
      <c r="W101" s="92" t="b">
        <f>IF($L$6=EUconst_NotRelevant,TRUE,IF(V101&gt;0,(V101&lt;&gt;U101),IF(U101="",TRUE,FALSE)))</f>
        <v>1</v>
      </c>
      <c r="X101" s="417"/>
      <c r="Y101" s="417"/>
      <c r="Z101" s="417"/>
      <c r="AA101" s="417"/>
      <c r="AB101" s="417"/>
    </row>
    <row r="102" spans="1:28" x14ac:dyDescent="0.2">
      <c r="A102" s="72"/>
      <c r="B102" s="417"/>
      <c r="C102" s="417"/>
      <c r="D102" s="13" t="s">
        <v>1516</v>
      </c>
      <c r="E102" s="14" t="str">
        <f>Translations!$B$479</f>
        <v>Uncertainty achieved:</v>
      </c>
      <c r="F102" s="11"/>
      <c r="G102" s="11"/>
      <c r="H102" s="269"/>
      <c r="I102" s="14" t="str">
        <f>Translations!$B$480</f>
        <v>Comment:</v>
      </c>
      <c r="J102" s="1162"/>
      <c r="K102" s="1140"/>
      <c r="L102" s="1140"/>
      <c r="M102" s="1140"/>
      <c r="N102" s="1141"/>
      <c r="O102" s="417"/>
      <c r="P102" s="72"/>
      <c r="Q102" s="72"/>
      <c r="R102" s="72"/>
      <c r="S102" s="72"/>
      <c r="T102" s="72"/>
      <c r="U102" s="285" t="str">
        <f>U101</f>
        <v/>
      </c>
      <c r="V102" s="285">
        <v>1</v>
      </c>
      <c r="W102" s="92" t="b">
        <f>IF($L$6=EUconst_NotRelevant,TRUE,IF(V102&gt;0,(V102&lt;&gt;U102),IF(U102="",TRUE,FALSE)))</f>
        <v>1</v>
      </c>
      <c r="X102" s="417"/>
      <c r="Y102" s="417"/>
      <c r="Z102" s="417"/>
      <c r="AA102" s="417"/>
      <c r="AB102" s="417"/>
    </row>
    <row r="103" spans="1:28" ht="5.0999999999999996" customHeight="1" x14ac:dyDescent="0.2">
      <c r="A103" s="72"/>
      <c r="B103" s="417"/>
      <c r="C103" s="417"/>
      <c r="D103" s="417"/>
      <c r="E103" s="411"/>
      <c r="F103" s="411"/>
      <c r="G103" s="411"/>
      <c r="H103" s="411"/>
      <c r="I103" s="411"/>
      <c r="J103" s="411"/>
      <c r="K103" s="411"/>
      <c r="L103" s="417"/>
      <c r="M103" s="417"/>
      <c r="N103" s="417"/>
      <c r="O103" s="417"/>
      <c r="P103" s="72"/>
      <c r="Q103" s="72"/>
      <c r="R103" s="72"/>
      <c r="S103" s="72"/>
      <c r="T103" s="72"/>
      <c r="U103" s="72"/>
      <c r="V103" s="72"/>
      <c r="W103" s="72"/>
      <c r="X103" s="417"/>
      <c r="Y103" s="417"/>
      <c r="Z103" s="417"/>
      <c r="AA103" s="417"/>
      <c r="AB103" s="417"/>
    </row>
    <row r="104" spans="1:28" x14ac:dyDescent="0.2">
      <c r="A104" s="72"/>
      <c r="B104" s="417"/>
      <c r="C104" s="417"/>
      <c r="D104" s="337" t="str">
        <f>Translations!$B$656</f>
        <v>Method B: anode effect overvoltage per cell</v>
      </c>
      <c r="E104" s="411"/>
      <c r="F104" s="411"/>
      <c r="G104" s="411"/>
      <c r="H104" s="411"/>
      <c r="I104" s="411"/>
      <c r="J104" s="411"/>
      <c r="K104" s="411"/>
      <c r="L104" s="417"/>
      <c r="M104" s="417"/>
      <c r="N104" s="417"/>
      <c r="O104" s="417"/>
      <c r="P104" s="72"/>
      <c r="Q104" s="72"/>
      <c r="R104" s="72"/>
      <c r="S104" s="72"/>
      <c r="T104" s="72"/>
      <c r="U104" s="72"/>
      <c r="V104" s="72"/>
      <c r="W104" s="72"/>
      <c r="X104" s="417"/>
      <c r="Y104" s="417"/>
      <c r="Z104" s="417"/>
      <c r="AA104" s="417"/>
      <c r="AB104" s="417"/>
    </row>
    <row r="105" spans="1:28" x14ac:dyDescent="0.2">
      <c r="A105" s="72"/>
      <c r="B105" s="417"/>
      <c r="C105" s="417"/>
      <c r="D105" s="13" t="s">
        <v>351</v>
      </c>
      <c r="E105" s="14" t="str">
        <f>Translations!$B$477</f>
        <v>Activity data tier level required:</v>
      </c>
      <c r="F105" s="11"/>
      <c r="G105" s="11"/>
      <c r="H105" s="268" t="str">
        <f>IF(W105,"",H90)</f>
        <v/>
      </c>
      <c r="I105" s="1163" t="str">
        <f>IF(W105,"",I90)</f>
        <v/>
      </c>
      <c r="J105" s="929"/>
      <c r="K105" s="929"/>
      <c r="L105" s="929"/>
      <c r="M105" s="929"/>
      <c r="N105" s="887"/>
      <c r="O105" s="417"/>
      <c r="P105" s="72"/>
      <c r="Q105" s="72"/>
      <c r="R105" s="29"/>
      <c r="S105" s="23"/>
      <c r="T105" s="72"/>
      <c r="U105" s="285" t="str">
        <f>U102</f>
        <v/>
      </c>
      <c r="V105" s="285">
        <v>2</v>
      </c>
      <c r="W105" s="92" t="b">
        <f>IF($L$6=EUconst_NotRelevant,TRUE,IF(V105&gt;0,(V105&lt;&gt;U105),IF(U105="",TRUE,FALSE)))</f>
        <v>1</v>
      </c>
      <c r="X105" s="417"/>
      <c r="Y105" s="417"/>
      <c r="Z105" s="417"/>
      <c r="AA105" s="417"/>
      <c r="AB105" s="417"/>
    </row>
    <row r="106" spans="1:28" x14ac:dyDescent="0.2">
      <c r="A106" s="72"/>
      <c r="B106" s="417"/>
      <c r="C106" s="417"/>
      <c r="D106" s="13" t="s">
        <v>353</v>
      </c>
      <c r="E106" s="14" t="str">
        <f>Translations!$B$478</f>
        <v>Activity data tier used:</v>
      </c>
      <c r="F106" s="11"/>
      <c r="G106" s="11"/>
      <c r="H106" s="197"/>
      <c r="I106" s="1163" t="str">
        <f>IF(OR(ISBLANK(H106),H106=EUconst_NoTier),"",IF(S106=0,EUconst_NA,IF(ISERROR(S106),"",EUconst_MsgTierActivityLevel &amp; " " &amp;S106)))</f>
        <v/>
      </c>
      <c r="J106" s="929"/>
      <c r="K106" s="929"/>
      <c r="L106" s="929"/>
      <c r="M106" s="929"/>
      <c r="N106" s="887"/>
      <c r="O106" s="417"/>
      <c r="P106" s="72"/>
      <c r="Q106" s="92" t="str">
        <f>EUconst_CNTR_ActivityData&amp;H73</f>
        <v>ActivityData_</v>
      </c>
      <c r="R106" s="29"/>
      <c r="S106" s="32" t="str">
        <f>IF(ISBLANK(H106),"",IF(H106=EUconst_NA,"",INDEX(EUwideConstants!$H:$O,MATCH(Q106,EUwideConstants!$S:$S,0),MATCH(H106,CNTR_TierList,0))))</f>
        <v/>
      </c>
      <c r="T106" s="72"/>
      <c r="U106" s="285" t="str">
        <f>U105</f>
        <v/>
      </c>
      <c r="V106" s="285">
        <v>2</v>
      </c>
      <c r="W106" s="92" t="b">
        <f>IF($L$6=EUconst_NotRelevant,TRUE,IF(V106&gt;0,(V106&lt;&gt;U106),IF(U106="",TRUE,FALSE)))</f>
        <v>1</v>
      </c>
      <c r="X106" s="417"/>
      <c r="Y106" s="417"/>
      <c r="Z106" s="417"/>
      <c r="AA106" s="417"/>
      <c r="AB106" s="417"/>
    </row>
    <row r="107" spans="1:28" x14ac:dyDescent="0.2">
      <c r="A107" s="72"/>
      <c r="B107" s="417"/>
      <c r="C107" s="417"/>
      <c r="D107" s="13" t="s">
        <v>354</v>
      </c>
      <c r="E107" s="14" t="str">
        <f>Translations!$B$479</f>
        <v>Uncertainty achieved:</v>
      </c>
      <c r="F107" s="11"/>
      <c r="G107" s="11"/>
      <c r="H107" s="269"/>
      <c r="I107" s="14" t="str">
        <f>Translations!$B$480</f>
        <v>Comment:</v>
      </c>
      <c r="J107" s="1162"/>
      <c r="K107" s="1140"/>
      <c r="L107" s="1140"/>
      <c r="M107" s="1140"/>
      <c r="N107" s="1141"/>
      <c r="O107" s="417"/>
      <c r="P107" s="72"/>
      <c r="Q107" s="72"/>
      <c r="R107" s="72"/>
      <c r="S107" s="72"/>
      <c r="T107" s="72"/>
      <c r="U107" s="285" t="str">
        <f>U106</f>
        <v/>
      </c>
      <c r="V107" s="285">
        <v>2</v>
      </c>
      <c r="W107" s="92" t="b">
        <f>IF($L$6=EUconst_NotRelevant,TRUE,IF(V107&gt;0,(V107&lt;&gt;U107),IF(U107="",TRUE,FALSE)))</f>
        <v>1</v>
      </c>
      <c r="X107" s="417"/>
      <c r="Y107" s="417"/>
      <c r="Z107" s="417"/>
      <c r="AA107" s="417"/>
      <c r="AB107" s="417"/>
    </row>
    <row r="108" spans="1:28" ht="5.0999999999999996" customHeight="1" x14ac:dyDescent="0.2">
      <c r="A108" s="72"/>
      <c r="B108" s="417"/>
      <c r="C108" s="417"/>
      <c r="D108" s="417"/>
      <c r="E108" s="411"/>
      <c r="F108" s="411"/>
      <c r="G108" s="411"/>
      <c r="H108" s="411"/>
      <c r="I108" s="411"/>
      <c r="J108" s="411"/>
      <c r="K108" s="411"/>
      <c r="L108" s="417"/>
      <c r="M108" s="417"/>
      <c r="N108" s="417"/>
      <c r="O108" s="417"/>
      <c r="P108" s="72"/>
      <c r="Q108" s="72"/>
      <c r="R108" s="72"/>
      <c r="S108" s="72"/>
      <c r="T108" s="72"/>
      <c r="U108" s="72"/>
      <c r="V108" s="72"/>
      <c r="W108" s="72"/>
      <c r="X108" s="417"/>
      <c r="Y108" s="417"/>
      <c r="Z108" s="417"/>
      <c r="AA108" s="417"/>
      <c r="AB108" s="417"/>
    </row>
    <row r="109" spans="1:28" x14ac:dyDescent="0.2">
      <c r="A109" s="72"/>
      <c r="B109" s="417"/>
      <c r="C109" s="417"/>
      <c r="D109" s="337" t="str">
        <f>Translations!$B$657</f>
        <v>Method B: Current efficiency</v>
      </c>
      <c r="E109" s="411"/>
      <c r="F109" s="411"/>
      <c r="G109" s="411"/>
      <c r="H109" s="411"/>
      <c r="I109" s="411"/>
      <c r="J109" s="411"/>
      <c r="K109" s="411"/>
      <c r="L109" s="417"/>
      <c r="M109" s="417"/>
      <c r="N109" s="417"/>
      <c r="O109" s="417"/>
      <c r="P109" s="72"/>
      <c r="Q109" s="72"/>
      <c r="R109" s="72"/>
      <c r="S109" s="72"/>
      <c r="T109" s="72"/>
      <c r="U109" s="72"/>
      <c r="V109" s="72"/>
      <c r="W109" s="72"/>
      <c r="X109" s="417"/>
      <c r="Y109" s="417"/>
      <c r="Z109" s="417"/>
      <c r="AA109" s="417"/>
      <c r="AB109" s="417"/>
    </row>
    <row r="110" spans="1:28" ht="12.75" customHeight="1" x14ac:dyDescent="0.2">
      <c r="A110" s="72"/>
      <c r="B110" s="417"/>
      <c r="C110" s="417"/>
      <c r="D110" s="13" t="s">
        <v>355</v>
      </c>
      <c r="E110" s="14" t="str">
        <f>Translations!$B$477</f>
        <v>Activity data tier level required:</v>
      </c>
      <c r="F110" s="11"/>
      <c r="G110" s="11"/>
      <c r="H110" s="268" t="str">
        <f>IF(W110,"",H90)</f>
        <v/>
      </c>
      <c r="I110" s="1163" t="str">
        <f>IF(W110,"",I90)</f>
        <v/>
      </c>
      <c r="J110" s="929"/>
      <c r="K110" s="929"/>
      <c r="L110" s="929"/>
      <c r="M110" s="929"/>
      <c r="N110" s="887"/>
      <c r="O110" s="417"/>
      <c r="P110" s="72"/>
      <c r="Q110" s="72"/>
      <c r="R110" s="29"/>
      <c r="S110" s="23"/>
      <c r="T110" s="72"/>
      <c r="U110" s="285" t="str">
        <f>U107</f>
        <v/>
      </c>
      <c r="V110" s="285">
        <v>2</v>
      </c>
      <c r="W110" s="92" t="b">
        <f>IF($L$6=EUconst_NotRelevant,TRUE,IF(V110&gt;0,(V110&lt;&gt;U110),IF(U110="",TRUE,FALSE)))</f>
        <v>1</v>
      </c>
      <c r="X110" s="417"/>
      <c r="Y110" s="417"/>
      <c r="Z110" s="417"/>
      <c r="AA110" s="417"/>
      <c r="AB110" s="417"/>
    </row>
    <row r="111" spans="1:28" x14ac:dyDescent="0.2">
      <c r="A111" s="72"/>
      <c r="B111" s="417"/>
      <c r="C111" s="417"/>
      <c r="D111" s="13" t="s">
        <v>555</v>
      </c>
      <c r="E111" s="14" t="str">
        <f>Translations!$B$478</f>
        <v>Activity data tier used:</v>
      </c>
      <c r="F111" s="11"/>
      <c r="G111" s="11"/>
      <c r="H111" s="197"/>
      <c r="I111" s="1163" t="str">
        <f>IF(OR(ISBLANK(H111),H111=EUconst_NoTier),"",IF(S111=0,EUconst_NA,IF(ISERROR(S111),"",EUconst_MsgTierActivityLevel &amp; " " &amp;S111)))</f>
        <v/>
      </c>
      <c r="J111" s="929"/>
      <c r="K111" s="929"/>
      <c r="L111" s="929"/>
      <c r="M111" s="929"/>
      <c r="N111" s="887"/>
      <c r="O111" s="417"/>
      <c r="P111" s="72"/>
      <c r="Q111" s="92" t="str">
        <f>EUconst_CNTR_ActivityData&amp;H73</f>
        <v>ActivityData_</v>
      </c>
      <c r="R111" s="29"/>
      <c r="S111" s="32" t="str">
        <f>IF(ISBLANK(H111),"",IF(H111=EUconst_NA,"",INDEX(EUwideConstants!$H:$O,MATCH(Q111,EUwideConstants!$S:$S,0),MATCH(H111,CNTR_TierList,0))))</f>
        <v/>
      </c>
      <c r="T111" s="72"/>
      <c r="U111" s="285" t="str">
        <f>U110</f>
        <v/>
      </c>
      <c r="V111" s="285">
        <v>2</v>
      </c>
      <c r="W111" s="92" t="b">
        <f>IF($L$6=EUconst_NotRelevant,TRUE,IF(V111&gt;0,(V111&lt;&gt;U111),IF(U111="",TRUE,FALSE)))</f>
        <v>1</v>
      </c>
      <c r="X111" s="417"/>
      <c r="Y111" s="417"/>
      <c r="Z111" s="417"/>
      <c r="AA111" s="417"/>
      <c r="AB111" s="417"/>
    </row>
    <row r="112" spans="1:28" x14ac:dyDescent="0.2">
      <c r="A112" s="72"/>
      <c r="B112" s="417"/>
      <c r="C112" s="417"/>
      <c r="D112" s="13" t="s">
        <v>550</v>
      </c>
      <c r="E112" s="14" t="str">
        <f>Translations!$B$479</f>
        <v>Uncertainty achieved:</v>
      </c>
      <c r="F112" s="11"/>
      <c r="G112" s="11"/>
      <c r="H112" s="269"/>
      <c r="I112" s="14" t="str">
        <f>Translations!$B$480</f>
        <v>Comment:</v>
      </c>
      <c r="J112" s="1162"/>
      <c r="K112" s="1140"/>
      <c r="L112" s="1140"/>
      <c r="M112" s="1140"/>
      <c r="N112" s="1141"/>
      <c r="O112" s="417"/>
      <c r="P112" s="72"/>
      <c r="Q112" s="72"/>
      <c r="R112" s="72"/>
      <c r="S112" s="72"/>
      <c r="T112" s="72"/>
      <c r="U112" s="285" t="str">
        <f>U111</f>
        <v/>
      </c>
      <c r="V112" s="285">
        <v>2</v>
      </c>
      <c r="W112" s="92" t="b">
        <f>IF($L$6=EUconst_NotRelevant,TRUE,IF(V112&gt;0,(V112&lt;&gt;U112),IF(U112="",TRUE,FALSE)))</f>
        <v>1</v>
      </c>
      <c r="X112" s="417"/>
      <c r="Y112" s="417"/>
      <c r="Z112" s="417"/>
      <c r="AA112" s="417"/>
      <c r="AB112" s="417"/>
    </row>
    <row r="113" spans="1:28" x14ac:dyDescent="0.2">
      <c r="A113" s="72"/>
      <c r="B113" s="417"/>
      <c r="C113" s="417"/>
      <c r="D113" s="417"/>
      <c r="E113" s="411"/>
      <c r="F113" s="411"/>
      <c r="G113" s="411"/>
      <c r="H113" s="411"/>
      <c r="I113" s="411"/>
      <c r="J113" s="411"/>
      <c r="K113" s="411"/>
      <c r="L113" s="417"/>
      <c r="M113" s="417"/>
      <c r="N113" s="417"/>
      <c r="O113" s="417"/>
      <c r="P113" s="72"/>
      <c r="Q113" s="72"/>
      <c r="R113" s="72"/>
      <c r="S113" s="72"/>
      <c r="T113" s="72"/>
      <c r="U113" s="72"/>
      <c r="V113" s="72"/>
      <c r="W113" s="72"/>
      <c r="X113" s="417"/>
      <c r="Y113" s="417"/>
      <c r="Z113" s="417"/>
      <c r="AA113" s="417"/>
      <c r="AB113" s="417"/>
    </row>
    <row r="114" spans="1:28" ht="15" customHeight="1" x14ac:dyDescent="0.2">
      <c r="A114" s="72"/>
      <c r="B114" s="417"/>
      <c r="C114" s="417"/>
      <c r="D114" s="1040" t="str">
        <f>Translations!$B$658</f>
        <v>Calculation factors</v>
      </c>
      <c r="E114" s="1040"/>
      <c r="F114" s="1040"/>
      <c r="G114" s="1040"/>
      <c r="H114" s="1040"/>
      <c r="I114" s="1040"/>
      <c r="J114" s="1040"/>
      <c r="K114" s="1040"/>
      <c r="L114" s="1040"/>
      <c r="M114" s="1040"/>
      <c r="N114" s="1040"/>
      <c r="O114" s="417"/>
      <c r="P114" s="72"/>
      <c r="Q114" s="72"/>
      <c r="R114" s="72"/>
      <c r="S114" s="72"/>
      <c r="T114" s="72"/>
      <c r="U114" s="72"/>
      <c r="V114" s="72"/>
      <c r="W114" s="72"/>
      <c r="X114" s="417"/>
      <c r="Y114" s="417"/>
      <c r="Z114" s="417"/>
      <c r="AA114" s="417"/>
      <c r="AB114" s="417"/>
    </row>
    <row r="115" spans="1:28" ht="15" x14ac:dyDescent="0.2">
      <c r="A115" s="72"/>
      <c r="B115" s="417"/>
      <c r="C115" s="417"/>
      <c r="D115" s="307" t="s">
        <v>841</v>
      </c>
      <c r="E115" s="337" t="str">
        <f>Translations!$B$659</f>
        <v>Tiers applied</v>
      </c>
      <c r="F115" s="257"/>
      <c r="G115" s="257"/>
      <c r="H115" s="411"/>
      <c r="I115" s="411"/>
      <c r="J115" s="411"/>
      <c r="K115" s="411"/>
      <c r="L115" s="417"/>
      <c r="M115" s="417"/>
      <c r="N115" s="417"/>
      <c r="O115" s="417"/>
      <c r="P115" s="72"/>
      <c r="Q115" s="72"/>
      <c r="R115" s="72"/>
      <c r="S115" s="72"/>
      <c r="T115" s="72"/>
      <c r="U115" s="72"/>
      <c r="V115" s="72"/>
      <c r="W115" s="72"/>
      <c r="X115" s="417"/>
      <c r="Y115" s="417"/>
      <c r="Z115" s="417"/>
      <c r="AA115" s="417"/>
      <c r="AB115" s="417"/>
    </row>
    <row r="116" spans="1:28" ht="5.0999999999999996" customHeight="1" x14ac:dyDescent="0.2">
      <c r="A116" s="72"/>
      <c r="B116" s="417"/>
      <c r="C116" s="417"/>
      <c r="D116" s="417"/>
      <c r="E116" s="411"/>
      <c r="F116" s="411"/>
      <c r="G116" s="411"/>
      <c r="H116" s="411"/>
      <c r="I116" s="411"/>
      <c r="J116" s="411"/>
      <c r="K116" s="411"/>
      <c r="L116" s="417"/>
      <c r="M116" s="417"/>
      <c r="N116" s="417"/>
      <c r="O116" s="417"/>
      <c r="P116" s="72"/>
      <c r="Q116" s="72"/>
      <c r="R116" s="72"/>
      <c r="S116" s="72"/>
      <c r="T116" s="72"/>
      <c r="U116" s="72"/>
      <c r="V116" s="72"/>
      <c r="W116" s="72"/>
      <c r="X116" s="417"/>
      <c r="Y116" s="417"/>
      <c r="Z116" s="417"/>
      <c r="AA116" s="417"/>
      <c r="AB116" s="417"/>
    </row>
    <row r="117" spans="1:28" x14ac:dyDescent="0.2">
      <c r="A117" s="72"/>
      <c r="B117" s="417"/>
      <c r="C117" s="417"/>
      <c r="D117" s="417"/>
      <c r="E117" s="279" t="str">
        <f>Translations!$B$516</f>
        <v>calculation factor</v>
      </c>
      <c r="F117" s="280"/>
      <c r="G117" s="281"/>
      <c r="H117" s="50" t="str">
        <f>Translations!$B$517</f>
        <v>required tier</v>
      </c>
      <c r="I117" s="50" t="str">
        <f>Translations!$B$518</f>
        <v>applied tier</v>
      </c>
      <c r="J117" s="1159" t="str">
        <f>Translations!$B$526</f>
        <v>full text for applied tier</v>
      </c>
      <c r="K117" s="1160"/>
      <c r="L117" s="1160"/>
      <c r="M117" s="1160"/>
      <c r="N117" s="1161"/>
      <c r="O117" s="417"/>
      <c r="P117" s="72"/>
      <c r="Q117" s="72"/>
      <c r="R117" s="72"/>
      <c r="S117" s="15" t="s">
        <v>1038</v>
      </c>
      <c r="T117" s="72"/>
      <c r="U117" s="72"/>
      <c r="V117" s="72"/>
      <c r="W117" s="72"/>
      <c r="X117" s="417"/>
      <c r="Y117" s="417"/>
      <c r="Z117" s="417"/>
      <c r="AA117" s="417"/>
      <c r="AB117" s="417"/>
    </row>
    <row r="118" spans="1:28" x14ac:dyDescent="0.2">
      <c r="A118" s="72"/>
      <c r="B118" s="417"/>
      <c r="C118" s="417"/>
      <c r="D118" s="46" t="s">
        <v>1030</v>
      </c>
      <c r="E118" s="282" t="str">
        <f>Translations!$B$660</f>
        <v>SEF(CF4) Slope emission factor</v>
      </c>
      <c r="F118" s="283"/>
      <c r="G118" s="284"/>
      <c r="H118" s="268" t="str">
        <f>IF(H73="","",IF(W118=FALSE,IF(CNTR_Category="A",INDEX(EUwideConstants!$G:$G,MATCH(Q118,EUwideConstants!$S:$S,0)),INDEX(EUwideConstants!$P:$P,MATCH(Q118,EUwideConstants!$S:$S,0))),""))</f>
        <v/>
      </c>
      <c r="I118" s="197"/>
      <c r="J118" s="1163" t="str">
        <f>IF(OR(ISBLANK(I118),I118=EUconst_NoTier),"",IF(S118=0,EUconst_NotApplicable,IF(ISERROR(S118),"",S118)))</f>
        <v/>
      </c>
      <c r="K118" s="929"/>
      <c r="L118" s="929"/>
      <c r="M118" s="929"/>
      <c r="N118" s="887"/>
      <c r="O118" s="417"/>
      <c r="P118" s="72"/>
      <c r="Q118" s="92" t="str">
        <f>EUconst_CNTR_EF&amp;H73</f>
        <v>EF_</v>
      </c>
      <c r="R118" s="72"/>
      <c r="S118" s="31" t="str">
        <f>IF(ISBLANK(I118),"",IF(I118=EUconst_NA,"",INDEX(EUwideConstants!$H:$O,MATCH(Q118,EUwideConstants!$S:$S,0),MATCH(I118,CNTR_TierList,0))))</f>
        <v/>
      </c>
      <c r="T118" s="72"/>
      <c r="U118" s="285" t="str">
        <f>U112</f>
        <v/>
      </c>
      <c r="V118" s="285">
        <v>1</v>
      </c>
      <c r="W118" s="92" t="b">
        <f>IF($L$6=EUconst_NotRelevant,TRUE,IF(V118&gt;0,(V118&lt;&gt;U118),IF(U118="",TRUE,FALSE)))</f>
        <v>1</v>
      </c>
      <c r="X118" s="417"/>
      <c r="Y118" s="417"/>
      <c r="Z118" s="417"/>
      <c r="AA118" s="417"/>
      <c r="AB118" s="417"/>
    </row>
    <row r="119" spans="1:28" x14ac:dyDescent="0.2">
      <c r="A119" s="72"/>
      <c r="B119" s="417"/>
      <c r="C119" s="417"/>
      <c r="D119" s="46" t="s">
        <v>1031</v>
      </c>
      <c r="E119" s="282" t="str">
        <f>Translations!$B$661</f>
        <v>OVC (Overvoltage coefficient)</v>
      </c>
      <c r="F119" s="283"/>
      <c r="G119" s="284"/>
      <c r="H119" s="268" t="str">
        <f>IF(H74="","",IF(W119=FALSE,IF(CNTR_Category="A",INDEX(EUwideConstants!$G:$G,MATCH(Q119,EUwideConstants!$S:$S,0)),INDEX(EUwideConstants!$P:$P,MATCH(Q119,EUwideConstants!$S:$S,0))),""))</f>
        <v/>
      </c>
      <c r="I119" s="197"/>
      <c r="J119" s="1163" t="str">
        <f>IF(OR(ISBLANK(I119),I119=EUconst_NoTier),"",IF(S119=0,EUconst_NotApplicable,IF(ISERROR(S119),"",S119)))</f>
        <v/>
      </c>
      <c r="K119" s="929"/>
      <c r="L119" s="929"/>
      <c r="M119" s="929"/>
      <c r="N119" s="887"/>
      <c r="O119" s="417"/>
      <c r="P119" s="72"/>
      <c r="Q119" s="92" t="str">
        <f>EUconst_CNTR_EF&amp;H73</f>
        <v>EF_</v>
      </c>
      <c r="R119" s="72"/>
      <c r="S119" s="31" t="str">
        <f>IF(ISBLANK(I119),"",IF(I119=EUconst_NA,"",INDEX(EUwideConstants!$H:$O,MATCH(Q119,EUwideConstants!$S:$S,0),MATCH(I119,CNTR_TierList,0))))</f>
        <v/>
      </c>
      <c r="T119" s="72"/>
      <c r="U119" s="285" t="str">
        <f>U118</f>
        <v/>
      </c>
      <c r="V119" s="285">
        <v>2</v>
      </c>
      <c r="W119" s="92" t="b">
        <f>IF($L$6=EUconst_NotRelevant,TRUE,IF(V119&gt;0,(V119&lt;&gt;U119),IF(U119="",TRUE,FALSE)))</f>
        <v>1</v>
      </c>
      <c r="X119" s="417"/>
      <c r="Y119" s="417"/>
      <c r="Z119" s="417"/>
      <c r="AA119" s="417"/>
      <c r="AB119" s="417"/>
    </row>
    <row r="120" spans="1:28" x14ac:dyDescent="0.2">
      <c r="A120" s="72"/>
      <c r="B120" s="417"/>
      <c r="C120" s="417"/>
      <c r="D120" s="46" t="s">
        <v>1468</v>
      </c>
      <c r="E120" s="282" t="str">
        <f>Translations!$B$662</f>
        <v>F(C2F6) Weight fraction of C2F6</v>
      </c>
      <c r="F120" s="283"/>
      <c r="G120" s="284"/>
      <c r="H120" s="268" t="str">
        <f>IF(H75="","",IF(W120=FALSE,IF(CNTR_Category="A",INDEX(EUwideConstants!$G:$G,MATCH(Q120,EUwideConstants!$S:$S,0)),INDEX(EUwideConstants!$P:$P,MATCH(Q120,EUwideConstants!$S:$S,0))),""))</f>
        <v/>
      </c>
      <c r="I120" s="197"/>
      <c r="J120" s="1163" t="str">
        <f>IF(OR(ISBLANK(I120),I120=EUconst_NoTier),"",IF(S120=0,EUconst_NotApplicable,IF(ISERROR(S120),"",S120)))</f>
        <v/>
      </c>
      <c r="K120" s="929"/>
      <c r="L120" s="929"/>
      <c r="M120" s="929"/>
      <c r="N120" s="887"/>
      <c r="O120" s="417"/>
      <c r="P120" s="72"/>
      <c r="Q120" s="92" t="str">
        <f>EUconst_CNTR_EF&amp;H73</f>
        <v>EF_</v>
      </c>
      <c r="R120" s="72"/>
      <c r="S120" s="31" t="str">
        <f>IF(ISBLANK(I120),"",IF(I120=EUconst_NA,"",INDEX(EUwideConstants!$H:$O,MATCH(Q120,EUwideConstants!$S:$S,0),MATCH(I120,CNTR_TierList,0))))</f>
        <v/>
      </c>
      <c r="T120" s="72"/>
      <c r="U120" s="285" t="str">
        <f>U119</f>
        <v/>
      </c>
      <c r="V120" s="285">
        <v>0</v>
      </c>
      <c r="W120" s="92" t="b">
        <f>IF($L$6=EUconst_NotRelevant,TRUE,IF(V120&gt;0,(V120&lt;&gt;U120),IF(U120="",TRUE,FALSE)))</f>
        <v>1</v>
      </c>
      <c r="X120" s="417"/>
      <c r="Y120" s="417"/>
      <c r="Z120" s="417"/>
      <c r="AA120" s="417"/>
      <c r="AB120" s="417"/>
    </row>
    <row r="121" spans="1:28" x14ac:dyDescent="0.2">
      <c r="A121" s="72"/>
      <c r="B121" s="417"/>
      <c r="C121" s="417"/>
      <c r="D121" s="417"/>
      <c r="E121" s="411"/>
      <c r="F121" s="411"/>
      <c r="G121" s="411"/>
      <c r="H121" s="411"/>
      <c r="I121" s="411"/>
      <c r="J121" s="411"/>
      <c r="K121" s="411"/>
      <c r="L121" s="417"/>
      <c r="M121" s="417"/>
      <c r="N121" s="417"/>
      <c r="O121" s="417"/>
      <c r="P121" s="72"/>
      <c r="Q121" s="72"/>
      <c r="R121" s="72"/>
      <c r="S121" s="72"/>
      <c r="T121" s="72"/>
      <c r="U121" s="72"/>
      <c r="V121" s="72"/>
      <c r="W121" s="72"/>
      <c r="X121" s="417"/>
      <c r="Y121" s="417"/>
      <c r="Z121" s="417"/>
      <c r="AA121" s="417"/>
      <c r="AB121" s="417"/>
    </row>
    <row r="122" spans="1:28" ht="15" x14ac:dyDescent="0.2">
      <c r="A122" s="72"/>
      <c r="B122" s="417"/>
      <c r="C122" s="417"/>
      <c r="D122" s="307" t="s">
        <v>846</v>
      </c>
      <c r="E122" s="337" t="str">
        <f>Translations!$B$663</f>
        <v>Tier details</v>
      </c>
      <c r="F122" s="257"/>
      <c r="G122" s="257"/>
      <c r="H122" s="411"/>
      <c r="I122" s="411"/>
      <c r="J122" s="411"/>
      <c r="K122" s="411"/>
      <c r="L122" s="417"/>
      <c r="M122" s="417"/>
      <c r="N122" s="417"/>
      <c r="O122" s="417"/>
      <c r="P122" s="72"/>
      <c r="Q122" s="72"/>
      <c r="R122" s="72"/>
      <c r="S122" s="72"/>
      <c r="T122" s="72"/>
      <c r="U122" s="72"/>
      <c r="V122" s="72"/>
      <c r="W122" s="72"/>
      <c r="X122" s="417"/>
      <c r="Y122" s="417"/>
      <c r="Z122" s="417"/>
      <c r="AA122" s="417"/>
      <c r="AB122" s="417"/>
    </row>
    <row r="123" spans="1:28" ht="5.0999999999999996" customHeight="1" x14ac:dyDescent="0.2">
      <c r="A123" s="72"/>
      <c r="B123" s="417"/>
      <c r="C123" s="417"/>
      <c r="D123" s="417"/>
      <c r="E123" s="411"/>
      <c r="F123" s="411"/>
      <c r="G123" s="411"/>
      <c r="H123" s="411"/>
      <c r="I123" s="411"/>
      <c r="J123" s="411"/>
      <c r="K123" s="411"/>
      <c r="L123" s="417"/>
      <c r="M123" s="417"/>
      <c r="N123" s="417"/>
      <c r="O123" s="417"/>
      <c r="P123" s="72"/>
      <c r="Q123" s="72"/>
      <c r="R123" s="72"/>
      <c r="S123" s="72"/>
      <c r="T123" s="72"/>
      <c r="U123" s="72"/>
      <c r="V123" s="72"/>
      <c r="W123" s="72"/>
      <c r="X123" s="417"/>
      <c r="Y123" s="417"/>
      <c r="Z123" s="417"/>
      <c r="AA123" s="417"/>
      <c r="AB123" s="417"/>
    </row>
    <row r="124" spans="1:28" ht="38.85" customHeight="1" x14ac:dyDescent="0.2">
      <c r="A124" s="72"/>
      <c r="B124" s="417"/>
      <c r="C124" s="417"/>
      <c r="D124" s="417"/>
      <c r="E124" s="279" t="str">
        <f>Translations!$B$516</f>
        <v>calculation factor</v>
      </c>
      <c r="F124" s="280"/>
      <c r="G124" s="281"/>
      <c r="H124" s="50" t="str">
        <f>I117</f>
        <v>applied tier</v>
      </c>
      <c r="I124" s="51" t="str">
        <f>Translations!$B$664</f>
        <v>default or latest value</v>
      </c>
      <c r="J124" s="51" t="str">
        <f>Translations!$B$536</f>
        <v>Unit</v>
      </c>
      <c r="K124" s="51" t="str">
        <f>Translations!$B$537</f>
        <v>source ref</v>
      </c>
      <c r="L124" s="51" t="str">
        <f>Translations!$B$538</f>
        <v>analysis ref</v>
      </c>
      <c r="M124" s="51" t="str">
        <f>Translations!$B$665</f>
        <v>date of latest analysis</v>
      </c>
      <c r="N124" s="51" t="str">
        <f>Translations!$B$540</f>
        <v>Analysis frequency</v>
      </c>
      <c r="O124" s="417"/>
      <c r="P124" s="72"/>
      <c r="Q124" s="72"/>
      <c r="R124" s="72"/>
      <c r="S124" s="52" t="s">
        <v>384</v>
      </c>
      <c r="T124" s="72"/>
      <c r="U124" s="72"/>
      <c r="V124" s="72"/>
      <c r="W124" s="72"/>
      <c r="X124" s="417"/>
      <c r="Y124" s="417"/>
      <c r="Z124" s="417"/>
      <c r="AA124" s="417"/>
      <c r="AB124" s="417"/>
    </row>
    <row r="125" spans="1:28" x14ac:dyDescent="0.2">
      <c r="A125" s="72"/>
      <c r="B125" s="417"/>
      <c r="C125" s="417"/>
      <c r="D125" s="46" t="s">
        <v>1030</v>
      </c>
      <c r="E125" s="282" t="str">
        <f>E118</f>
        <v>SEF(CF4) Slope emission factor</v>
      </c>
      <c r="F125" s="283"/>
      <c r="G125" s="284"/>
      <c r="H125" s="268" t="str">
        <f>IF(OR(ISBLANK(I118),I118=EUconst_NA),"",I118)</f>
        <v/>
      </c>
      <c r="I125" s="197"/>
      <c r="J125" s="197"/>
      <c r="K125" s="270"/>
      <c r="L125" s="271"/>
      <c r="M125" s="271"/>
      <c r="N125" s="272"/>
      <c r="O125" s="417"/>
      <c r="P125" s="72"/>
      <c r="Q125" s="92" t="str">
        <f>Q118</f>
        <v>EF_</v>
      </c>
      <c r="R125" s="72"/>
      <c r="S125" s="63" t="str">
        <f>IF(H125="","",IF(I118=EUconst_NA,"",INDEX(EUwideConstants!$AL:$AP,MATCH(Q118,EUwideConstants!$S:$S,0),MATCH(I118,CNTR_TierList,0))))</f>
        <v/>
      </c>
      <c r="T125" s="72"/>
      <c r="U125" s="285" t="str">
        <f>U120</f>
        <v/>
      </c>
      <c r="V125" s="285">
        <v>1</v>
      </c>
      <c r="W125" s="92" t="b">
        <f>IF($L$6=EUconst_NotRelevant,TRUE,IF(V125&gt;0,(V125&lt;&gt;U125),IF(U125="",TRUE,FALSE)))</f>
        <v>1</v>
      </c>
      <c r="X125" s="417"/>
      <c r="Y125" s="417"/>
      <c r="Z125" s="417"/>
      <c r="AA125" s="417"/>
      <c r="AB125" s="417"/>
    </row>
    <row r="126" spans="1:28" x14ac:dyDescent="0.2">
      <c r="A126" s="72"/>
      <c r="B126" s="417"/>
      <c r="C126" s="417"/>
      <c r="D126" s="46" t="s">
        <v>1031</v>
      </c>
      <c r="E126" s="282" t="str">
        <f>E119</f>
        <v>OVC (Overvoltage coefficient)</v>
      </c>
      <c r="F126" s="283"/>
      <c r="G126" s="284"/>
      <c r="H126" s="268" t="str">
        <f>IF(OR(ISBLANK(I119),I119=EUconst_NA),"",I119)</f>
        <v/>
      </c>
      <c r="I126" s="197"/>
      <c r="J126" s="197"/>
      <c r="K126" s="270"/>
      <c r="L126" s="271"/>
      <c r="M126" s="271"/>
      <c r="N126" s="272"/>
      <c r="O126" s="417"/>
      <c r="P126" s="72"/>
      <c r="Q126" s="92" t="str">
        <f>Q119</f>
        <v>EF_</v>
      </c>
      <c r="R126" s="72"/>
      <c r="S126" s="63" t="str">
        <f>IF(H126="","",IF(I119=EUconst_NA,"",INDEX(EUwideConstants!$AL:$AP,MATCH(Q119,EUwideConstants!$S:$S,0),MATCH(I119,CNTR_TierList,0))))</f>
        <v/>
      </c>
      <c r="T126" s="72"/>
      <c r="U126" s="285" t="str">
        <f>U125</f>
        <v/>
      </c>
      <c r="V126" s="285">
        <v>2</v>
      </c>
      <c r="W126" s="92" t="b">
        <f>IF($L$6=EUconst_NotRelevant,TRUE,IF(V126&gt;0,(V126&lt;&gt;U126),IF(U126="",TRUE,FALSE)))</f>
        <v>1</v>
      </c>
      <c r="X126" s="417"/>
      <c r="Y126" s="417"/>
      <c r="Z126" s="417"/>
      <c r="AA126" s="417"/>
      <c r="AB126" s="417"/>
    </row>
    <row r="127" spans="1:28" x14ac:dyDescent="0.2">
      <c r="A127" s="72"/>
      <c r="B127" s="417"/>
      <c r="C127" s="417"/>
      <c r="D127" s="46" t="s">
        <v>1468</v>
      </c>
      <c r="E127" s="282" t="str">
        <f>E120</f>
        <v>F(C2F6) Weight fraction of C2F6</v>
      </c>
      <c r="F127" s="283"/>
      <c r="G127" s="284"/>
      <c r="H127" s="268" t="str">
        <f>IF(OR(ISBLANK(I120),I120=EUconst_NA),"",I120)</f>
        <v/>
      </c>
      <c r="I127" s="197"/>
      <c r="J127" s="197"/>
      <c r="K127" s="270"/>
      <c r="L127" s="271"/>
      <c r="M127" s="271"/>
      <c r="N127" s="272"/>
      <c r="O127" s="417"/>
      <c r="P127" s="72"/>
      <c r="Q127" s="92" t="str">
        <f>Q120</f>
        <v>EF_</v>
      </c>
      <c r="R127" s="72"/>
      <c r="S127" s="63" t="str">
        <f>IF(H127="","",IF(I120=EUconst_NA,"",INDEX(EUwideConstants!$AL:$AP,MATCH(Q120,EUwideConstants!$S:$S,0),MATCH(I120,CNTR_TierList,0))))</f>
        <v/>
      </c>
      <c r="T127" s="72"/>
      <c r="U127" s="285" t="str">
        <f>U126</f>
        <v/>
      </c>
      <c r="V127" s="285">
        <v>0</v>
      </c>
      <c r="W127" s="92" t="b">
        <f>IF($L$6=EUconst_NotRelevant,TRUE,IF(V127&gt;0,(V127&lt;&gt;U127),IF(U127="",TRUE,FALSE)))</f>
        <v>1</v>
      </c>
      <c r="X127" s="417"/>
      <c r="Y127" s="417"/>
      <c r="Z127" s="417"/>
      <c r="AA127" s="417"/>
      <c r="AB127" s="417"/>
    </row>
    <row r="128" spans="1:28" x14ac:dyDescent="0.2">
      <c r="A128" s="72"/>
      <c r="B128" s="417"/>
      <c r="C128" s="417"/>
      <c r="D128" s="417"/>
      <c r="E128" s="411"/>
      <c r="F128" s="411"/>
      <c r="G128" s="411"/>
      <c r="H128" s="411"/>
      <c r="I128" s="411"/>
      <c r="J128" s="411"/>
      <c r="K128" s="411"/>
      <c r="L128" s="417"/>
      <c r="M128" s="417"/>
      <c r="N128" s="417"/>
      <c r="O128" s="417"/>
      <c r="P128" s="72"/>
      <c r="Q128" s="72"/>
      <c r="R128" s="72"/>
      <c r="S128" s="72"/>
      <c r="T128" s="72"/>
      <c r="U128" s="72"/>
      <c r="V128" s="72"/>
      <c r="W128" s="72"/>
      <c r="X128" s="417"/>
      <c r="Y128" s="417"/>
      <c r="Z128" s="417"/>
      <c r="AA128" s="417"/>
      <c r="AB128" s="417"/>
    </row>
    <row r="129" spans="1:28" ht="15" customHeight="1" x14ac:dyDescent="0.2">
      <c r="A129" s="72"/>
      <c r="B129" s="417"/>
      <c r="C129" s="417"/>
      <c r="D129" s="1040" t="str">
        <f>Translations!$B$666</f>
        <v>Collection efficiency for accounting for fugitive emissions</v>
      </c>
      <c r="E129" s="1040"/>
      <c r="F129" s="1040"/>
      <c r="G129" s="1040"/>
      <c r="H129" s="1040"/>
      <c r="I129" s="1040"/>
      <c r="J129" s="1040"/>
      <c r="K129" s="1040"/>
      <c r="L129" s="1040"/>
      <c r="M129" s="1040"/>
      <c r="N129" s="1040"/>
      <c r="O129" s="417"/>
      <c r="P129" s="72"/>
      <c r="Q129" s="72"/>
      <c r="R129" s="72"/>
      <c r="S129" s="72"/>
      <c r="T129" s="72"/>
      <c r="U129" s="72"/>
      <c r="V129" s="72"/>
      <c r="W129" s="72"/>
      <c r="X129" s="417"/>
      <c r="Y129" s="417"/>
      <c r="Z129" s="417"/>
      <c r="AA129" s="417"/>
      <c r="AB129" s="417"/>
    </row>
    <row r="130" spans="1:28" ht="15" x14ac:dyDescent="0.2">
      <c r="A130" s="72"/>
      <c r="B130" s="417"/>
      <c r="C130" s="417"/>
      <c r="D130" s="307" t="s">
        <v>851</v>
      </c>
      <c r="E130" s="337" t="str">
        <f>Translations!$B$667</f>
        <v>Determination of the collection efficiency</v>
      </c>
      <c r="F130" s="257"/>
      <c r="G130" s="257"/>
      <c r="H130" s="411"/>
      <c r="I130" s="411"/>
      <c r="J130" s="411"/>
      <c r="K130" s="411"/>
      <c r="L130" s="417"/>
      <c r="M130" s="417"/>
      <c r="N130" s="417"/>
      <c r="O130" s="417"/>
      <c r="P130" s="72"/>
      <c r="Q130" s="72"/>
      <c r="R130" s="72"/>
      <c r="S130" s="72"/>
      <c r="T130" s="72"/>
      <c r="U130" s="72"/>
      <c r="V130" s="72"/>
      <c r="W130" s="72"/>
      <c r="X130" s="417"/>
      <c r="Y130" s="417"/>
      <c r="Z130" s="417"/>
      <c r="AA130" s="417"/>
      <c r="AB130" s="417"/>
    </row>
    <row r="131" spans="1:28" ht="5.0999999999999996" customHeight="1" x14ac:dyDescent="0.2">
      <c r="A131" s="72"/>
      <c r="B131" s="417"/>
      <c r="C131" s="417"/>
      <c r="D131" s="417"/>
      <c r="E131" s="411"/>
      <c r="F131" s="411"/>
      <c r="G131" s="411"/>
      <c r="H131" s="411"/>
      <c r="I131" s="411"/>
      <c r="J131" s="411"/>
      <c r="K131" s="411"/>
      <c r="L131" s="417"/>
      <c r="M131" s="417"/>
      <c r="N131" s="417"/>
      <c r="O131" s="417"/>
      <c r="P131" s="72"/>
      <c r="Q131" s="72"/>
      <c r="R131" s="72"/>
      <c r="S131" s="72"/>
      <c r="T131" s="72"/>
      <c r="U131" s="72"/>
      <c r="V131" s="72"/>
      <c r="W131" s="72"/>
      <c r="X131" s="417"/>
      <c r="Y131" s="417"/>
      <c r="Z131" s="417"/>
      <c r="AA131" s="417"/>
      <c r="AB131" s="417"/>
    </row>
    <row r="132" spans="1:28" ht="25.5" x14ac:dyDescent="0.2">
      <c r="A132" s="72"/>
      <c r="B132" s="417"/>
      <c r="C132" s="417"/>
      <c r="D132" s="417"/>
      <c r="E132" s="279"/>
      <c r="F132" s="280"/>
      <c r="G132" s="281"/>
      <c r="H132" s="50"/>
      <c r="I132" s="51" t="str">
        <f>Translations!$B$664</f>
        <v>default or latest value</v>
      </c>
      <c r="J132" s="51" t="str">
        <f>Translations!$B$536</f>
        <v>Unit</v>
      </c>
      <c r="K132" s="51" t="str">
        <f>Translations!$B$537</f>
        <v>source ref</v>
      </c>
      <c r="L132" s="51" t="str">
        <f>Translations!$B$538</f>
        <v>analysis ref</v>
      </c>
      <c r="M132" s="51" t="str">
        <f>Translations!$B$665</f>
        <v>date of latest analysis</v>
      </c>
      <c r="N132" s="51" t="str">
        <f>Translations!$B$540</f>
        <v>Analysis frequency</v>
      </c>
      <c r="O132" s="417"/>
      <c r="P132" s="72"/>
      <c r="Q132" s="72"/>
      <c r="R132" s="72"/>
      <c r="S132" s="72"/>
      <c r="T132" s="72"/>
      <c r="U132" s="72"/>
      <c r="V132" s="72"/>
      <c r="W132" s="72"/>
      <c r="X132" s="417"/>
      <c r="Y132" s="417"/>
      <c r="Z132" s="417"/>
      <c r="AA132" s="417"/>
      <c r="AB132" s="417"/>
    </row>
    <row r="133" spans="1:28" x14ac:dyDescent="0.2">
      <c r="A133" s="72"/>
      <c r="B133" s="417"/>
      <c r="C133" s="417"/>
      <c r="D133" s="417"/>
      <c r="E133" s="282" t="str">
        <f>Translations!$B$668</f>
        <v>Collection efficiency</v>
      </c>
      <c r="F133" s="283"/>
      <c r="G133" s="284"/>
      <c r="H133" s="50"/>
      <c r="I133" s="197"/>
      <c r="J133" s="197"/>
      <c r="K133" s="270"/>
      <c r="L133" s="271"/>
      <c r="M133" s="271"/>
      <c r="N133" s="272"/>
      <c r="O133" s="417"/>
      <c r="P133" s="72"/>
      <c r="Q133" s="72"/>
      <c r="R133" s="72"/>
      <c r="S133" s="72"/>
      <c r="T133" s="72"/>
      <c r="U133" s="285" t="str">
        <f>U127</f>
        <v/>
      </c>
      <c r="V133" s="285">
        <v>0</v>
      </c>
      <c r="W133" s="92" t="b">
        <f>IF($L$6=EUconst_NotRelevant,TRUE,IF(V133&gt;0,(V133&lt;&gt;U133),IF(U133="",TRUE,FALSE)))</f>
        <v>1</v>
      </c>
      <c r="X133" s="417"/>
      <c r="Y133" s="417"/>
      <c r="Z133" s="417"/>
      <c r="AA133" s="417"/>
      <c r="AB133" s="417"/>
    </row>
    <row r="134" spans="1:28" x14ac:dyDescent="0.2">
      <c r="A134" s="72"/>
      <c r="B134" s="417"/>
      <c r="C134" s="417"/>
      <c r="D134" s="411"/>
      <c r="E134" s="411"/>
      <c r="F134" s="411"/>
      <c r="G134" s="411"/>
      <c r="H134" s="411"/>
      <c r="I134" s="411"/>
      <c r="J134" s="411"/>
      <c r="K134" s="417"/>
      <c r="L134" s="417"/>
      <c r="M134" s="417"/>
      <c r="N134" s="417"/>
      <c r="O134" s="417"/>
      <c r="P134" s="72"/>
      <c r="Q134" s="72"/>
      <c r="R134" s="72"/>
      <c r="S134" s="72"/>
      <c r="T134" s="72"/>
      <c r="U134" s="15"/>
      <c r="V134" s="15"/>
      <c r="W134" s="15"/>
      <c r="X134" s="417"/>
      <c r="Y134" s="417"/>
      <c r="Z134" s="417"/>
      <c r="AA134" s="417"/>
      <c r="AB134" s="417"/>
    </row>
    <row r="135" spans="1:28" ht="15" x14ac:dyDescent="0.2">
      <c r="A135" s="72"/>
      <c r="B135" s="417"/>
      <c r="C135" s="417"/>
      <c r="D135" s="1040" t="str">
        <f>Translations!$B$44</f>
        <v>Comments</v>
      </c>
      <c r="E135" s="1040"/>
      <c r="F135" s="1040"/>
      <c r="G135" s="1040"/>
      <c r="H135" s="1040"/>
      <c r="I135" s="1040"/>
      <c r="J135" s="1040"/>
      <c r="K135" s="1040"/>
      <c r="L135" s="1040"/>
      <c r="M135" s="1040"/>
      <c r="N135" s="1040"/>
      <c r="O135" s="417"/>
      <c r="P135" s="72"/>
      <c r="Q135" s="72"/>
      <c r="R135" s="72"/>
      <c r="S135" s="72"/>
      <c r="T135" s="72"/>
      <c r="U135" s="15"/>
      <c r="V135" s="15"/>
      <c r="W135" s="15"/>
      <c r="X135" s="417"/>
      <c r="Y135" s="417"/>
      <c r="Z135" s="417"/>
      <c r="AA135" s="417"/>
      <c r="AB135" s="417"/>
    </row>
    <row r="136" spans="1:28" s="11" customFormat="1" ht="12.75" customHeight="1" x14ac:dyDescent="0.2">
      <c r="A136" s="15"/>
      <c r="D136" s="13" t="s">
        <v>853</v>
      </c>
      <c r="E136" s="924" t="str">
        <f>Translations!$B$546</f>
        <v>Comments:</v>
      </c>
      <c r="F136" s="924"/>
      <c r="G136" s="924"/>
      <c r="H136" s="924"/>
      <c r="I136" s="924"/>
      <c r="J136" s="924"/>
      <c r="K136" s="924"/>
      <c r="L136" s="924"/>
      <c r="M136" s="924"/>
      <c r="N136" s="924"/>
      <c r="O136" s="417"/>
      <c r="P136" s="15"/>
      <c r="Q136" s="15"/>
      <c r="R136" s="15"/>
      <c r="S136" s="15"/>
      <c r="T136" s="15"/>
      <c r="U136" s="15"/>
      <c r="V136" s="15"/>
      <c r="W136" s="15"/>
    </row>
    <row r="137" spans="1:28" s="11" customFormat="1" ht="25.5" customHeight="1" x14ac:dyDescent="0.2">
      <c r="A137" s="15"/>
      <c r="D137" s="13"/>
      <c r="E137" s="869" t="str">
        <f>Translations!$B$669</f>
        <v>Please provide any relevant comments below. Explanations may in particular be required for how the calculation factors are determined, which measuring instruments and process control equipment are used for determining the activity data, etc.</v>
      </c>
      <c r="F137" s="869"/>
      <c r="G137" s="869"/>
      <c r="H137" s="869"/>
      <c r="I137" s="869"/>
      <c r="J137" s="869"/>
      <c r="K137" s="869"/>
      <c r="L137" s="869"/>
      <c r="M137" s="869"/>
      <c r="N137" s="869"/>
      <c r="O137" s="417"/>
      <c r="P137" s="15"/>
      <c r="Q137" s="15"/>
      <c r="R137" s="15"/>
      <c r="S137" s="15"/>
      <c r="T137" s="15"/>
      <c r="U137" s="15"/>
      <c r="V137" s="15"/>
      <c r="W137" s="15"/>
    </row>
    <row r="138" spans="1:28" s="11" customFormat="1" ht="5.0999999999999996" customHeight="1" x14ac:dyDescent="0.2">
      <c r="A138" s="15"/>
      <c r="D138" s="13"/>
      <c r="E138" s="273"/>
      <c r="O138" s="417"/>
      <c r="P138" s="15"/>
      <c r="Q138" s="15"/>
      <c r="R138" s="15"/>
      <c r="S138" s="15"/>
      <c r="T138" s="15"/>
      <c r="U138" s="15"/>
      <c r="V138" s="15"/>
      <c r="W138" s="15"/>
    </row>
    <row r="139" spans="1:28" s="11" customFormat="1" ht="12.75" customHeight="1" x14ac:dyDescent="0.2">
      <c r="A139" s="15"/>
      <c r="D139" s="13"/>
      <c r="E139" s="1164"/>
      <c r="F139" s="1165"/>
      <c r="G139" s="1165"/>
      <c r="H139" s="1165"/>
      <c r="I139" s="1165"/>
      <c r="J139" s="1165"/>
      <c r="K139" s="1165"/>
      <c r="L139" s="1165"/>
      <c r="M139" s="1165"/>
      <c r="N139" s="1166"/>
      <c r="O139" s="417"/>
      <c r="P139" s="15"/>
      <c r="Q139" s="15"/>
      <c r="R139" s="15"/>
      <c r="S139" s="15"/>
      <c r="T139" s="15"/>
      <c r="U139" s="285" t="str">
        <f>U133</f>
        <v/>
      </c>
      <c r="V139" s="285">
        <v>0</v>
      </c>
      <c r="W139" s="92" t="b">
        <f>IF($L$6=EUconst_NotRelevant,TRUE,IF(V139&gt;0,(V139&lt;&gt;U139),IF(U139="",TRUE,FALSE)))</f>
        <v>1</v>
      </c>
    </row>
    <row r="140" spans="1:28" s="11" customFormat="1" ht="12.75" customHeight="1" x14ac:dyDescent="0.2">
      <c r="A140" s="15"/>
      <c r="D140" s="13"/>
      <c r="E140" s="1170"/>
      <c r="F140" s="1171"/>
      <c r="G140" s="1171"/>
      <c r="H140" s="1171"/>
      <c r="I140" s="1171"/>
      <c r="J140" s="1171"/>
      <c r="K140" s="1171"/>
      <c r="L140" s="1171"/>
      <c r="M140" s="1171"/>
      <c r="N140" s="1172"/>
      <c r="O140" s="417"/>
      <c r="P140" s="15"/>
      <c r="Q140" s="15"/>
      <c r="R140" s="15"/>
      <c r="S140" s="15"/>
      <c r="T140" s="15"/>
      <c r="U140" s="285" t="str">
        <f>U139</f>
        <v/>
      </c>
      <c r="V140" s="285">
        <v>0</v>
      </c>
      <c r="W140" s="92" t="b">
        <f>IF($L$6=EUconst_NotRelevant,TRUE,IF(V140&gt;0,(V140&lt;&gt;U140),IF(U140="",TRUE,FALSE)))</f>
        <v>1</v>
      </c>
    </row>
    <row r="141" spans="1:28" s="11" customFormat="1" ht="12.75" customHeight="1" x14ac:dyDescent="0.2">
      <c r="A141" s="15"/>
      <c r="D141" s="13"/>
      <c r="E141" s="1167"/>
      <c r="F141" s="1168"/>
      <c r="G141" s="1168"/>
      <c r="H141" s="1168"/>
      <c r="I141" s="1168"/>
      <c r="J141" s="1168"/>
      <c r="K141" s="1168"/>
      <c r="L141" s="1168"/>
      <c r="M141" s="1168"/>
      <c r="N141" s="1169"/>
      <c r="O141" s="417"/>
      <c r="P141" s="15"/>
      <c r="Q141" s="15"/>
      <c r="R141" s="15"/>
      <c r="S141" s="15"/>
      <c r="T141" s="15"/>
      <c r="U141" s="285" t="str">
        <f>U140</f>
        <v/>
      </c>
      <c r="V141" s="285">
        <v>0</v>
      </c>
      <c r="W141" s="92" t="b">
        <f>IF($L$6=EUconst_NotRelevant,TRUE,IF(V141&gt;0,(V141&lt;&gt;U141),IF(U141="",TRUE,FALSE)))</f>
        <v>1</v>
      </c>
    </row>
    <row r="142" spans="1:28" s="11" customFormat="1" x14ac:dyDescent="0.2">
      <c r="A142" s="15"/>
      <c r="D142" s="13"/>
      <c r="O142" s="417"/>
      <c r="P142" s="15"/>
      <c r="Q142" s="15"/>
      <c r="R142" s="15"/>
      <c r="S142" s="15"/>
      <c r="T142" s="15"/>
      <c r="U142" s="15"/>
      <c r="V142" s="15"/>
      <c r="W142" s="15"/>
    </row>
    <row r="143" spans="1:28" s="11" customFormat="1" ht="12.75" customHeight="1" x14ac:dyDescent="0.2">
      <c r="A143" s="15"/>
      <c r="D143" s="13" t="s">
        <v>854</v>
      </c>
      <c r="E143" s="924" t="str">
        <f>Translations!$B$548</f>
        <v>Justification if required tiers are not applied:</v>
      </c>
      <c r="F143" s="924"/>
      <c r="G143" s="924"/>
      <c r="H143" s="924"/>
      <c r="I143" s="924"/>
      <c r="J143" s="924"/>
      <c r="K143" s="924"/>
      <c r="L143" s="924"/>
      <c r="M143" s="924"/>
      <c r="N143" s="924"/>
      <c r="O143" s="417"/>
      <c r="P143" s="15"/>
      <c r="Q143" s="15"/>
      <c r="R143" s="15"/>
      <c r="S143" s="15"/>
      <c r="T143" s="15"/>
      <c r="U143" s="15"/>
      <c r="V143" s="15"/>
      <c r="W143" s="15"/>
    </row>
    <row r="144" spans="1:28" s="11" customFormat="1" ht="12.75" customHeight="1" x14ac:dyDescent="0.2">
      <c r="A144" s="15"/>
      <c r="D144" s="13"/>
      <c r="E144" s="869" t="str">
        <f>Translations!$B$549</f>
        <v>If any of the tiers required pursuant to Article 26 is not applied for activity data or any of the applicable calculation factors, please give a justification here.</v>
      </c>
      <c r="F144" s="869"/>
      <c r="G144" s="869"/>
      <c r="H144" s="869"/>
      <c r="I144" s="869"/>
      <c r="J144" s="869"/>
      <c r="K144" s="869"/>
      <c r="L144" s="869"/>
      <c r="M144" s="869"/>
      <c r="N144" s="869"/>
      <c r="O144" s="417"/>
      <c r="P144" s="15"/>
      <c r="Q144" s="15"/>
      <c r="R144" s="15"/>
      <c r="S144" s="15"/>
      <c r="T144" s="15"/>
      <c r="U144" s="15"/>
      <c r="V144" s="15"/>
      <c r="W144" s="15"/>
    </row>
    <row r="145" spans="1:28" ht="25.5" customHeight="1" x14ac:dyDescent="0.2">
      <c r="A145" s="72"/>
      <c r="E145" s="869" t="str">
        <f>Translations!$B$550</f>
        <v>Where an improvement plan is required in accordance with Article 26, this should be submitted with this monitoring plan and referenced below. Where justification is based upon unreasonable costs, in accordance with Article 18, this calculation should be submitted with this monitoring plan and referenced within the justification below.</v>
      </c>
      <c r="F145" s="869"/>
      <c r="G145" s="869"/>
      <c r="H145" s="869"/>
      <c r="I145" s="869"/>
      <c r="J145" s="869"/>
      <c r="K145" s="869"/>
      <c r="L145" s="869"/>
      <c r="M145" s="869"/>
      <c r="N145" s="869"/>
      <c r="O145" s="417"/>
      <c r="P145" s="114"/>
      <c r="Q145" s="72"/>
      <c r="R145" s="72"/>
      <c r="S145" s="72"/>
      <c r="T145" s="72"/>
      <c r="U145" s="72"/>
      <c r="V145" s="72"/>
      <c r="W145" s="72"/>
    </row>
    <row r="146" spans="1:28" ht="5.0999999999999996" customHeight="1" x14ac:dyDescent="0.2">
      <c r="A146" s="72"/>
      <c r="E146" s="67"/>
      <c r="F146" s="67"/>
      <c r="G146" s="67"/>
      <c r="H146" s="67"/>
      <c r="I146" s="67"/>
      <c r="J146" s="67"/>
      <c r="K146" s="67"/>
      <c r="L146" s="67"/>
      <c r="M146" s="67"/>
      <c r="N146" s="113"/>
      <c r="O146" s="417"/>
      <c r="P146" s="114"/>
      <c r="Q146" s="72"/>
      <c r="R146" s="72"/>
      <c r="S146" s="72"/>
      <c r="T146" s="72"/>
      <c r="U146" s="72"/>
      <c r="V146" s="72"/>
      <c r="W146" s="72"/>
    </row>
    <row r="147" spans="1:28" s="11" customFormat="1" ht="12.75" customHeight="1" x14ac:dyDescent="0.2">
      <c r="A147" s="15"/>
      <c r="D147" s="13"/>
      <c r="E147" s="1164"/>
      <c r="F147" s="1165"/>
      <c r="G147" s="1165"/>
      <c r="H147" s="1165"/>
      <c r="I147" s="1165"/>
      <c r="J147" s="1165"/>
      <c r="K147" s="1165"/>
      <c r="L147" s="1165"/>
      <c r="M147" s="1165"/>
      <c r="N147" s="1166"/>
      <c r="O147" s="417"/>
      <c r="P147" s="15"/>
      <c r="Q147" s="15"/>
      <c r="R147" s="15"/>
      <c r="S147" s="15"/>
      <c r="T147" s="15"/>
      <c r="U147" s="285" t="str">
        <f>U141</f>
        <v/>
      </c>
      <c r="V147" s="285">
        <v>0</v>
      </c>
      <c r="W147" s="92" t="b">
        <f>IF($L$6=EUconst_NotRelevant,TRUE,IF(V147&gt;0,(V147&lt;&gt;U147),IF(U147="",TRUE,FALSE)))</f>
        <v>1</v>
      </c>
    </row>
    <row r="148" spans="1:28" s="11" customFormat="1" ht="12.75" customHeight="1" x14ac:dyDescent="0.2">
      <c r="A148" s="15"/>
      <c r="D148" s="13"/>
      <c r="E148" s="1170"/>
      <c r="F148" s="1171"/>
      <c r="G148" s="1171"/>
      <c r="H148" s="1171"/>
      <c r="I148" s="1171"/>
      <c r="J148" s="1171"/>
      <c r="K148" s="1171"/>
      <c r="L148" s="1171"/>
      <c r="M148" s="1171"/>
      <c r="N148" s="1172"/>
      <c r="O148" s="417"/>
      <c r="P148" s="15"/>
      <c r="Q148" s="15"/>
      <c r="R148" s="15"/>
      <c r="S148" s="15"/>
      <c r="T148" s="15"/>
      <c r="U148" s="285" t="str">
        <f>U147</f>
        <v/>
      </c>
      <c r="V148" s="285">
        <v>0</v>
      </c>
      <c r="W148" s="92" t="b">
        <f>IF($L$6=EUconst_NotRelevant,TRUE,IF(V148&gt;0,(V148&lt;&gt;U148),IF(U148="",TRUE,FALSE)))</f>
        <v>1</v>
      </c>
    </row>
    <row r="149" spans="1:28" s="11" customFormat="1" ht="12.75" customHeight="1" x14ac:dyDescent="0.2">
      <c r="A149" s="15"/>
      <c r="D149" s="13"/>
      <c r="E149" s="1167"/>
      <c r="F149" s="1168"/>
      <c r="G149" s="1168"/>
      <c r="H149" s="1168"/>
      <c r="I149" s="1168"/>
      <c r="J149" s="1168"/>
      <c r="K149" s="1168"/>
      <c r="L149" s="1168"/>
      <c r="M149" s="1168"/>
      <c r="N149" s="1169"/>
      <c r="O149" s="417"/>
      <c r="P149" s="15"/>
      <c r="Q149" s="15"/>
      <c r="R149" s="15"/>
      <c r="S149" s="15"/>
      <c r="T149" s="15"/>
      <c r="U149" s="285" t="str">
        <f>U148</f>
        <v/>
      </c>
      <c r="V149" s="285">
        <v>0</v>
      </c>
      <c r="W149" s="92" t="b">
        <f>IF($L$6=EUconst_NotRelevant,TRUE,IF(V149&gt;0,(V149&lt;&gt;U149),IF(U149="",TRUE,FALSE)))</f>
        <v>1</v>
      </c>
    </row>
    <row r="150" spans="1:28" ht="12.75" customHeight="1" collapsed="1" thickBot="1" x14ac:dyDescent="0.25">
      <c r="A150" s="17"/>
      <c r="B150" s="11"/>
      <c r="C150" s="54"/>
      <c r="D150" s="55"/>
      <c r="E150" s="56"/>
      <c r="F150" s="54"/>
      <c r="G150" s="57"/>
      <c r="H150" s="57"/>
      <c r="I150" s="57"/>
      <c r="J150" s="57"/>
      <c r="K150" s="57"/>
      <c r="L150" s="57"/>
      <c r="M150" s="57"/>
      <c r="N150" s="57"/>
      <c r="O150" s="417"/>
      <c r="P150" s="15"/>
      <c r="Q150" s="72"/>
      <c r="R150" s="72"/>
      <c r="S150" s="75"/>
      <c r="T150" s="72"/>
      <c r="U150" s="72"/>
      <c r="V150" s="72"/>
      <c r="W150" s="72"/>
    </row>
    <row r="151" spans="1:28" ht="13.5" thickBot="1" x14ac:dyDescent="0.25">
      <c r="A151" s="72"/>
      <c r="B151" s="417"/>
      <c r="C151" s="417"/>
      <c r="D151" s="411"/>
      <c r="E151" s="411"/>
      <c r="F151" s="411"/>
      <c r="G151" s="411"/>
      <c r="H151" s="411"/>
      <c r="I151" s="411"/>
      <c r="J151" s="411"/>
      <c r="K151" s="417"/>
      <c r="L151" s="417"/>
      <c r="M151" s="417"/>
      <c r="N151" s="417"/>
      <c r="O151" s="417"/>
      <c r="P151" s="72"/>
      <c r="Q151" s="72"/>
      <c r="R151" s="72"/>
      <c r="S151" s="72"/>
      <c r="T151" s="72"/>
      <c r="U151" s="72"/>
      <c r="V151" s="72"/>
      <c r="W151" s="72"/>
      <c r="X151" s="417"/>
      <c r="Y151" s="417"/>
      <c r="Z151" s="417"/>
      <c r="AA151" s="417"/>
      <c r="AB151" s="417"/>
    </row>
    <row r="152" spans="1:28" ht="15.75" thickBot="1" x14ac:dyDescent="0.25">
      <c r="A152" s="72"/>
      <c r="B152" s="417"/>
      <c r="C152" s="267" t="str">
        <f>INDEX($D$50:$D$55,Q152)</f>
        <v/>
      </c>
      <c r="D152" s="1040" t="str">
        <f>CONCATENATE(Euconst_SourceStream," ", Q152,":")</f>
        <v>Source Stream 2:</v>
      </c>
      <c r="E152" s="1040"/>
      <c r="F152" s="1040"/>
      <c r="G152" s="1066"/>
      <c r="H152" s="1067" t="str">
        <f>IF(INDEX($E$50:$E$55,Q152)="","",INDEX($E$50:$E$55,Q152))</f>
        <v/>
      </c>
      <c r="I152" s="1067"/>
      <c r="J152" s="1067"/>
      <c r="K152" s="1067"/>
      <c r="L152" s="1068"/>
      <c r="M152" s="1069" t="str">
        <f>IF(S152=TRUE,IF(U152="",T152,U152),"")</f>
        <v/>
      </c>
      <c r="N152" s="1070"/>
      <c r="O152" s="417"/>
      <c r="P152" s="72"/>
      <c r="Q152" s="33">
        <f>Q71+1</f>
        <v>2</v>
      </c>
      <c r="R152" s="37"/>
      <c r="S152" s="40" t="b">
        <f>IF(INDEX(C_InstallationDescription!$M:$M,MATCH(Q154,C_InstallationDescription!$Q:$Q,0))="",FALSE,TRUE)</f>
        <v>0</v>
      </c>
      <c r="T152" s="92" t="str">
        <f>IF(S152=TRUE,INDEX(C_InstallationDescription!$M:$M,MATCH(Q154,C_InstallationDescription!$Q:$Q,0)),"")</f>
        <v/>
      </c>
      <c r="U152" s="40" t="str">
        <f>IF(S152=TRUE,IF(ISBLANK(INDEX(C_InstallationDescription!$N:$N,MATCH(Q154,C_InstallationDescription!$Q:$Q,0))),"",INDEX(C_InstallationDescription!$N:$N,MATCH(Q154,C_InstallationDescription!$Q:$Q,0))),"")</f>
        <v/>
      </c>
      <c r="V152" s="285" t="str">
        <f>IF(ISNUMBER(INDEX(CNTR_ListPFCmethods,Q152)),INDEX(CNTR_ListPFCmethods,Q152),"")</f>
        <v/>
      </c>
      <c r="W152" s="72"/>
      <c r="X152" s="417"/>
      <c r="Y152" s="417"/>
      <c r="Z152" s="417"/>
      <c r="AA152" s="417"/>
      <c r="AB152" s="417"/>
    </row>
    <row r="153" spans="1:28" ht="5.0999999999999996" customHeight="1" x14ac:dyDescent="0.2">
      <c r="A153" s="72"/>
      <c r="C153" s="13"/>
      <c r="D153" s="257"/>
      <c r="E153" s="257"/>
      <c r="F153" s="257"/>
      <c r="G153" s="257"/>
      <c r="H153" s="276"/>
      <c r="I153" s="276"/>
      <c r="J153" s="276"/>
      <c r="K153" s="276"/>
      <c r="L153" s="276"/>
      <c r="M153" s="277"/>
      <c r="N153" s="277"/>
      <c r="P153" s="72"/>
      <c r="Q153" s="12"/>
      <c r="R153" s="23"/>
      <c r="S153" s="23"/>
      <c r="T153" s="23"/>
      <c r="U153" s="23"/>
      <c r="V153" s="72"/>
      <c r="W153" s="72"/>
      <c r="X153" s="417"/>
      <c r="Y153" s="417"/>
      <c r="Z153" s="417"/>
      <c r="AA153" s="417"/>
      <c r="AB153" s="417"/>
    </row>
    <row r="154" spans="1:28" s="24" customFormat="1" ht="12.75" customHeight="1" x14ac:dyDescent="0.2">
      <c r="A154" s="72"/>
      <c r="B154" s="8"/>
      <c r="C154" s="8"/>
      <c r="D154" s="13"/>
      <c r="E154" s="924" t="str">
        <f>Translations!$B$437</f>
        <v>Source stream type:</v>
      </c>
      <c r="F154" s="924"/>
      <c r="G154" s="925"/>
      <c r="H154" s="1071" t="str">
        <f>IF(INDEX($H$50:$H$55,Q152)="","",INDEX($H$50:$H$55,Q152))</f>
        <v/>
      </c>
      <c r="I154" s="1072"/>
      <c r="J154" s="1072"/>
      <c r="K154" s="1072"/>
      <c r="L154" s="1073"/>
      <c r="O154" s="7"/>
      <c r="P154" s="17"/>
      <c r="Q154" s="39" t="str">
        <f>EUconst_CNTR_SourceCategory&amp;C152</f>
        <v>SourceCategory_</v>
      </c>
      <c r="R154" s="23"/>
      <c r="S154" s="23"/>
      <c r="T154" s="23"/>
      <c r="U154" s="23"/>
      <c r="V154" s="23"/>
      <c r="W154" s="23"/>
    </row>
    <row r="155" spans="1:28" s="24" customFormat="1" outlineLevel="1" x14ac:dyDescent="0.2">
      <c r="A155" s="29"/>
      <c r="B155" s="8"/>
      <c r="C155" s="8"/>
      <c r="D155" s="11"/>
      <c r="E155" s="924" t="str">
        <f>Translations!$B$438</f>
        <v>Method applicable according to MRR:</v>
      </c>
      <c r="F155" s="924"/>
      <c r="G155" s="925"/>
      <c r="H155" s="1062" t="str">
        <f>IF(H154="","",INDEX(EUwideConstants!$F$265:$F$325,MATCH(H154,EUConst_TierActivityListNames,0)))</f>
        <v/>
      </c>
      <c r="I155" s="1062"/>
      <c r="J155" s="1062"/>
      <c r="K155" s="1062"/>
      <c r="L155" s="1062"/>
      <c r="M155" s="2"/>
      <c r="N155" s="2"/>
      <c r="O155" s="7"/>
      <c r="P155" s="17"/>
      <c r="Q155" s="12"/>
      <c r="R155" s="23"/>
      <c r="S155" s="23"/>
      <c r="T155" s="23"/>
      <c r="U155" s="23"/>
      <c r="V155" s="23"/>
      <c r="W155" s="23"/>
    </row>
    <row r="156" spans="1:28" s="24" customFormat="1" ht="25.5" customHeight="1" outlineLevel="1" x14ac:dyDescent="0.2">
      <c r="A156" s="29"/>
      <c r="D156" s="38"/>
      <c r="E156" s="924" t="str">
        <f>Translations!$B$439</f>
        <v>Parameter to which uncertainty applies:</v>
      </c>
      <c r="F156" s="924"/>
      <c r="G156" s="925"/>
      <c r="H156" s="1175" t="str">
        <f>IF(H154="","",INDEX(EUwideConstants!$E$265:$E$325,MATCH(H154,EUConst_TierActivityListNames,0)))</f>
        <v/>
      </c>
      <c r="I156" s="1176"/>
      <c r="J156" s="1176"/>
      <c r="K156" s="1176"/>
      <c r="L156" s="1177"/>
      <c r="P156" s="17"/>
      <c r="Q156" s="12"/>
      <c r="R156" s="23"/>
      <c r="S156" s="23"/>
      <c r="T156" s="23"/>
      <c r="U156" s="23"/>
      <c r="V156" s="23"/>
      <c r="W156" s="23"/>
    </row>
    <row r="157" spans="1:28" s="24" customFormat="1" ht="5.0999999999999996" customHeight="1" outlineLevel="1" x14ac:dyDescent="0.2">
      <c r="A157" s="29"/>
      <c r="D157" s="38"/>
      <c r="E157" s="129"/>
      <c r="F157" s="129"/>
      <c r="G157" s="129"/>
      <c r="H157" s="134"/>
      <c r="I157" s="134"/>
      <c r="J157" s="134"/>
      <c r="K157" s="134"/>
      <c r="L157" s="134"/>
      <c r="P157" s="17"/>
      <c r="Q157" s="12"/>
      <c r="R157" s="23"/>
      <c r="S157" s="23"/>
      <c r="T157" s="23"/>
      <c r="U157" s="23"/>
      <c r="V157" s="23"/>
      <c r="W157" s="23"/>
    </row>
    <row r="158" spans="1:28" s="11" customFormat="1" ht="15" outlineLevel="1" x14ac:dyDescent="0.2">
      <c r="A158" s="15"/>
      <c r="C158" s="13"/>
      <c r="D158" s="1040" t="str">
        <f>Translations!$B$446</f>
        <v>Automatic guidance on applicable tiers:</v>
      </c>
      <c r="E158" s="1040"/>
      <c r="F158" s="1040"/>
      <c r="G158" s="1040"/>
      <c r="H158" s="1040"/>
      <c r="I158" s="1040"/>
      <c r="J158" s="1040"/>
      <c r="K158" s="1040"/>
      <c r="L158" s="1040"/>
      <c r="M158" s="1040"/>
      <c r="N158" s="1040"/>
      <c r="O158" s="417"/>
      <c r="P158" s="15"/>
      <c r="Q158" s="15"/>
      <c r="R158" s="15"/>
      <c r="S158" s="15"/>
      <c r="T158" s="15"/>
      <c r="U158" s="15"/>
      <c r="V158" s="15"/>
      <c r="W158" s="15"/>
    </row>
    <row r="159" spans="1:28" s="11" customFormat="1" ht="5.0999999999999996" customHeight="1" outlineLevel="1" x14ac:dyDescent="0.2">
      <c r="A159" s="15"/>
      <c r="C159" s="13"/>
      <c r="D159" s="257"/>
      <c r="E159" s="257"/>
      <c r="F159" s="257"/>
      <c r="G159" s="257"/>
      <c r="H159" s="257"/>
      <c r="I159" s="257"/>
      <c r="J159" s="257"/>
      <c r="K159" s="257"/>
      <c r="L159" s="257"/>
      <c r="M159" s="257"/>
      <c r="N159" s="257"/>
      <c r="O159" s="417"/>
      <c r="P159" s="15"/>
      <c r="Q159" s="15"/>
      <c r="R159" s="15"/>
      <c r="S159" s="15"/>
      <c r="T159" s="15"/>
      <c r="U159" s="15"/>
      <c r="V159" s="15"/>
      <c r="W159" s="15"/>
    </row>
    <row r="160" spans="1:28" s="11" customFormat="1" ht="51" customHeight="1" outlineLevel="1" x14ac:dyDescent="0.2">
      <c r="A160" s="15"/>
      <c r="C160" s="13"/>
      <c r="E160" s="1063" t="str">
        <f>IF(H152="","",INDEX(EUconst_SmallEmiSouStreamMsg,MATCH(Q160,EUconst_SmallEmiSouStream,0)))</f>
        <v/>
      </c>
      <c r="F160" s="1064"/>
      <c r="G160" s="1064"/>
      <c r="H160" s="1064"/>
      <c r="I160" s="1064"/>
      <c r="J160" s="1064"/>
      <c r="K160" s="1064"/>
      <c r="L160" s="1064"/>
      <c r="M160" s="1064"/>
      <c r="N160" s="1065"/>
      <c r="O160" s="417"/>
      <c r="P160" s="15"/>
      <c r="Q160" s="275" t="str">
        <f>IF(ISBLANK(CNTR_SmallEmitter),IF(CNTR_SmallEmitter=TRUE,EUconst_CNTR_SmallEmitter,EUconst_CNTR_NoSmallEmitter),EUconst_CNTR_NoSmallEmitter) &amp; IF((CNTR_Category)="","C",CNTR_Category) &amp; "_" &amp; IF(M152="",1,MATCH(M152,SourceCategory,0))</f>
        <v>NoSmallEmitter_C_1</v>
      </c>
      <c r="R160" s="15"/>
      <c r="S160" s="15"/>
      <c r="T160" s="15"/>
      <c r="U160" s="15"/>
      <c r="V160" s="15"/>
      <c r="W160" s="15"/>
    </row>
    <row r="161" spans="1:28" ht="5.0999999999999996" customHeight="1" outlineLevel="1" x14ac:dyDescent="0.2">
      <c r="A161" s="72"/>
      <c r="B161" s="417"/>
      <c r="C161" s="417"/>
      <c r="D161" s="411"/>
      <c r="E161" s="411"/>
      <c r="F161" s="411"/>
      <c r="G161" s="411"/>
      <c r="H161" s="411"/>
      <c r="I161" s="411"/>
      <c r="J161" s="411"/>
      <c r="K161" s="417"/>
      <c r="L161" s="417"/>
      <c r="M161" s="417"/>
      <c r="N161" s="417"/>
      <c r="O161" s="417"/>
      <c r="P161" s="72"/>
      <c r="Q161" s="72"/>
      <c r="R161" s="72"/>
      <c r="S161" s="72"/>
      <c r="T161" s="72"/>
      <c r="U161" s="72"/>
      <c r="V161" s="72"/>
      <c r="W161" s="72"/>
      <c r="X161" s="417"/>
      <c r="Y161" s="417"/>
      <c r="Z161" s="417"/>
      <c r="AA161" s="417"/>
      <c r="AB161" s="417"/>
    </row>
    <row r="162" spans="1:28" ht="15" customHeight="1" outlineLevel="1" x14ac:dyDescent="0.2">
      <c r="A162" s="72"/>
      <c r="B162" s="417"/>
      <c r="C162" s="278"/>
      <c r="D162" s="1040" t="str">
        <f>Translations!$B$652</f>
        <v>Activity Data</v>
      </c>
      <c r="E162" s="1040"/>
      <c r="F162" s="1040"/>
      <c r="G162" s="1040"/>
      <c r="H162" s="1040"/>
      <c r="I162" s="1040"/>
      <c r="J162" s="1040"/>
      <c r="K162" s="1040"/>
      <c r="L162" s="1040"/>
      <c r="M162" s="1040"/>
      <c r="N162" s="1040"/>
      <c r="O162" s="417"/>
      <c r="P162" s="72"/>
      <c r="Q162" s="72"/>
      <c r="R162" s="72"/>
      <c r="S162" s="72"/>
      <c r="T162" s="72"/>
      <c r="U162" s="72"/>
      <c r="V162" s="72"/>
      <c r="W162" s="72"/>
      <c r="X162" s="417"/>
      <c r="Y162" s="417"/>
      <c r="Z162" s="417"/>
      <c r="AA162" s="417"/>
      <c r="AB162" s="417"/>
    </row>
    <row r="163" spans="1:28" ht="5.0999999999999996" customHeight="1" outlineLevel="1" x14ac:dyDescent="0.2">
      <c r="A163" s="72"/>
      <c r="B163" s="417"/>
      <c r="C163" s="278"/>
      <c r="D163" s="257"/>
      <c r="E163" s="257"/>
      <c r="F163" s="257"/>
      <c r="G163" s="257"/>
      <c r="H163" s="257"/>
      <c r="I163" s="257"/>
      <c r="J163" s="257"/>
      <c r="K163" s="257"/>
      <c r="L163" s="257"/>
      <c r="M163" s="257"/>
      <c r="N163" s="257"/>
      <c r="O163" s="417"/>
      <c r="P163" s="72"/>
      <c r="Q163" s="72"/>
      <c r="R163" s="72"/>
      <c r="S163" s="72"/>
      <c r="T163" s="72"/>
      <c r="U163" s="72"/>
      <c r="V163" s="72"/>
      <c r="W163" s="72"/>
      <c r="X163" s="417"/>
      <c r="Y163" s="417"/>
      <c r="Z163" s="417"/>
      <c r="AA163" s="417"/>
      <c r="AB163" s="417"/>
    </row>
    <row r="164" spans="1:28" outlineLevel="1" x14ac:dyDescent="0.2">
      <c r="A164" s="72"/>
      <c r="B164" s="417"/>
      <c r="C164" s="337"/>
      <c r="D164" s="337" t="str">
        <f>Translations!$B$653</f>
        <v>Primary aluminium production:</v>
      </c>
      <c r="E164" s="411"/>
      <c r="F164" s="411"/>
      <c r="G164" s="411"/>
      <c r="H164" s="411"/>
      <c r="I164" s="411"/>
      <c r="J164" s="411"/>
      <c r="K164" s="417"/>
      <c r="L164" s="417"/>
      <c r="M164" s="417"/>
      <c r="N164" s="417"/>
      <c r="O164" s="417"/>
      <c r="P164" s="72"/>
      <c r="Q164" s="72"/>
      <c r="R164" s="72"/>
      <c r="S164" s="72"/>
      <c r="T164" s="72"/>
      <c r="U164" s="72" t="s">
        <v>1509</v>
      </c>
      <c r="V164" s="72" t="s">
        <v>1506</v>
      </c>
      <c r="W164" s="72" t="s">
        <v>281</v>
      </c>
      <c r="X164" s="417"/>
      <c r="Y164" s="417"/>
      <c r="Z164" s="417"/>
      <c r="AA164" s="417"/>
      <c r="AB164" s="417"/>
    </row>
    <row r="165" spans="1:28" outlineLevel="1" x14ac:dyDescent="0.2">
      <c r="A165" s="72"/>
      <c r="B165" s="417"/>
      <c r="C165" s="417"/>
      <c r="D165" s="13" t="s">
        <v>1020</v>
      </c>
      <c r="E165" s="14" t="str">
        <f>Translations!$B$477</f>
        <v>Activity data tier level required:</v>
      </c>
      <c r="F165" s="11"/>
      <c r="G165" s="11"/>
      <c r="H165" s="268" t="str">
        <f>IF(H154="","",IF(CNTR_Category="A",INDEX(EUwideConstants!$G:$G,MATCH(Q165,EUwideConstants!$S:$S,0)),INDEX(EUwideConstants!$P:$P,MATCH(Q165,EUwideConstants!$S:$S,0))))</f>
        <v/>
      </c>
      <c r="I165" s="1163" t="str">
        <f>IF(H165="","",IF(S165=0,EUconst_NA,IF(ISERROR(S165),"",EUconst_MsgTierActivityLevel &amp; " " &amp;S165)))</f>
        <v/>
      </c>
      <c r="J165" s="929"/>
      <c r="K165" s="929"/>
      <c r="L165" s="929"/>
      <c r="M165" s="929"/>
      <c r="N165" s="887"/>
      <c r="O165" s="417"/>
      <c r="P165" s="72"/>
      <c r="Q165" s="92" t="str">
        <f>EUconst_CNTR_ActivityData&amp;H154</f>
        <v>ActivityData_</v>
      </c>
      <c r="R165" s="29"/>
      <c r="S165" s="32" t="str">
        <f>IF(H165="","",IF(H165=EUconst_NA,"",INDEX(EUwideConstants!$H:$O,MATCH(Q165,EUwideConstants!$S:$S,0),MATCH(H165,CNTR_TierList,0))))</f>
        <v/>
      </c>
      <c r="T165" s="72"/>
      <c r="U165" s="285" t="str">
        <f>V152</f>
        <v/>
      </c>
      <c r="V165" s="285">
        <v>0</v>
      </c>
      <c r="W165" s="92" t="b">
        <f>IF($L$6=EUconst_NotRelevant,TRUE,IF(V165&gt;0,(V165&lt;&gt;U165),IF(U165="",TRUE,FALSE)))</f>
        <v>1</v>
      </c>
      <c r="X165" s="417"/>
      <c r="Y165" s="417"/>
      <c r="Z165" s="417"/>
      <c r="AA165" s="417"/>
      <c r="AB165" s="417"/>
    </row>
    <row r="166" spans="1:28" outlineLevel="1" x14ac:dyDescent="0.2">
      <c r="A166" s="72"/>
      <c r="B166" s="417"/>
      <c r="C166" s="417"/>
      <c r="D166" s="13" t="s">
        <v>554</v>
      </c>
      <c r="E166" s="14" t="str">
        <f>Translations!$B$478</f>
        <v>Activity data tier used:</v>
      </c>
      <c r="F166" s="11"/>
      <c r="G166" s="11"/>
      <c r="H166" s="197"/>
      <c r="I166" s="1163" t="str">
        <f>IF(OR(ISBLANK(H166),H166=EUconst_NoTier),"",IF(S166=0,EUconst_NA,IF(ISERROR(S166),"",EUconst_MsgTierActivityLevel &amp; " " &amp;S166)))</f>
        <v/>
      </c>
      <c r="J166" s="929"/>
      <c r="K166" s="929"/>
      <c r="L166" s="929"/>
      <c r="M166" s="929"/>
      <c r="N166" s="887"/>
      <c r="O166" s="417"/>
      <c r="P166" s="72"/>
      <c r="Q166" s="92" t="str">
        <f>EUconst_CNTR_ActivityData&amp;H154</f>
        <v>ActivityData_</v>
      </c>
      <c r="R166" s="29"/>
      <c r="S166" s="32" t="str">
        <f>IF(ISBLANK(H166),"",IF(H166=EUconst_NA,"",INDEX(EUwideConstants!$H:$O,MATCH(Q166,EUwideConstants!$S:$S,0),MATCH(H166,CNTR_TierList,0))))</f>
        <v/>
      </c>
      <c r="T166" s="72"/>
      <c r="U166" s="285" t="str">
        <f>U165</f>
        <v/>
      </c>
      <c r="V166" s="285">
        <v>0</v>
      </c>
      <c r="W166" s="92" t="b">
        <f>IF($L$6=EUconst_NotRelevant,TRUE,IF(V166&gt;0,(V166&lt;&gt;U166),IF(U166="",TRUE,FALSE)))</f>
        <v>1</v>
      </c>
      <c r="X166" s="417"/>
      <c r="Y166" s="417"/>
      <c r="Z166" s="417"/>
      <c r="AA166" s="417"/>
      <c r="AB166" s="417"/>
    </row>
    <row r="167" spans="1:28" outlineLevel="1" x14ac:dyDescent="0.2">
      <c r="A167" s="72"/>
      <c r="B167" s="417"/>
      <c r="C167" s="417"/>
      <c r="D167" s="13" t="s">
        <v>1022</v>
      </c>
      <c r="E167" s="14" t="str">
        <f>Translations!$B$479</f>
        <v>Uncertainty achieved:</v>
      </c>
      <c r="F167" s="11"/>
      <c r="G167" s="11"/>
      <c r="H167" s="269"/>
      <c r="I167" s="14" t="str">
        <f>Translations!$B$480</f>
        <v>Comment:</v>
      </c>
      <c r="J167" s="1162"/>
      <c r="K167" s="1140"/>
      <c r="L167" s="1140"/>
      <c r="M167" s="1140"/>
      <c r="N167" s="1141"/>
      <c r="O167" s="417"/>
      <c r="P167" s="72"/>
      <c r="Q167" s="72"/>
      <c r="R167" s="72"/>
      <c r="S167" s="72"/>
      <c r="T167" s="72"/>
      <c r="U167" s="285" t="str">
        <f>U166</f>
        <v/>
      </c>
      <c r="V167" s="285">
        <v>0</v>
      </c>
      <c r="W167" s="92" t="b">
        <f>IF($L$6=EUconst_NotRelevant,TRUE,IF(V167&gt;0,(V167&lt;&gt;U167),IF(U167="",TRUE,FALSE)))</f>
        <v>1</v>
      </c>
      <c r="X167" s="417"/>
      <c r="Y167" s="417"/>
      <c r="Z167" s="417"/>
      <c r="AA167" s="417"/>
      <c r="AB167" s="417"/>
    </row>
    <row r="168" spans="1:28" ht="5.0999999999999996" customHeight="1" outlineLevel="1" x14ac:dyDescent="0.2">
      <c r="A168" s="72"/>
      <c r="B168" s="417"/>
      <c r="C168" s="417"/>
      <c r="D168" s="417"/>
      <c r="E168" s="411"/>
      <c r="F168" s="411"/>
      <c r="G168" s="411"/>
      <c r="H168" s="411"/>
      <c r="I168" s="411"/>
      <c r="J168" s="411"/>
      <c r="K168" s="411"/>
      <c r="L168" s="417"/>
      <c r="M168" s="417"/>
      <c r="N168" s="417"/>
      <c r="O168" s="417"/>
      <c r="P168" s="72"/>
      <c r="Q168" s="72"/>
      <c r="R168" s="72"/>
      <c r="S168" s="72"/>
      <c r="T168" s="72"/>
      <c r="U168" s="72"/>
      <c r="V168" s="72"/>
      <c r="W168" s="72"/>
      <c r="X168" s="417"/>
      <c r="Y168" s="417"/>
      <c r="Z168" s="417"/>
      <c r="AA168" s="417"/>
      <c r="AB168" s="417"/>
    </row>
    <row r="169" spans="1:28" outlineLevel="1" x14ac:dyDescent="0.2">
      <c r="A169" s="72"/>
      <c r="B169" s="417"/>
      <c r="C169" s="417"/>
      <c r="D169" s="337" t="str">
        <f>Translations!$B$654</f>
        <v>Method A: number of Anode effects per cell-day</v>
      </c>
      <c r="E169" s="411"/>
      <c r="F169" s="411"/>
      <c r="G169" s="411"/>
      <c r="H169" s="411"/>
      <c r="I169" s="411"/>
      <c r="J169" s="411"/>
      <c r="K169" s="411"/>
      <c r="L169" s="417"/>
      <c r="M169" s="417"/>
      <c r="N169" s="417"/>
      <c r="O169" s="417"/>
      <c r="P169" s="72"/>
      <c r="Q169" s="72"/>
      <c r="R169" s="72"/>
      <c r="S169" s="72"/>
      <c r="T169" s="72"/>
      <c r="U169" s="72"/>
      <c r="V169" s="72"/>
      <c r="W169" s="72"/>
      <c r="X169" s="417"/>
      <c r="Y169" s="417"/>
      <c r="Z169" s="417"/>
      <c r="AA169" s="417"/>
      <c r="AB169" s="417"/>
    </row>
    <row r="170" spans="1:28" outlineLevel="1" x14ac:dyDescent="0.2">
      <c r="A170" s="72"/>
      <c r="B170" s="417"/>
      <c r="C170" s="417"/>
      <c r="D170" s="13" t="s">
        <v>1023</v>
      </c>
      <c r="E170" s="14" t="str">
        <f>Translations!$B$477</f>
        <v>Activity data tier level required:</v>
      </c>
      <c r="F170" s="11"/>
      <c r="G170" s="11"/>
      <c r="H170" s="268" t="str">
        <f>IF(W170,"",H165)</f>
        <v/>
      </c>
      <c r="I170" s="1163" t="str">
        <f>IF(W170,"",I165)</f>
        <v/>
      </c>
      <c r="J170" s="929"/>
      <c r="K170" s="929"/>
      <c r="L170" s="929"/>
      <c r="M170" s="929"/>
      <c r="N170" s="887"/>
      <c r="O170" s="417"/>
      <c r="P170" s="72"/>
      <c r="Q170" s="72"/>
      <c r="R170" s="29"/>
      <c r="S170" s="23"/>
      <c r="T170" s="72"/>
      <c r="U170" s="285" t="str">
        <f>U167</f>
        <v/>
      </c>
      <c r="V170" s="285">
        <v>1</v>
      </c>
      <c r="W170" s="92" t="b">
        <f>IF($L$6=EUconst_NotRelevant,TRUE,IF(V170&gt;0,(V170&lt;&gt;U170),IF(U170="",TRUE,FALSE)))</f>
        <v>1</v>
      </c>
      <c r="X170" s="417"/>
      <c r="Y170" s="417"/>
      <c r="Z170" s="417"/>
      <c r="AA170" s="417"/>
      <c r="AB170" s="417"/>
    </row>
    <row r="171" spans="1:28" outlineLevel="1" x14ac:dyDescent="0.2">
      <c r="A171" s="72"/>
      <c r="B171" s="417"/>
      <c r="C171" s="417"/>
      <c r="D171" s="13" t="s">
        <v>1019</v>
      </c>
      <c r="E171" s="14" t="str">
        <f>Translations!$B$478</f>
        <v>Activity data tier used:</v>
      </c>
      <c r="F171" s="11"/>
      <c r="G171" s="11"/>
      <c r="H171" s="197"/>
      <c r="I171" s="1163" t="str">
        <f>IF(OR(ISBLANK(H171),H171=EUconst_NoTier),"",IF(S171=0,EUconst_NA,IF(ISERROR(S171),"",EUconst_MsgTierActivityLevel &amp; " " &amp;S171)))</f>
        <v/>
      </c>
      <c r="J171" s="929"/>
      <c r="K171" s="929"/>
      <c r="L171" s="929"/>
      <c r="M171" s="929"/>
      <c r="N171" s="887"/>
      <c r="O171" s="417"/>
      <c r="P171" s="72"/>
      <c r="Q171" s="92" t="str">
        <f>EUconst_CNTR_ActivityData&amp;H154</f>
        <v>ActivityData_</v>
      </c>
      <c r="R171" s="29"/>
      <c r="S171" s="32" t="str">
        <f>IF(ISBLANK(H171),"",IF(H171=EUconst_NA,"",INDEX(EUwideConstants!$H:$O,MATCH(Q171,EUwideConstants!$S:$S,0),MATCH(H171,CNTR_TierList,0))))</f>
        <v/>
      </c>
      <c r="T171" s="72"/>
      <c r="U171" s="285" t="str">
        <f>U170</f>
        <v/>
      </c>
      <c r="V171" s="285">
        <v>1</v>
      </c>
      <c r="W171" s="92" t="b">
        <f>IF($L$6=EUconst_NotRelevant,TRUE,IF(V171&gt;0,(V171&lt;&gt;U171),IF(U171="",TRUE,FALSE)))</f>
        <v>1</v>
      </c>
      <c r="X171" s="417"/>
      <c r="Y171" s="417"/>
      <c r="Z171" s="417"/>
      <c r="AA171" s="417"/>
      <c r="AB171" s="417"/>
    </row>
    <row r="172" spans="1:28" outlineLevel="1" x14ac:dyDescent="0.2">
      <c r="A172" s="72"/>
      <c r="B172" s="417"/>
      <c r="C172" s="417"/>
      <c r="D172" s="13" t="s">
        <v>1349</v>
      </c>
      <c r="E172" s="14" t="str">
        <f>Translations!$B$479</f>
        <v>Uncertainty achieved:</v>
      </c>
      <c r="F172" s="11"/>
      <c r="G172" s="11"/>
      <c r="H172" s="269"/>
      <c r="I172" s="14" t="str">
        <f>Translations!$B$480</f>
        <v>Comment:</v>
      </c>
      <c r="J172" s="1162"/>
      <c r="K172" s="1140"/>
      <c r="L172" s="1140"/>
      <c r="M172" s="1140"/>
      <c r="N172" s="1141"/>
      <c r="O172" s="417"/>
      <c r="P172" s="72"/>
      <c r="Q172" s="72"/>
      <c r="R172" s="72"/>
      <c r="S172" s="72"/>
      <c r="T172" s="72"/>
      <c r="U172" s="285" t="str">
        <f>U171</f>
        <v/>
      </c>
      <c r="V172" s="285">
        <v>1</v>
      </c>
      <c r="W172" s="92" t="b">
        <f>IF($L$6=EUconst_NotRelevant,TRUE,IF(V172&gt;0,(V172&lt;&gt;U172),IF(U172="",TRUE,FALSE)))</f>
        <v>1</v>
      </c>
      <c r="X172" s="417"/>
      <c r="Y172" s="417"/>
      <c r="Z172" s="417"/>
      <c r="AA172" s="417"/>
      <c r="AB172" s="417"/>
    </row>
    <row r="173" spans="1:28" ht="5.0999999999999996" customHeight="1" outlineLevel="1" x14ac:dyDescent="0.2">
      <c r="A173" s="72"/>
      <c r="B173" s="417"/>
      <c r="C173" s="417"/>
      <c r="D173" s="417"/>
      <c r="E173" s="411"/>
      <c r="F173" s="411"/>
      <c r="G173" s="411"/>
      <c r="H173" s="411"/>
      <c r="I173" s="411"/>
      <c r="J173" s="411"/>
      <c r="K173" s="411"/>
      <c r="L173" s="417"/>
      <c r="M173" s="417"/>
      <c r="N173" s="417"/>
      <c r="O173" s="417"/>
      <c r="P173" s="72"/>
      <c r="Q173" s="72"/>
      <c r="R173" s="72"/>
      <c r="S173" s="72"/>
      <c r="T173" s="72"/>
      <c r="U173" s="72"/>
      <c r="V173" s="72"/>
      <c r="W173" s="72"/>
      <c r="X173" s="417"/>
      <c r="Y173" s="417"/>
      <c r="Z173" s="417"/>
      <c r="AA173" s="417"/>
      <c r="AB173" s="417"/>
    </row>
    <row r="174" spans="1:28" outlineLevel="1" x14ac:dyDescent="0.2">
      <c r="A174" s="72"/>
      <c r="B174" s="417"/>
      <c r="C174" s="417"/>
      <c r="D174" s="337" t="str">
        <f>Translations!$B$655</f>
        <v>Method A: average anode effect minutes per occurrence</v>
      </c>
      <c r="E174" s="411"/>
      <c r="F174" s="411"/>
      <c r="G174" s="411"/>
      <c r="H174" s="411"/>
      <c r="I174" s="411"/>
      <c r="J174" s="411"/>
      <c r="K174" s="411"/>
      <c r="L174" s="417"/>
      <c r="M174" s="417"/>
      <c r="N174" s="417"/>
      <c r="O174" s="417"/>
      <c r="P174" s="72"/>
      <c r="Q174" s="72"/>
      <c r="R174" s="72"/>
      <c r="S174" s="72"/>
      <c r="T174" s="72"/>
      <c r="U174" s="72"/>
      <c r="V174" s="72"/>
      <c r="W174" s="72"/>
      <c r="X174" s="417"/>
      <c r="Y174" s="417"/>
      <c r="Z174" s="417"/>
      <c r="AA174" s="417"/>
      <c r="AB174" s="417"/>
    </row>
    <row r="175" spans="1:28" outlineLevel="1" x14ac:dyDescent="0.2">
      <c r="A175" s="72"/>
      <c r="B175" s="417"/>
      <c r="C175" s="417"/>
      <c r="D175" s="13" t="s">
        <v>1351</v>
      </c>
      <c r="E175" s="14" t="str">
        <f>Translations!$B$477</f>
        <v>Activity data tier level required:</v>
      </c>
      <c r="F175" s="11"/>
      <c r="G175" s="11"/>
      <c r="H175" s="268" t="str">
        <f>IF(W175,"",H165)</f>
        <v/>
      </c>
      <c r="I175" s="1163" t="str">
        <f>IF(W175,"",I165)</f>
        <v/>
      </c>
      <c r="J175" s="929"/>
      <c r="K175" s="929"/>
      <c r="L175" s="929"/>
      <c r="M175" s="929"/>
      <c r="N175" s="887"/>
      <c r="O175" s="417"/>
      <c r="P175" s="72"/>
      <c r="Q175" s="72"/>
      <c r="R175" s="29"/>
      <c r="S175" s="23"/>
      <c r="T175" s="72"/>
      <c r="U175" s="285" t="str">
        <f>U172</f>
        <v/>
      </c>
      <c r="V175" s="285">
        <v>1</v>
      </c>
      <c r="W175" s="92" t="b">
        <f>IF($L$6=EUconst_NotRelevant,TRUE,IF(V175&gt;0,(V175&lt;&gt;U175),IF(U175="",TRUE,FALSE)))</f>
        <v>1</v>
      </c>
      <c r="X175" s="417"/>
      <c r="Y175" s="417"/>
      <c r="Z175" s="417"/>
      <c r="AA175" s="417"/>
      <c r="AB175" s="417"/>
    </row>
    <row r="176" spans="1:28" outlineLevel="1" x14ac:dyDescent="0.2">
      <c r="A176" s="72"/>
      <c r="B176" s="417"/>
      <c r="C176" s="417"/>
      <c r="D176" s="13" t="s">
        <v>1352</v>
      </c>
      <c r="E176" s="14" t="str">
        <f>Translations!$B$478</f>
        <v>Activity data tier used:</v>
      </c>
      <c r="F176" s="11"/>
      <c r="G176" s="11"/>
      <c r="H176" s="197"/>
      <c r="I176" s="1163" t="str">
        <f>IF(OR(ISBLANK(H176),H176=EUconst_NoTier),"",IF(S176=0,EUconst_NA,IF(ISERROR(S176),"",EUconst_MsgTierActivityLevel &amp; " " &amp;S176)))</f>
        <v/>
      </c>
      <c r="J176" s="929"/>
      <c r="K176" s="929"/>
      <c r="L176" s="929"/>
      <c r="M176" s="929"/>
      <c r="N176" s="887"/>
      <c r="O176" s="417"/>
      <c r="P176" s="72"/>
      <c r="Q176" s="92" t="str">
        <f>EUconst_CNTR_ActivityData&amp;H154</f>
        <v>ActivityData_</v>
      </c>
      <c r="R176" s="29"/>
      <c r="S176" s="32" t="str">
        <f>IF(ISBLANK(H176),"",IF(H176=EUconst_NA,"",INDEX(EUwideConstants!$H:$O,MATCH(Q176,EUwideConstants!$S:$S,0),MATCH(H176,CNTR_TierList,0))))</f>
        <v/>
      </c>
      <c r="T176" s="72"/>
      <c r="U176" s="285" t="str">
        <f>U175</f>
        <v/>
      </c>
      <c r="V176" s="285">
        <v>1</v>
      </c>
      <c r="W176" s="92" t="b">
        <f>IF($L$6=EUconst_NotRelevant,TRUE,IF(V176&gt;0,(V176&lt;&gt;U176),IF(U176="",TRUE,FALSE)))</f>
        <v>1</v>
      </c>
      <c r="X176" s="417"/>
      <c r="Y176" s="417"/>
      <c r="Z176" s="417"/>
      <c r="AA176" s="417"/>
      <c r="AB176" s="417"/>
    </row>
    <row r="177" spans="1:28" outlineLevel="1" x14ac:dyDescent="0.2">
      <c r="A177" s="72"/>
      <c r="B177" s="417"/>
      <c r="C177" s="417"/>
      <c r="D177" s="13" t="s">
        <v>1516</v>
      </c>
      <c r="E177" s="14" t="str">
        <f>Translations!$B$479</f>
        <v>Uncertainty achieved:</v>
      </c>
      <c r="F177" s="11"/>
      <c r="G177" s="11"/>
      <c r="H177" s="269"/>
      <c r="I177" s="14" t="str">
        <f>Translations!$B$480</f>
        <v>Comment:</v>
      </c>
      <c r="J177" s="1162"/>
      <c r="K177" s="1140"/>
      <c r="L177" s="1140"/>
      <c r="M177" s="1140"/>
      <c r="N177" s="1141"/>
      <c r="O177" s="417"/>
      <c r="P177" s="72"/>
      <c r="Q177" s="72"/>
      <c r="R177" s="72"/>
      <c r="S177" s="72"/>
      <c r="T177" s="72"/>
      <c r="U177" s="285" t="str">
        <f>U176</f>
        <v/>
      </c>
      <c r="V177" s="285">
        <v>1</v>
      </c>
      <c r="W177" s="92" t="b">
        <f>IF($L$6=EUconst_NotRelevant,TRUE,IF(V177&gt;0,(V177&lt;&gt;U177),IF(U177="",TRUE,FALSE)))</f>
        <v>1</v>
      </c>
      <c r="X177" s="417"/>
      <c r="Y177" s="417"/>
      <c r="Z177" s="417"/>
      <c r="AA177" s="417"/>
      <c r="AB177" s="417"/>
    </row>
    <row r="178" spans="1:28" ht="5.0999999999999996" customHeight="1" outlineLevel="1" x14ac:dyDescent="0.2">
      <c r="A178" s="72"/>
      <c r="B178" s="417"/>
      <c r="C178" s="417"/>
      <c r="D178" s="417"/>
      <c r="E178" s="411"/>
      <c r="F178" s="411"/>
      <c r="G178" s="411"/>
      <c r="H178" s="411"/>
      <c r="I178" s="411"/>
      <c r="J178" s="411"/>
      <c r="K178" s="411"/>
      <c r="L178" s="417"/>
      <c r="M178" s="417"/>
      <c r="N178" s="417"/>
      <c r="O178" s="417"/>
      <c r="P178" s="72"/>
      <c r="Q178" s="72"/>
      <c r="R178" s="72"/>
      <c r="S178" s="72"/>
      <c r="T178" s="72"/>
      <c r="U178" s="72"/>
      <c r="V178" s="72"/>
      <c r="W178" s="72"/>
      <c r="X178" s="417"/>
      <c r="Y178" s="417"/>
      <c r="Z178" s="417"/>
      <c r="AA178" s="417"/>
      <c r="AB178" s="417"/>
    </row>
    <row r="179" spans="1:28" outlineLevel="1" x14ac:dyDescent="0.2">
      <c r="A179" s="72"/>
      <c r="B179" s="417"/>
      <c r="C179" s="417"/>
      <c r="D179" s="337" t="str">
        <f>Translations!$B$656</f>
        <v>Method B: anode effect overvoltage per cell</v>
      </c>
      <c r="E179" s="411"/>
      <c r="F179" s="411"/>
      <c r="G179" s="411"/>
      <c r="H179" s="411"/>
      <c r="I179" s="411"/>
      <c r="J179" s="411"/>
      <c r="K179" s="411"/>
      <c r="L179" s="417"/>
      <c r="M179" s="417"/>
      <c r="N179" s="417"/>
      <c r="O179" s="417"/>
      <c r="P179" s="72"/>
      <c r="Q179" s="72"/>
      <c r="R179" s="72"/>
      <c r="S179" s="72"/>
      <c r="T179" s="72"/>
      <c r="U179" s="72"/>
      <c r="V179" s="72"/>
      <c r="W179" s="72"/>
      <c r="X179" s="417"/>
      <c r="Y179" s="417"/>
      <c r="Z179" s="417"/>
      <c r="AA179" s="417"/>
      <c r="AB179" s="417"/>
    </row>
    <row r="180" spans="1:28" outlineLevel="1" x14ac:dyDescent="0.2">
      <c r="A180" s="72"/>
      <c r="B180" s="417"/>
      <c r="C180" s="417"/>
      <c r="D180" s="13" t="s">
        <v>351</v>
      </c>
      <c r="E180" s="14" t="str">
        <f>Translations!$B$477</f>
        <v>Activity data tier level required:</v>
      </c>
      <c r="F180" s="11"/>
      <c r="G180" s="11"/>
      <c r="H180" s="268" t="str">
        <f>IF(W180,"",H165)</f>
        <v/>
      </c>
      <c r="I180" s="1163" t="str">
        <f>IF(W180,"",I165)</f>
        <v/>
      </c>
      <c r="J180" s="929"/>
      <c r="K180" s="929"/>
      <c r="L180" s="929"/>
      <c r="M180" s="929"/>
      <c r="N180" s="887"/>
      <c r="O180" s="417"/>
      <c r="P180" s="72"/>
      <c r="Q180" s="72"/>
      <c r="R180" s="29"/>
      <c r="S180" s="23"/>
      <c r="T180" s="72"/>
      <c r="U180" s="285" t="str">
        <f>U177</f>
        <v/>
      </c>
      <c r="V180" s="285">
        <v>2</v>
      </c>
      <c r="W180" s="92" t="b">
        <f>IF($L$6=EUconst_NotRelevant,TRUE,IF(V180&gt;0,(V180&lt;&gt;U180),IF(U180="",TRUE,FALSE)))</f>
        <v>1</v>
      </c>
      <c r="X180" s="417"/>
      <c r="Y180" s="417"/>
      <c r="Z180" s="417"/>
      <c r="AA180" s="417"/>
      <c r="AB180" s="417"/>
    </row>
    <row r="181" spans="1:28" outlineLevel="1" x14ac:dyDescent="0.2">
      <c r="A181" s="72"/>
      <c r="B181" s="417"/>
      <c r="C181" s="417"/>
      <c r="D181" s="13" t="s">
        <v>353</v>
      </c>
      <c r="E181" s="14" t="str">
        <f>Translations!$B$478</f>
        <v>Activity data tier used:</v>
      </c>
      <c r="F181" s="11"/>
      <c r="G181" s="11"/>
      <c r="H181" s="197"/>
      <c r="I181" s="1163" t="str">
        <f>IF(OR(ISBLANK(H181),H181=EUconst_NoTier),"",IF(S181=0,EUconst_NA,IF(ISERROR(S181),"",EUconst_MsgTierActivityLevel &amp; " " &amp;S181)))</f>
        <v/>
      </c>
      <c r="J181" s="929"/>
      <c r="K181" s="929"/>
      <c r="L181" s="929"/>
      <c r="M181" s="929"/>
      <c r="N181" s="887"/>
      <c r="O181" s="417"/>
      <c r="P181" s="72"/>
      <c r="Q181" s="92" t="str">
        <f>EUconst_CNTR_ActivityData&amp;H154</f>
        <v>ActivityData_</v>
      </c>
      <c r="R181" s="29"/>
      <c r="S181" s="32" t="str">
        <f>IF(ISBLANK(H181),"",IF(H181=EUconst_NA,"",INDEX(EUwideConstants!$H:$O,MATCH(Q181,EUwideConstants!$S:$S,0),MATCH(H181,CNTR_TierList,0))))</f>
        <v/>
      </c>
      <c r="T181" s="72"/>
      <c r="U181" s="285" t="str">
        <f>U180</f>
        <v/>
      </c>
      <c r="V181" s="285">
        <v>2</v>
      </c>
      <c r="W181" s="92" t="b">
        <f>IF($L$6=EUconst_NotRelevant,TRUE,IF(V181&gt;0,(V181&lt;&gt;U181),IF(U181="",TRUE,FALSE)))</f>
        <v>1</v>
      </c>
      <c r="X181" s="417"/>
      <c r="Y181" s="417"/>
      <c r="Z181" s="417"/>
      <c r="AA181" s="417"/>
      <c r="AB181" s="417"/>
    </row>
    <row r="182" spans="1:28" outlineLevel="1" x14ac:dyDescent="0.2">
      <c r="A182" s="72"/>
      <c r="B182" s="417"/>
      <c r="C182" s="417"/>
      <c r="D182" s="13" t="s">
        <v>354</v>
      </c>
      <c r="E182" s="14" t="str">
        <f>Translations!$B$479</f>
        <v>Uncertainty achieved:</v>
      </c>
      <c r="F182" s="11"/>
      <c r="G182" s="11"/>
      <c r="H182" s="269"/>
      <c r="I182" s="14" t="str">
        <f>Translations!$B$480</f>
        <v>Comment:</v>
      </c>
      <c r="J182" s="1162"/>
      <c r="K182" s="1140"/>
      <c r="L182" s="1140"/>
      <c r="M182" s="1140"/>
      <c r="N182" s="1141"/>
      <c r="O182" s="417"/>
      <c r="P182" s="72"/>
      <c r="Q182" s="72"/>
      <c r="R182" s="72"/>
      <c r="S182" s="72"/>
      <c r="T182" s="72"/>
      <c r="U182" s="285" t="str">
        <f>U181</f>
        <v/>
      </c>
      <c r="V182" s="285">
        <v>2</v>
      </c>
      <c r="W182" s="92" t="b">
        <f>IF($L$6=EUconst_NotRelevant,TRUE,IF(V182&gt;0,(V182&lt;&gt;U182),IF(U182="",TRUE,FALSE)))</f>
        <v>1</v>
      </c>
      <c r="X182" s="417"/>
      <c r="Y182" s="417"/>
      <c r="Z182" s="417"/>
      <c r="AA182" s="417"/>
      <c r="AB182" s="417"/>
    </row>
    <row r="183" spans="1:28" ht="5.0999999999999996" customHeight="1" outlineLevel="1" x14ac:dyDescent="0.2">
      <c r="A183" s="72"/>
      <c r="B183" s="417"/>
      <c r="C183" s="417"/>
      <c r="D183" s="417"/>
      <c r="E183" s="411"/>
      <c r="F183" s="411"/>
      <c r="G183" s="411"/>
      <c r="H183" s="411"/>
      <c r="I183" s="411"/>
      <c r="J183" s="411"/>
      <c r="K183" s="411"/>
      <c r="L183" s="417"/>
      <c r="M183" s="417"/>
      <c r="N183" s="417"/>
      <c r="O183" s="417"/>
      <c r="P183" s="72"/>
      <c r="Q183" s="72"/>
      <c r="R183" s="72"/>
      <c r="S183" s="72"/>
      <c r="T183" s="72"/>
      <c r="U183" s="72"/>
      <c r="V183" s="72"/>
      <c r="W183" s="72"/>
      <c r="X183" s="417"/>
      <c r="Y183" s="417"/>
      <c r="Z183" s="417"/>
      <c r="AA183" s="417"/>
      <c r="AB183" s="417"/>
    </row>
    <row r="184" spans="1:28" outlineLevel="1" x14ac:dyDescent="0.2">
      <c r="A184" s="72"/>
      <c r="B184" s="417"/>
      <c r="C184" s="417"/>
      <c r="D184" s="337" t="str">
        <f>Translations!$B$657</f>
        <v>Method B: Current efficiency</v>
      </c>
      <c r="E184" s="411"/>
      <c r="F184" s="411"/>
      <c r="G184" s="411"/>
      <c r="H184" s="411"/>
      <c r="I184" s="411"/>
      <c r="J184" s="411"/>
      <c r="K184" s="411"/>
      <c r="L184" s="417"/>
      <c r="M184" s="417"/>
      <c r="N184" s="417"/>
      <c r="O184" s="417"/>
      <c r="P184" s="72"/>
      <c r="Q184" s="72"/>
      <c r="R184" s="72"/>
      <c r="S184" s="72"/>
      <c r="T184" s="72"/>
      <c r="U184" s="72"/>
      <c r="V184" s="72"/>
      <c r="W184" s="72"/>
      <c r="X184" s="417"/>
      <c r="Y184" s="417"/>
      <c r="Z184" s="417"/>
      <c r="AA184" s="417"/>
      <c r="AB184" s="417"/>
    </row>
    <row r="185" spans="1:28" ht="12.75" customHeight="1" outlineLevel="1" x14ac:dyDescent="0.2">
      <c r="A185" s="72"/>
      <c r="B185" s="417"/>
      <c r="C185" s="417"/>
      <c r="D185" s="13" t="s">
        <v>355</v>
      </c>
      <c r="E185" s="14" t="str">
        <f>Translations!$B$477</f>
        <v>Activity data tier level required:</v>
      </c>
      <c r="F185" s="11"/>
      <c r="G185" s="11"/>
      <c r="H185" s="268" t="str">
        <f>IF(W185,"",H165)</f>
        <v/>
      </c>
      <c r="I185" s="1163" t="str">
        <f>IF(W185,"",I165)</f>
        <v/>
      </c>
      <c r="J185" s="929"/>
      <c r="K185" s="929"/>
      <c r="L185" s="929"/>
      <c r="M185" s="929"/>
      <c r="N185" s="887"/>
      <c r="O185" s="417"/>
      <c r="P185" s="72"/>
      <c r="Q185" s="72"/>
      <c r="R185" s="29"/>
      <c r="S185" s="23"/>
      <c r="T185" s="72"/>
      <c r="U185" s="285" t="str">
        <f>U182</f>
        <v/>
      </c>
      <c r="V185" s="285">
        <v>2</v>
      </c>
      <c r="W185" s="92" t="b">
        <f>IF($L$6=EUconst_NotRelevant,TRUE,IF(V185&gt;0,(V185&lt;&gt;U185),IF(U185="",TRUE,FALSE)))</f>
        <v>1</v>
      </c>
      <c r="X185" s="417"/>
      <c r="Y185" s="417"/>
      <c r="Z185" s="417"/>
      <c r="AA185" s="417"/>
      <c r="AB185" s="417"/>
    </row>
    <row r="186" spans="1:28" outlineLevel="1" x14ac:dyDescent="0.2">
      <c r="A186" s="72"/>
      <c r="B186" s="417"/>
      <c r="C186" s="417"/>
      <c r="D186" s="13" t="s">
        <v>555</v>
      </c>
      <c r="E186" s="14" t="str">
        <f>Translations!$B$478</f>
        <v>Activity data tier used:</v>
      </c>
      <c r="F186" s="11"/>
      <c r="G186" s="11"/>
      <c r="H186" s="197"/>
      <c r="I186" s="1163" t="str">
        <f>IF(OR(ISBLANK(H186),H186=EUconst_NoTier),"",IF(S186=0,EUconst_NA,IF(ISERROR(S186),"",EUconst_MsgTierActivityLevel &amp; " " &amp;S186)))</f>
        <v/>
      </c>
      <c r="J186" s="929"/>
      <c r="K186" s="929"/>
      <c r="L186" s="929"/>
      <c r="M186" s="929"/>
      <c r="N186" s="887"/>
      <c r="O186" s="417"/>
      <c r="P186" s="72"/>
      <c r="Q186" s="92" t="str">
        <f>EUconst_CNTR_ActivityData&amp;H154</f>
        <v>ActivityData_</v>
      </c>
      <c r="R186" s="29"/>
      <c r="S186" s="32" t="str">
        <f>IF(ISBLANK(H186),"",IF(H186=EUconst_NA,"",INDEX(EUwideConstants!$H:$O,MATCH(Q186,EUwideConstants!$S:$S,0),MATCH(H186,CNTR_TierList,0))))</f>
        <v/>
      </c>
      <c r="T186" s="72"/>
      <c r="U186" s="285" t="str">
        <f>U185</f>
        <v/>
      </c>
      <c r="V186" s="285">
        <v>2</v>
      </c>
      <c r="W186" s="92" t="b">
        <f>IF($L$6=EUconst_NotRelevant,TRUE,IF(V186&gt;0,(V186&lt;&gt;U186),IF(U186="",TRUE,FALSE)))</f>
        <v>1</v>
      </c>
      <c r="X186" s="417"/>
      <c r="Y186" s="417"/>
      <c r="Z186" s="417"/>
      <c r="AA186" s="417"/>
      <c r="AB186" s="417"/>
    </row>
    <row r="187" spans="1:28" outlineLevel="1" x14ac:dyDescent="0.2">
      <c r="A187" s="72"/>
      <c r="B187" s="417"/>
      <c r="C187" s="417"/>
      <c r="D187" s="13" t="s">
        <v>550</v>
      </c>
      <c r="E187" s="14" t="str">
        <f>Translations!$B$479</f>
        <v>Uncertainty achieved:</v>
      </c>
      <c r="F187" s="11"/>
      <c r="G187" s="11"/>
      <c r="H187" s="269"/>
      <c r="I187" s="14" t="str">
        <f>Translations!$B$480</f>
        <v>Comment:</v>
      </c>
      <c r="J187" s="1162"/>
      <c r="K187" s="1140"/>
      <c r="L187" s="1140"/>
      <c r="M187" s="1140"/>
      <c r="N187" s="1141"/>
      <c r="O187" s="417"/>
      <c r="P187" s="72"/>
      <c r="Q187" s="72"/>
      <c r="R187" s="72"/>
      <c r="S187" s="72"/>
      <c r="T187" s="72"/>
      <c r="U187" s="285" t="str">
        <f>U186</f>
        <v/>
      </c>
      <c r="V187" s="285">
        <v>2</v>
      </c>
      <c r="W187" s="92" t="b">
        <f>IF($L$6=EUconst_NotRelevant,TRUE,IF(V187&gt;0,(V187&lt;&gt;U187),IF(U187="",TRUE,FALSE)))</f>
        <v>1</v>
      </c>
      <c r="X187" s="417"/>
      <c r="Y187" s="417"/>
      <c r="Z187" s="417"/>
      <c r="AA187" s="417"/>
      <c r="AB187" s="417"/>
    </row>
    <row r="188" spans="1:28" outlineLevel="1" x14ac:dyDescent="0.2">
      <c r="A188" s="72"/>
      <c r="B188" s="417"/>
      <c r="C188" s="417"/>
      <c r="D188" s="417"/>
      <c r="E188" s="411"/>
      <c r="F188" s="411"/>
      <c r="G188" s="411"/>
      <c r="H188" s="411"/>
      <c r="I188" s="411"/>
      <c r="J188" s="411"/>
      <c r="K188" s="411"/>
      <c r="L188" s="417"/>
      <c r="M188" s="417"/>
      <c r="N188" s="417"/>
      <c r="O188" s="417"/>
      <c r="P188" s="72"/>
      <c r="Q188" s="72"/>
      <c r="R188" s="72"/>
      <c r="S188" s="72"/>
      <c r="T188" s="72"/>
      <c r="U188" s="72"/>
      <c r="V188" s="72"/>
      <c r="W188" s="72"/>
      <c r="X188" s="417"/>
      <c r="Y188" s="417"/>
      <c r="Z188" s="417"/>
      <c r="AA188" s="417"/>
      <c r="AB188" s="417"/>
    </row>
    <row r="189" spans="1:28" ht="15" customHeight="1" outlineLevel="1" x14ac:dyDescent="0.2">
      <c r="A189" s="72"/>
      <c r="B189" s="417"/>
      <c r="C189" s="417"/>
      <c r="D189" s="1040" t="str">
        <f>Translations!$B$658</f>
        <v>Calculation factors</v>
      </c>
      <c r="E189" s="1040"/>
      <c r="F189" s="1040"/>
      <c r="G189" s="1040"/>
      <c r="H189" s="1040"/>
      <c r="I189" s="1040"/>
      <c r="J189" s="1040"/>
      <c r="K189" s="1040"/>
      <c r="L189" s="1040"/>
      <c r="M189" s="1040"/>
      <c r="N189" s="1040"/>
      <c r="O189" s="417"/>
      <c r="P189" s="72"/>
      <c r="Q189" s="72"/>
      <c r="R189" s="72"/>
      <c r="S189" s="72"/>
      <c r="T189" s="72"/>
      <c r="U189" s="72"/>
      <c r="V189" s="72"/>
      <c r="W189" s="72"/>
      <c r="X189" s="417"/>
      <c r="Y189" s="417"/>
      <c r="Z189" s="417"/>
      <c r="AA189" s="417"/>
      <c r="AB189" s="417"/>
    </row>
    <row r="190" spans="1:28" ht="15" outlineLevel="1" x14ac:dyDescent="0.2">
      <c r="A190" s="72"/>
      <c r="B190" s="417"/>
      <c r="C190" s="417"/>
      <c r="D190" s="307" t="s">
        <v>841</v>
      </c>
      <c r="E190" s="337" t="str">
        <f>Translations!$B$659</f>
        <v>Tiers applied</v>
      </c>
      <c r="F190" s="257"/>
      <c r="G190" s="257"/>
      <c r="H190" s="411"/>
      <c r="I190" s="411"/>
      <c r="J190" s="411"/>
      <c r="K190" s="411"/>
      <c r="L190" s="417"/>
      <c r="M190" s="417"/>
      <c r="N190" s="417"/>
      <c r="O190" s="417"/>
      <c r="P190" s="72"/>
      <c r="Q190" s="72"/>
      <c r="R190" s="72"/>
      <c r="S190" s="72"/>
      <c r="T190" s="72"/>
      <c r="U190" s="72"/>
      <c r="V190" s="72"/>
      <c r="W190" s="72"/>
      <c r="X190" s="417"/>
      <c r="Y190" s="417"/>
      <c r="Z190" s="417"/>
      <c r="AA190" s="417"/>
      <c r="AB190" s="417"/>
    </row>
    <row r="191" spans="1:28" ht="5.0999999999999996" customHeight="1" outlineLevel="1" x14ac:dyDescent="0.2">
      <c r="A191" s="72"/>
      <c r="B191" s="417"/>
      <c r="C191" s="417"/>
      <c r="D191" s="417"/>
      <c r="E191" s="411"/>
      <c r="F191" s="411"/>
      <c r="G191" s="411"/>
      <c r="H191" s="411"/>
      <c r="I191" s="411"/>
      <c r="J191" s="411"/>
      <c r="K191" s="411"/>
      <c r="L191" s="417"/>
      <c r="M191" s="417"/>
      <c r="N191" s="417"/>
      <c r="O191" s="417"/>
      <c r="P191" s="72"/>
      <c r="Q191" s="72"/>
      <c r="R191" s="72"/>
      <c r="S191" s="72"/>
      <c r="T191" s="72"/>
      <c r="U191" s="72"/>
      <c r="V191" s="72"/>
      <c r="W191" s="72"/>
      <c r="X191" s="417"/>
      <c r="Y191" s="417"/>
      <c r="Z191" s="417"/>
      <c r="AA191" s="417"/>
      <c r="AB191" s="417"/>
    </row>
    <row r="192" spans="1:28" outlineLevel="1" x14ac:dyDescent="0.2">
      <c r="A192" s="72"/>
      <c r="B192" s="417"/>
      <c r="C192" s="417"/>
      <c r="D192" s="417"/>
      <c r="E192" s="279" t="str">
        <f>Translations!$B$516</f>
        <v>calculation factor</v>
      </c>
      <c r="F192" s="280"/>
      <c r="G192" s="281"/>
      <c r="H192" s="50" t="str">
        <f>Translations!$B$517</f>
        <v>required tier</v>
      </c>
      <c r="I192" s="50" t="str">
        <f>Translations!$B$518</f>
        <v>applied tier</v>
      </c>
      <c r="J192" s="1159" t="str">
        <f>Translations!$B$519</f>
        <v>full text for applied tier</v>
      </c>
      <c r="K192" s="1160"/>
      <c r="L192" s="1160"/>
      <c r="M192" s="1160"/>
      <c r="N192" s="1161"/>
      <c r="O192" s="417"/>
      <c r="P192" s="72"/>
      <c r="Q192" s="72"/>
      <c r="R192" s="72"/>
      <c r="S192" s="15" t="s">
        <v>1038</v>
      </c>
      <c r="T192" s="72"/>
      <c r="U192" s="72"/>
      <c r="V192" s="72"/>
      <c r="W192" s="72"/>
      <c r="X192" s="417"/>
      <c r="Y192" s="417"/>
      <c r="Z192" s="417"/>
      <c r="AA192" s="417"/>
      <c r="AB192" s="417"/>
    </row>
    <row r="193" spans="1:28" outlineLevel="1" x14ac:dyDescent="0.2">
      <c r="A193" s="72"/>
      <c r="B193" s="417"/>
      <c r="C193" s="417"/>
      <c r="D193" s="46" t="s">
        <v>1030</v>
      </c>
      <c r="E193" s="282" t="str">
        <f>Translations!$B$660</f>
        <v>SEF(CF4) Slope emission factor</v>
      </c>
      <c r="F193" s="283"/>
      <c r="G193" s="284"/>
      <c r="H193" s="268" t="str">
        <f>IF(H154="","",IF(W193=FALSE,IF(CNTR_Category="A",INDEX(EUwideConstants!$G:$G,MATCH(Q193,EUwideConstants!$S:$S,0)),INDEX(EUwideConstants!$P:$P,MATCH(Q193,EUwideConstants!$S:$S,0))),""))</f>
        <v/>
      </c>
      <c r="I193" s="197"/>
      <c r="J193" s="1163" t="str">
        <f>IF(OR(ISBLANK(I193),I193=EUconst_NoTier),"",IF(S193=0,EUconst_NotApplicable,IF(ISERROR(S193),"",S193)))</f>
        <v/>
      </c>
      <c r="K193" s="929"/>
      <c r="L193" s="929"/>
      <c r="M193" s="929"/>
      <c r="N193" s="887"/>
      <c r="O193" s="417"/>
      <c r="P193" s="72"/>
      <c r="Q193" s="92" t="str">
        <f>EUconst_CNTR_EF&amp;H154</f>
        <v>EF_</v>
      </c>
      <c r="R193" s="72"/>
      <c r="S193" s="31" t="str">
        <f>IF(ISBLANK(I193),"",IF(I193=EUconst_NA,"",INDEX(EUwideConstants!$H:$O,MATCH(Q193,EUwideConstants!$S:$S,0),MATCH(I193,CNTR_TierList,0))))</f>
        <v/>
      </c>
      <c r="T193" s="72"/>
      <c r="U193" s="285" t="str">
        <f>U187</f>
        <v/>
      </c>
      <c r="V193" s="285">
        <v>1</v>
      </c>
      <c r="W193" s="92" t="b">
        <f>IF($L$6=EUconst_NotRelevant,TRUE,IF(V193&gt;0,(V193&lt;&gt;U193),IF(U193="",TRUE,FALSE)))</f>
        <v>1</v>
      </c>
      <c r="X193" s="417"/>
      <c r="Y193" s="417"/>
      <c r="Z193" s="417"/>
      <c r="AA193" s="417"/>
      <c r="AB193" s="417"/>
    </row>
    <row r="194" spans="1:28" outlineLevel="1" x14ac:dyDescent="0.2">
      <c r="A194" s="72"/>
      <c r="B194" s="417"/>
      <c r="C194" s="417"/>
      <c r="D194" s="46" t="s">
        <v>1031</v>
      </c>
      <c r="E194" s="282" t="str">
        <f>Translations!$B$661</f>
        <v>OVC (Overvoltage coefficient)</v>
      </c>
      <c r="F194" s="283"/>
      <c r="G194" s="284"/>
      <c r="H194" s="268" t="str">
        <f>IF(H155="","",IF(W194=FALSE,IF(CNTR_Category="A",INDEX(EUwideConstants!$G:$G,MATCH(Q194,EUwideConstants!$S:$S,0)),INDEX(EUwideConstants!$P:$P,MATCH(Q194,EUwideConstants!$S:$S,0))),""))</f>
        <v/>
      </c>
      <c r="I194" s="197"/>
      <c r="J194" s="1163" t="str">
        <f>IF(OR(ISBLANK(I194),I194=EUconst_NoTier),"",IF(S194=0,EUconst_NotApplicable,IF(ISERROR(S194),"",S194)))</f>
        <v/>
      </c>
      <c r="K194" s="929"/>
      <c r="L194" s="929"/>
      <c r="M194" s="929"/>
      <c r="N194" s="887"/>
      <c r="O194" s="417"/>
      <c r="P194" s="72"/>
      <c r="Q194" s="92" t="str">
        <f>EUconst_CNTR_EF&amp;H154</f>
        <v>EF_</v>
      </c>
      <c r="R194" s="72"/>
      <c r="S194" s="31" t="str">
        <f>IF(ISBLANK(I194),"",IF(I194=EUconst_NA,"",INDEX(EUwideConstants!$H:$O,MATCH(Q194,EUwideConstants!$S:$S,0),MATCH(I194,CNTR_TierList,0))))</f>
        <v/>
      </c>
      <c r="T194" s="72"/>
      <c r="U194" s="285" t="str">
        <f>U193</f>
        <v/>
      </c>
      <c r="V194" s="285">
        <v>2</v>
      </c>
      <c r="W194" s="92" t="b">
        <f>IF($L$6=EUconst_NotRelevant,TRUE,IF(V194&gt;0,(V194&lt;&gt;U194),IF(U194="",TRUE,FALSE)))</f>
        <v>1</v>
      </c>
      <c r="X194" s="417"/>
      <c r="Y194" s="417"/>
      <c r="Z194" s="417"/>
      <c r="AA194" s="417"/>
      <c r="AB194" s="417"/>
    </row>
    <row r="195" spans="1:28" outlineLevel="1" x14ac:dyDescent="0.2">
      <c r="A195" s="72"/>
      <c r="B195" s="417"/>
      <c r="C195" s="417"/>
      <c r="D195" s="46" t="s">
        <v>1468</v>
      </c>
      <c r="E195" s="282" t="str">
        <f>Translations!$B$662</f>
        <v>F(C2F6) Weight fraction of C2F6</v>
      </c>
      <c r="F195" s="283"/>
      <c r="G195" s="284"/>
      <c r="H195" s="268" t="str">
        <f>IF(H156="","",IF(W195=FALSE,IF(CNTR_Category="A",INDEX(EUwideConstants!$G:$G,MATCH(Q195,EUwideConstants!$S:$S,0)),INDEX(EUwideConstants!$P:$P,MATCH(Q195,EUwideConstants!$S:$S,0))),""))</f>
        <v/>
      </c>
      <c r="I195" s="197"/>
      <c r="J195" s="1163" t="str">
        <f>IF(OR(ISBLANK(I195),I195=EUconst_NoTier),"",IF(S195=0,EUconst_NotApplicable,IF(ISERROR(S195),"",S195)))</f>
        <v/>
      </c>
      <c r="K195" s="929"/>
      <c r="L195" s="929"/>
      <c r="M195" s="929"/>
      <c r="N195" s="887"/>
      <c r="O195" s="417"/>
      <c r="P195" s="72"/>
      <c r="Q195" s="92" t="str">
        <f>EUconst_CNTR_EF&amp;H154</f>
        <v>EF_</v>
      </c>
      <c r="R195" s="72"/>
      <c r="S195" s="31" t="str">
        <f>IF(ISBLANK(I195),"",IF(I195=EUconst_NA,"",INDEX(EUwideConstants!$H:$O,MATCH(Q195,EUwideConstants!$S:$S,0),MATCH(I195,CNTR_TierList,0))))</f>
        <v/>
      </c>
      <c r="T195" s="72"/>
      <c r="U195" s="285" t="str">
        <f>U194</f>
        <v/>
      </c>
      <c r="V195" s="285">
        <v>0</v>
      </c>
      <c r="W195" s="92" t="b">
        <f>IF($L$6=EUconst_NotRelevant,TRUE,IF(V195&gt;0,(V195&lt;&gt;U195),IF(U195="",TRUE,FALSE)))</f>
        <v>1</v>
      </c>
      <c r="X195" s="417"/>
      <c r="Y195" s="417"/>
      <c r="Z195" s="417"/>
      <c r="AA195" s="417"/>
      <c r="AB195" s="417"/>
    </row>
    <row r="196" spans="1:28" outlineLevel="1" x14ac:dyDescent="0.2">
      <c r="A196" s="72"/>
      <c r="B196" s="417"/>
      <c r="C196" s="417"/>
      <c r="D196" s="417"/>
      <c r="E196" s="411"/>
      <c r="F196" s="411"/>
      <c r="G196" s="411"/>
      <c r="H196" s="411"/>
      <c r="I196" s="411"/>
      <c r="J196" s="411"/>
      <c r="K196" s="411"/>
      <c r="L196" s="417"/>
      <c r="M196" s="417"/>
      <c r="N196" s="417"/>
      <c r="O196" s="417"/>
      <c r="P196" s="72"/>
      <c r="Q196" s="72"/>
      <c r="R196" s="72"/>
      <c r="S196" s="72"/>
      <c r="T196" s="72"/>
      <c r="U196" s="72"/>
      <c r="V196" s="72"/>
      <c r="W196" s="72"/>
      <c r="X196" s="417"/>
      <c r="Y196" s="417"/>
      <c r="Z196" s="417"/>
      <c r="AA196" s="417"/>
      <c r="AB196" s="417"/>
    </row>
    <row r="197" spans="1:28" ht="15" outlineLevel="1" x14ac:dyDescent="0.2">
      <c r="A197" s="72"/>
      <c r="B197" s="417"/>
      <c r="C197" s="417"/>
      <c r="D197" s="307" t="s">
        <v>846</v>
      </c>
      <c r="E197" s="337" t="str">
        <f>Translations!$B$663</f>
        <v>Tier details</v>
      </c>
      <c r="F197" s="257"/>
      <c r="G197" s="257"/>
      <c r="H197" s="411"/>
      <c r="I197" s="411"/>
      <c r="J197" s="411"/>
      <c r="K197" s="411"/>
      <c r="L197" s="417"/>
      <c r="M197" s="417"/>
      <c r="N197" s="417"/>
      <c r="O197" s="417"/>
      <c r="P197" s="72"/>
      <c r="Q197" s="72"/>
      <c r="R197" s="72"/>
      <c r="S197" s="72"/>
      <c r="T197" s="72"/>
      <c r="U197" s="72"/>
      <c r="V197" s="72"/>
      <c r="W197" s="72"/>
      <c r="X197" s="417"/>
      <c r="Y197" s="417"/>
      <c r="Z197" s="417"/>
      <c r="AA197" s="417"/>
      <c r="AB197" s="417"/>
    </row>
    <row r="198" spans="1:28" ht="5.0999999999999996" customHeight="1" outlineLevel="1" x14ac:dyDescent="0.2">
      <c r="A198" s="72"/>
      <c r="B198" s="417"/>
      <c r="C198" s="417"/>
      <c r="D198" s="417"/>
      <c r="E198" s="411"/>
      <c r="F198" s="411"/>
      <c r="G198" s="411"/>
      <c r="H198" s="411"/>
      <c r="I198" s="411"/>
      <c r="J198" s="411"/>
      <c r="K198" s="411"/>
      <c r="L198" s="417"/>
      <c r="M198" s="417"/>
      <c r="N198" s="417"/>
      <c r="O198" s="417"/>
      <c r="P198" s="72"/>
      <c r="Q198" s="72"/>
      <c r="R198" s="72"/>
      <c r="S198" s="72"/>
      <c r="T198" s="72"/>
      <c r="U198" s="72"/>
      <c r="V198" s="72"/>
      <c r="W198" s="72"/>
      <c r="X198" s="417"/>
      <c r="Y198" s="417"/>
      <c r="Z198" s="417"/>
      <c r="AA198" s="417"/>
      <c r="AB198" s="417"/>
    </row>
    <row r="199" spans="1:28" ht="25.5" outlineLevel="1" x14ac:dyDescent="0.2">
      <c r="A199" s="72"/>
      <c r="B199" s="417"/>
      <c r="C199" s="417"/>
      <c r="D199" s="417"/>
      <c r="E199" s="279" t="str">
        <f>Translations!$B$516</f>
        <v>calculation factor</v>
      </c>
      <c r="F199" s="280"/>
      <c r="G199" s="281"/>
      <c r="H199" s="50" t="str">
        <f>I192</f>
        <v>applied tier</v>
      </c>
      <c r="I199" s="51" t="str">
        <f>Translations!$B$664</f>
        <v>default or latest value</v>
      </c>
      <c r="J199" s="51" t="str">
        <f>Translations!$B$536</f>
        <v>Unit</v>
      </c>
      <c r="K199" s="51" t="str">
        <f>Translations!$B$537</f>
        <v>source ref</v>
      </c>
      <c r="L199" s="51" t="str">
        <f>Translations!$B$538</f>
        <v>analysis ref</v>
      </c>
      <c r="M199" s="51" t="str">
        <f>Translations!$B$665</f>
        <v>date of latest analysis</v>
      </c>
      <c r="N199" s="51" t="str">
        <f>Translations!$B$540</f>
        <v>Analysis frequency</v>
      </c>
      <c r="O199" s="417"/>
      <c r="P199" s="72"/>
      <c r="Q199" s="72"/>
      <c r="R199" s="72"/>
      <c r="S199" s="52" t="s">
        <v>384</v>
      </c>
      <c r="T199" s="72"/>
      <c r="U199" s="72"/>
      <c r="V199" s="72"/>
      <c r="W199" s="72"/>
      <c r="X199" s="417"/>
      <c r="Y199" s="417"/>
      <c r="Z199" s="417"/>
      <c r="AA199" s="417"/>
      <c r="AB199" s="417"/>
    </row>
    <row r="200" spans="1:28" outlineLevel="1" x14ac:dyDescent="0.2">
      <c r="A200" s="72"/>
      <c r="B200" s="417"/>
      <c r="C200" s="417"/>
      <c r="D200" s="46" t="s">
        <v>1030</v>
      </c>
      <c r="E200" s="282" t="str">
        <f>E193</f>
        <v>SEF(CF4) Slope emission factor</v>
      </c>
      <c r="F200" s="283"/>
      <c r="G200" s="284"/>
      <c r="H200" s="268" t="str">
        <f>IF(OR(ISBLANK(I193),I193=EUconst_NA),"",I193)</f>
        <v/>
      </c>
      <c r="I200" s="197"/>
      <c r="J200" s="197"/>
      <c r="K200" s="270"/>
      <c r="L200" s="271"/>
      <c r="M200" s="271"/>
      <c r="N200" s="272"/>
      <c r="O200" s="417"/>
      <c r="P200" s="72"/>
      <c r="Q200" s="92" t="str">
        <f>Q193</f>
        <v>EF_</v>
      </c>
      <c r="R200" s="72"/>
      <c r="S200" s="63" t="str">
        <f>IF(H200="","",IF(I193=EUconst_NA,"",INDEX(EUwideConstants!$AL:$AP,MATCH(Q193,EUwideConstants!$S:$S,0),MATCH(I193,CNTR_TierList,0))))</f>
        <v/>
      </c>
      <c r="T200" s="72"/>
      <c r="U200" s="285" t="str">
        <f>U195</f>
        <v/>
      </c>
      <c r="V200" s="285">
        <v>1</v>
      </c>
      <c r="W200" s="92" t="b">
        <f>IF($L$6=EUconst_NotRelevant,TRUE,IF(V200&gt;0,(V200&lt;&gt;U200),IF(U200="",TRUE,FALSE)))</f>
        <v>1</v>
      </c>
      <c r="X200" s="417"/>
      <c r="Y200" s="417"/>
      <c r="Z200" s="417"/>
      <c r="AA200" s="417"/>
      <c r="AB200" s="417"/>
    </row>
    <row r="201" spans="1:28" outlineLevel="1" x14ac:dyDescent="0.2">
      <c r="A201" s="72"/>
      <c r="B201" s="417"/>
      <c r="C201" s="417"/>
      <c r="D201" s="46" t="s">
        <v>1031</v>
      </c>
      <c r="E201" s="282" t="str">
        <f>E194</f>
        <v>OVC (Overvoltage coefficient)</v>
      </c>
      <c r="F201" s="283"/>
      <c r="G201" s="284"/>
      <c r="H201" s="268" t="str">
        <f>IF(OR(ISBLANK(I194),I194=EUconst_NA),"",I194)</f>
        <v/>
      </c>
      <c r="I201" s="197"/>
      <c r="J201" s="197"/>
      <c r="K201" s="270"/>
      <c r="L201" s="271"/>
      <c r="M201" s="271"/>
      <c r="N201" s="272"/>
      <c r="O201" s="417"/>
      <c r="P201" s="72"/>
      <c r="Q201" s="92" t="str">
        <f>Q194</f>
        <v>EF_</v>
      </c>
      <c r="R201" s="72"/>
      <c r="S201" s="63" t="str">
        <f>IF(H201="","",IF(I194=EUconst_NA,"",INDEX(EUwideConstants!$AL:$AP,MATCH(Q194,EUwideConstants!$S:$S,0),MATCH(I194,CNTR_TierList,0))))</f>
        <v/>
      </c>
      <c r="T201" s="72"/>
      <c r="U201" s="285" t="str">
        <f>U200</f>
        <v/>
      </c>
      <c r="V201" s="285">
        <v>2</v>
      </c>
      <c r="W201" s="92" t="b">
        <f>IF($L$6=EUconst_NotRelevant,TRUE,IF(V201&gt;0,(V201&lt;&gt;U201),IF(U201="",TRUE,FALSE)))</f>
        <v>1</v>
      </c>
      <c r="X201" s="417"/>
      <c r="Y201" s="417"/>
      <c r="Z201" s="417"/>
      <c r="AA201" s="417"/>
      <c r="AB201" s="417"/>
    </row>
    <row r="202" spans="1:28" outlineLevel="1" x14ac:dyDescent="0.2">
      <c r="A202" s="72"/>
      <c r="B202" s="417"/>
      <c r="C202" s="417"/>
      <c r="D202" s="46" t="s">
        <v>1468</v>
      </c>
      <c r="E202" s="282" t="str">
        <f>E195</f>
        <v>F(C2F6) Weight fraction of C2F6</v>
      </c>
      <c r="F202" s="283"/>
      <c r="G202" s="284"/>
      <c r="H202" s="268" t="str">
        <f>IF(OR(ISBLANK(I195),I195=EUconst_NA),"",I195)</f>
        <v/>
      </c>
      <c r="I202" s="197"/>
      <c r="J202" s="197"/>
      <c r="K202" s="270"/>
      <c r="L202" s="271"/>
      <c r="M202" s="271"/>
      <c r="N202" s="272"/>
      <c r="O202" s="417"/>
      <c r="P202" s="72"/>
      <c r="Q202" s="92" t="str">
        <f>Q195</f>
        <v>EF_</v>
      </c>
      <c r="R202" s="72"/>
      <c r="S202" s="63" t="str">
        <f>IF(H202="","",IF(I195=EUconst_NA,"",INDEX(EUwideConstants!$AL:$AP,MATCH(Q195,EUwideConstants!$S:$S,0),MATCH(I195,CNTR_TierList,0))))</f>
        <v/>
      </c>
      <c r="T202" s="72"/>
      <c r="U202" s="285" t="str">
        <f>U201</f>
        <v/>
      </c>
      <c r="V202" s="285">
        <v>0</v>
      </c>
      <c r="W202" s="92" t="b">
        <f>IF($L$6=EUconst_NotRelevant,TRUE,IF(V202&gt;0,(V202&lt;&gt;U202),IF(U202="",TRUE,FALSE)))</f>
        <v>1</v>
      </c>
      <c r="X202" s="417"/>
      <c r="Y202" s="417"/>
      <c r="Z202" s="417"/>
      <c r="AA202" s="417"/>
      <c r="AB202" s="417"/>
    </row>
    <row r="203" spans="1:28" outlineLevel="1" x14ac:dyDescent="0.2">
      <c r="A203" s="72"/>
      <c r="B203" s="417"/>
      <c r="C203" s="417"/>
      <c r="D203" s="417"/>
      <c r="E203" s="411"/>
      <c r="F203" s="411"/>
      <c r="G203" s="411"/>
      <c r="H203" s="411"/>
      <c r="I203" s="411"/>
      <c r="J203" s="411"/>
      <c r="K203" s="411"/>
      <c r="L203" s="417"/>
      <c r="M203" s="417"/>
      <c r="N203" s="417"/>
      <c r="O203" s="417"/>
      <c r="P203" s="72"/>
      <c r="Q203" s="72"/>
      <c r="R203" s="72"/>
      <c r="S203" s="72"/>
      <c r="T203" s="72"/>
      <c r="U203" s="72"/>
      <c r="V203" s="72"/>
      <c r="W203" s="72"/>
      <c r="X203" s="417"/>
      <c r="Y203" s="417"/>
      <c r="Z203" s="417"/>
      <c r="AA203" s="417"/>
      <c r="AB203" s="417"/>
    </row>
    <row r="204" spans="1:28" ht="15" customHeight="1" outlineLevel="1" x14ac:dyDescent="0.2">
      <c r="A204" s="72"/>
      <c r="B204" s="417"/>
      <c r="C204" s="417"/>
      <c r="D204" s="1040" t="str">
        <f>Translations!$B$666</f>
        <v>Collection efficiency for accounting for fugitive emissions</v>
      </c>
      <c r="E204" s="1040"/>
      <c r="F204" s="1040"/>
      <c r="G204" s="1040"/>
      <c r="H204" s="1040"/>
      <c r="I204" s="1040"/>
      <c r="J204" s="1040"/>
      <c r="K204" s="1040"/>
      <c r="L204" s="1040"/>
      <c r="M204" s="1040"/>
      <c r="N204" s="1040"/>
      <c r="O204" s="417"/>
      <c r="P204" s="72"/>
      <c r="Q204" s="72"/>
      <c r="R204" s="72"/>
      <c r="S204" s="72"/>
      <c r="T204" s="72"/>
      <c r="U204" s="72"/>
      <c r="V204" s="72"/>
      <c r="W204" s="72"/>
      <c r="X204" s="417"/>
      <c r="Y204" s="417"/>
      <c r="Z204" s="417"/>
      <c r="AA204" s="417"/>
      <c r="AB204" s="417"/>
    </row>
    <row r="205" spans="1:28" ht="15" outlineLevel="1" x14ac:dyDescent="0.2">
      <c r="A205" s="72"/>
      <c r="B205" s="417"/>
      <c r="C205" s="417"/>
      <c r="D205" s="307" t="s">
        <v>851</v>
      </c>
      <c r="E205" s="337" t="str">
        <f>Translations!$B$667</f>
        <v>Determination of the collection efficiency</v>
      </c>
      <c r="F205" s="257"/>
      <c r="G205" s="257"/>
      <c r="H205" s="411"/>
      <c r="I205" s="411"/>
      <c r="J205" s="411"/>
      <c r="K205" s="411"/>
      <c r="L205" s="417"/>
      <c r="M205" s="417"/>
      <c r="N205" s="417"/>
      <c r="O205" s="417"/>
      <c r="P205" s="72"/>
      <c r="Q205" s="72"/>
      <c r="R205" s="72"/>
      <c r="S205" s="72"/>
      <c r="T205" s="72"/>
      <c r="U205" s="72"/>
      <c r="V205" s="72"/>
      <c r="W205" s="72"/>
      <c r="X205" s="417"/>
      <c r="Y205" s="417"/>
      <c r="Z205" s="417"/>
      <c r="AA205" s="417"/>
      <c r="AB205" s="417"/>
    </row>
    <row r="206" spans="1:28" ht="5.0999999999999996" customHeight="1" outlineLevel="1" x14ac:dyDescent="0.2">
      <c r="A206" s="72"/>
      <c r="B206" s="417"/>
      <c r="C206" s="417"/>
      <c r="D206" s="417"/>
      <c r="E206" s="411"/>
      <c r="F206" s="411"/>
      <c r="G206" s="411"/>
      <c r="H206" s="411"/>
      <c r="I206" s="411"/>
      <c r="J206" s="411"/>
      <c r="K206" s="411"/>
      <c r="L206" s="417"/>
      <c r="M206" s="417"/>
      <c r="N206" s="417"/>
      <c r="O206" s="417"/>
      <c r="P206" s="72"/>
      <c r="Q206" s="72"/>
      <c r="R206" s="72"/>
      <c r="S206" s="72"/>
      <c r="T206" s="72"/>
      <c r="U206" s="72"/>
      <c r="V206" s="72"/>
      <c r="W206" s="72"/>
      <c r="X206" s="417"/>
      <c r="Y206" s="417"/>
      <c r="Z206" s="417"/>
      <c r="AA206" s="417"/>
      <c r="AB206" s="417"/>
    </row>
    <row r="207" spans="1:28" ht="25.5" outlineLevel="1" x14ac:dyDescent="0.2">
      <c r="A207" s="72"/>
      <c r="B207" s="417"/>
      <c r="C207" s="417"/>
      <c r="D207" s="417"/>
      <c r="E207" s="279"/>
      <c r="F207" s="280"/>
      <c r="G207" s="281"/>
      <c r="H207" s="50"/>
      <c r="I207" s="51" t="str">
        <f>Translations!$B$664</f>
        <v>default or latest value</v>
      </c>
      <c r="J207" s="51" t="str">
        <f>Translations!$B$536</f>
        <v>Unit</v>
      </c>
      <c r="K207" s="51" t="str">
        <f>Translations!$B$537</f>
        <v>source ref</v>
      </c>
      <c r="L207" s="51" t="str">
        <f>Translations!$B$538</f>
        <v>analysis ref</v>
      </c>
      <c r="M207" s="51" t="str">
        <f>Translations!$B$665</f>
        <v>date of latest analysis</v>
      </c>
      <c r="N207" s="51" t="str">
        <f>Translations!$B$540</f>
        <v>Analysis frequency</v>
      </c>
      <c r="O207" s="417"/>
      <c r="P207" s="72"/>
      <c r="Q207" s="72"/>
      <c r="R207" s="72"/>
      <c r="S207" s="72"/>
      <c r="T207" s="72"/>
      <c r="U207" s="72"/>
      <c r="V207" s="72"/>
      <c r="W207" s="72"/>
      <c r="X207" s="417"/>
      <c r="Y207" s="417"/>
      <c r="Z207" s="417"/>
      <c r="AA207" s="417"/>
      <c r="AB207" s="417"/>
    </row>
    <row r="208" spans="1:28" outlineLevel="1" x14ac:dyDescent="0.2">
      <c r="A208" s="72"/>
      <c r="B208" s="417"/>
      <c r="C208" s="417"/>
      <c r="D208" s="417"/>
      <c r="E208" s="282" t="str">
        <f>Translations!$B$668</f>
        <v>Collection efficiency</v>
      </c>
      <c r="F208" s="283"/>
      <c r="G208" s="284"/>
      <c r="H208" s="50"/>
      <c r="I208" s="197"/>
      <c r="J208" s="197"/>
      <c r="K208" s="270"/>
      <c r="L208" s="271"/>
      <c r="M208" s="271"/>
      <c r="N208" s="272"/>
      <c r="O208" s="417"/>
      <c r="P208" s="72"/>
      <c r="Q208" s="72"/>
      <c r="R208" s="72"/>
      <c r="S208" s="72"/>
      <c r="T208" s="72"/>
      <c r="U208" s="285" t="str">
        <f>U202</f>
        <v/>
      </c>
      <c r="V208" s="285">
        <v>0</v>
      </c>
      <c r="W208" s="92" t="b">
        <f>IF($L$6=EUconst_NotRelevant,TRUE,IF(V208&gt;0,(V208&lt;&gt;U208),IF(U208="",TRUE,FALSE)))</f>
        <v>1</v>
      </c>
      <c r="X208" s="417"/>
      <c r="Y208" s="417"/>
      <c r="Z208" s="417"/>
      <c r="AA208" s="417"/>
      <c r="AB208" s="417"/>
    </row>
    <row r="209" spans="1:28" outlineLevel="1" x14ac:dyDescent="0.2">
      <c r="A209" s="72"/>
      <c r="B209" s="417"/>
      <c r="C209" s="417"/>
      <c r="D209" s="411"/>
      <c r="E209" s="411"/>
      <c r="F209" s="411"/>
      <c r="G209" s="411"/>
      <c r="H209" s="411"/>
      <c r="I209" s="411"/>
      <c r="J209" s="411"/>
      <c r="K209" s="417"/>
      <c r="L209" s="417"/>
      <c r="M209" s="417"/>
      <c r="N209" s="417"/>
      <c r="O209" s="417"/>
      <c r="P209" s="72"/>
      <c r="Q209" s="72"/>
      <c r="R209" s="72"/>
      <c r="S209" s="72"/>
      <c r="T209" s="72"/>
      <c r="U209" s="15"/>
      <c r="V209" s="15"/>
      <c r="W209" s="15"/>
      <c r="X209" s="417"/>
      <c r="Y209" s="417"/>
      <c r="Z209" s="417"/>
      <c r="AA209" s="417"/>
      <c r="AB209" s="417"/>
    </row>
    <row r="210" spans="1:28" ht="15" outlineLevel="1" x14ac:dyDescent="0.2">
      <c r="A210" s="72"/>
      <c r="B210" s="417"/>
      <c r="C210" s="417"/>
      <c r="D210" s="1040" t="str">
        <f>Translations!$B$44</f>
        <v>Comments</v>
      </c>
      <c r="E210" s="1040"/>
      <c r="F210" s="1040"/>
      <c r="G210" s="1040"/>
      <c r="H210" s="1040"/>
      <c r="I210" s="1040"/>
      <c r="J210" s="1040"/>
      <c r="K210" s="1040"/>
      <c r="L210" s="1040"/>
      <c r="M210" s="1040"/>
      <c r="N210" s="1040"/>
      <c r="O210" s="417"/>
      <c r="P210" s="72"/>
      <c r="Q210" s="72"/>
      <c r="R210" s="72"/>
      <c r="S210" s="72"/>
      <c r="T210" s="72"/>
      <c r="U210" s="15"/>
      <c r="V210" s="15"/>
      <c r="W210" s="15"/>
      <c r="X210" s="417"/>
      <c r="Y210" s="417"/>
      <c r="Z210" s="417"/>
      <c r="AA210" s="417"/>
      <c r="AB210" s="417"/>
    </row>
    <row r="211" spans="1:28" s="11" customFormat="1" ht="12.75" customHeight="1" outlineLevel="1" x14ac:dyDescent="0.2">
      <c r="A211" s="15"/>
      <c r="D211" s="13" t="s">
        <v>853</v>
      </c>
      <c r="E211" s="924" t="str">
        <f>Translations!$B$546</f>
        <v>Comments:</v>
      </c>
      <c r="F211" s="924"/>
      <c r="G211" s="924"/>
      <c r="H211" s="924"/>
      <c r="I211" s="924"/>
      <c r="J211" s="924"/>
      <c r="K211" s="924"/>
      <c r="L211" s="924"/>
      <c r="M211" s="924"/>
      <c r="N211" s="924"/>
      <c r="O211" s="417"/>
      <c r="P211" s="15"/>
      <c r="Q211" s="15"/>
      <c r="R211" s="15"/>
      <c r="S211" s="15"/>
      <c r="T211" s="15"/>
      <c r="U211" s="15"/>
      <c r="V211" s="15"/>
      <c r="W211" s="15"/>
    </row>
    <row r="212" spans="1:28" s="11" customFormat="1" ht="5.0999999999999996" customHeight="1" outlineLevel="1" x14ac:dyDescent="0.2">
      <c r="A212" s="15"/>
      <c r="D212" s="13"/>
      <c r="E212" s="273"/>
      <c r="O212" s="417"/>
      <c r="P212" s="15"/>
      <c r="Q212" s="15"/>
      <c r="R212" s="15"/>
      <c r="S212" s="15"/>
      <c r="T212" s="15"/>
      <c r="U212" s="15"/>
      <c r="V212" s="15"/>
      <c r="W212" s="15"/>
    </row>
    <row r="213" spans="1:28" s="11" customFormat="1" ht="12.75" customHeight="1" outlineLevel="1" x14ac:dyDescent="0.2">
      <c r="A213" s="15"/>
      <c r="D213" s="13"/>
      <c r="E213" s="1164"/>
      <c r="F213" s="1165"/>
      <c r="G213" s="1165"/>
      <c r="H213" s="1165"/>
      <c r="I213" s="1165"/>
      <c r="J213" s="1165"/>
      <c r="K213" s="1165"/>
      <c r="L213" s="1165"/>
      <c r="M213" s="1165"/>
      <c r="N213" s="1166"/>
      <c r="O213" s="417"/>
      <c r="P213" s="15"/>
      <c r="Q213" s="15"/>
      <c r="R213" s="15"/>
      <c r="S213" s="15"/>
      <c r="T213" s="15"/>
      <c r="U213" s="285" t="str">
        <f>U208</f>
        <v/>
      </c>
      <c r="V213" s="285">
        <v>0</v>
      </c>
      <c r="W213" s="92" t="b">
        <f>IF($L$6=EUconst_NotRelevant,TRUE,IF(V213&gt;0,(V213&lt;&gt;U213),IF(U213="",TRUE,FALSE)))</f>
        <v>1</v>
      </c>
    </row>
    <row r="214" spans="1:28" s="11" customFormat="1" ht="12.75" customHeight="1" outlineLevel="1" x14ac:dyDescent="0.2">
      <c r="A214" s="15"/>
      <c r="D214" s="13"/>
      <c r="E214" s="1170"/>
      <c r="F214" s="1171"/>
      <c r="G214" s="1171"/>
      <c r="H214" s="1171"/>
      <c r="I214" s="1171"/>
      <c r="J214" s="1171"/>
      <c r="K214" s="1171"/>
      <c r="L214" s="1171"/>
      <c r="M214" s="1171"/>
      <c r="N214" s="1172"/>
      <c r="O214" s="417"/>
      <c r="P214" s="15"/>
      <c r="Q214" s="15"/>
      <c r="R214" s="15"/>
      <c r="S214" s="15"/>
      <c r="T214" s="15"/>
      <c r="U214" s="285" t="str">
        <f>U213</f>
        <v/>
      </c>
      <c r="V214" s="285">
        <v>0</v>
      </c>
      <c r="W214" s="92" t="b">
        <f>IF($L$6=EUconst_NotRelevant,TRUE,IF(V214&gt;0,(V214&lt;&gt;U214),IF(U214="",TRUE,FALSE)))</f>
        <v>1</v>
      </c>
    </row>
    <row r="215" spans="1:28" s="11" customFormat="1" ht="12.75" customHeight="1" outlineLevel="1" x14ac:dyDescent="0.2">
      <c r="A215" s="15"/>
      <c r="D215" s="13"/>
      <c r="E215" s="1167"/>
      <c r="F215" s="1168"/>
      <c r="G215" s="1168"/>
      <c r="H215" s="1168"/>
      <c r="I215" s="1168"/>
      <c r="J215" s="1168"/>
      <c r="K215" s="1168"/>
      <c r="L215" s="1168"/>
      <c r="M215" s="1168"/>
      <c r="N215" s="1169"/>
      <c r="O215" s="417"/>
      <c r="P215" s="15"/>
      <c r="Q215" s="15"/>
      <c r="R215" s="15"/>
      <c r="S215" s="15"/>
      <c r="T215" s="15"/>
      <c r="U215" s="285" t="str">
        <f>U214</f>
        <v/>
      </c>
      <c r="V215" s="285">
        <v>0</v>
      </c>
      <c r="W215" s="92" t="b">
        <f>IF($L$6=EUconst_NotRelevant,TRUE,IF(V215&gt;0,(V215&lt;&gt;U215),IF(U215="",TRUE,FALSE)))</f>
        <v>1</v>
      </c>
    </row>
    <row r="216" spans="1:28" s="11" customFormat="1" outlineLevel="1" x14ac:dyDescent="0.2">
      <c r="A216" s="15"/>
      <c r="D216" s="13"/>
      <c r="O216" s="417"/>
      <c r="P216" s="15"/>
      <c r="Q216" s="15"/>
      <c r="R216" s="15"/>
      <c r="S216" s="15"/>
      <c r="T216" s="15"/>
      <c r="U216" s="15"/>
      <c r="V216" s="15"/>
      <c r="W216" s="15"/>
    </row>
    <row r="217" spans="1:28" s="11" customFormat="1" ht="12.75" customHeight="1" outlineLevel="1" x14ac:dyDescent="0.2">
      <c r="A217" s="15"/>
      <c r="D217" s="13" t="s">
        <v>854</v>
      </c>
      <c r="E217" s="924" t="str">
        <f>Translations!$B$548</f>
        <v>Justification if required tiers are not applied:</v>
      </c>
      <c r="F217" s="924"/>
      <c r="G217" s="924"/>
      <c r="H217" s="924"/>
      <c r="I217" s="924"/>
      <c r="J217" s="924"/>
      <c r="K217" s="924"/>
      <c r="L217" s="924"/>
      <c r="M217" s="924"/>
      <c r="N217" s="924"/>
      <c r="O217" s="417"/>
      <c r="P217" s="15"/>
      <c r="Q217" s="15"/>
      <c r="R217" s="15"/>
      <c r="S217" s="15"/>
      <c r="T217" s="15"/>
      <c r="U217" s="15"/>
      <c r="V217" s="15"/>
      <c r="W217" s="15"/>
    </row>
    <row r="218" spans="1:28" ht="5.0999999999999996" customHeight="1" outlineLevel="1" x14ac:dyDescent="0.2">
      <c r="A218" s="72"/>
      <c r="E218" s="67"/>
      <c r="F218" s="67"/>
      <c r="G218" s="67"/>
      <c r="H218" s="67"/>
      <c r="I218" s="67"/>
      <c r="J218" s="67"/>
      <c r="K218" s="67"/>
      <c r="L218" s="67"/>
      <c r="M218" s="67"/>
      <c r="N218" s="113"/>
      <c r="O218" s="417"/>
      <c r="P218" s="114"/>
      <c r="Q218" s="72"/>
      <c r="R218" s="72"/>
      <c r="S218" s="72"/>
      <c r="T218" s="72"/>
      <c r="U218" s="72"/>
      <c r="V218" s="72"/>
      <c r="W218" s="72"/>
    </row>
    <row r="219" spans="1:28" s="11" customFormat="1" ht="12.75" customHeight="1" outlineLevel="1" x14ac:dyDescent="0.2">
      <c r="A219" s="15"/>
      <c r="D219" s="13"/>
      <c r="E219" s="1164"/>
      <c r="F219" s="1165"/>
      <c r="G219" s="1165"/>
      <c r="H219" s="1165"/>
      <c r="I219" s="1165"/>
      <c r="J219" s="1165"/>
      <c r="K219" s="1165"/>
      <c r="L219" s="1165"/>
      <c r="M219" s="1165"/>
      <c r="N219" s="1166"/>
      <c r="O219" s="417"/>
      <c r="P219" s="15"/>
      <c r="Q219" s="15"/>
      <c r="R219" s="15"/>
      <c r="S219" s="15"/>
      <c r="T219" s="15"/>
      <c r="U219" s="285" t="str">
        <f>U215</f>
        <v/>
      </c>
      <c r="V219" s="285">
        <v>0</v>
      </c>
      <c r="W219" s="92" t="b">
        <f>IF($L$6=EUconst_NotRelevant,TRUE,IF(V219&gt;0,(V219&lt;&gt;U219),IF(U219="",TRUE,FALSE)))</f>
        <v>1</v>
      </c>
    </row>
    <row r="220" spans="1:28" s="11" customFormat="1" ht="12.75" customHeight="1" outlineLevel="1" x14ac:dyDescent="0.2">
      <c r="A220" s="15"/>
      <c r="D220" s="13"/>
      <c r="E220" s="1170"/>
      <c r="F220" s="1171"/>
      <c r="G220" s="1171"/>
      <c r="H220" s="1171"/>
      <c r="I220" s="1171"/>
      <c r="J220" s="1171"/>
      <c r="K220" s="1171"/>
      <c r="L220" s="1171"/>
      <c r="M220" s="1171"/>
      <c r="N220" s="1172"/>
      <c r="O220" s="417"/>
      <c r="P220" s="15"/>
      <c r="Q220" s="15"/>
      <c r="R220" s="15"/>
      <c r="S220" s="15"/>
      <c r="T220" s="15"/>
      <c r="U220" s="285" t="str">
        <f>U219</f>
        <v/>
      </c>
      <c r="V220" s="285">
        <v>0</v>
      </c>
      <c r="W220" s="92" t="b">
        <f>IF($L$6=EUconst_NotRelevant,TRUE,IF(V220&gt;0,(V220&lt;&gt;U220),IF(U220="",TRUE,FALSE)))</f>
        <v>1</v>
      </c>
    </row>
    <row r="221" spans="1:28" s="11" customFormat="1" ht="12.75" customHeight="1" outlineLevel="1" x14ac:dyDescent="0.2">
      <c r="A221" s="15"/>
      <c r="D221" s="13"/>
      <c r="E221" s="1167"/>
      <c r="F221" s="1168"/>
      <c r="G221" s="1168"/>
      <c r="H221" s="1168"/>
      <c r="I221" s="1168"/>
      <c r="J221" s="1168"/>
      <c r="K221" s="1168"/>
      <c r="L221" s="1168"/>
      <c r="M221" s="1168"/>
      <c r="N221" s="1169"/>
      <c r="O221" s="417"/>
      <c r="P221" s="15"/>
      <c r="Q221" s="15"/>
      <c r="R221" s="15"/>
      <c r="S221" s="15"/>
      <c r="T221" s="15"/>
      <c r="U221" s="285" t="str">
        <f>U220</f>
        <v/>
      </c>
      <c r="V221" s="285">
        <v>0</v>
      </c>
      <c r="W221" s="92" t="b">
        <f>IF($L$6=EUconst_NotRelevant,TRUE,IF(V221&gt;0,(V221&lt;&gt;U221),IF(U221="",TRUE,FALSE)))</f>
        <v>1</v>
      </c>
    </row>
    <row r="222" spans="1:28" ht="12.75" customHeight="1" thickBot="1" x14ac:dyDescent="0.25">
      <c r="A222" s="17"/>
      <c r="B222" s="11"/>
      <c r="C222" s="54"/>
      <c r="D222" s="55"/>
      <c r="E222" s="56"/>
      <c r="F222" s="54"/>
      <c r="G222" s="57"/>
      <c r="H222" s="57"/>
      <c r="I222" s="57"/>
      <c r="J222" s="57"/>
      <c r="K222" s="57"/>
      <c r="L222" s="57"/>
      <c r="M222" s="57"/>
      <c r="N222" s="57"/>
      <c r="O222" s="417"/>
      <c r="P222" s="15"/>
      <c r="Q222" s="72"/>
      <c r="R222" s="72"/>
      <c r="S222" s="75"/>
      <c r="T222" s="72"/>
      <c r="U222" s="72"/>
      <c r="V222" s="72"/>
      <c r="W222" s="72"/>
    </row>
    <row r="223" spans="1:28" ht="13.5" thickBot="1" x14ac:dyDescent="0.25">
      <c r="A223" s="72"/>
      <c r="B223" s="417"/>
      <c r="C223" s="417"/>
      <c r="D223" s="411"/>
      <c r="E223" s="411"/>
      <c r="F223" s="411"/>
      <c r="G223" s="411"/>
      <c r="H223" s="411"/>
      <c r="I223" s="411"/>
      <c r="J223" s="411"/>
      <c r="K223" s="417"/>
      <c r="L223" s="417"/>
      <c r="M223" s="417"/>
      <c r="N223" s="417"/>
      <c r="O223" s="417"/>
      <c r="P223" s="72"/>
      <c r="Q223" s="72"/>
      <c r="R223" s="72"/>
      <c r="S223" s="72"/>
      <c r="T223" s="72"/>
      <c r="U223" s="72"/>
      <c r="V223" s="72"/>
      <c r="W223" s="72"/>
      <c r="X223" s="417"/>
      <c r="Y223" s="417"/>
      <c r="Z223" s="417"/>
      <c r="AA223" s="417"/>
      <c r="AB223" s="417"/>
    </row>
    <row r="224" spans="1:28" ht="15.75" thickBot="1" x14ac:dyDescent="0.25">
      <c r="A224" s="72"/>
      <c r="B224" s="417"/>
      <c r="C224" s="267" t="str">
        <f>INDEX($D$50:$D$55,Q224)</f>
        <v/>
      </c>
      <c r="D224" s="1040" t="str">
        <f>CONCATENATE(Euconst_SourceStream," ", Q224,":")</f>
        <v>Source Stream 3:</v>
      </c>
      <c r="E224" s="1040"/>
      <c r="F224" s="1040"/>
      <c r="G224" s="1066"/>
      <c r="H224" s="1067" t="str">
        <f>IF(INDEX($E$50:$E$55,Q224)="","",INDEX($E$50:$E$55,Q224))</f>
        <v/>
      </c>
      <c r="I224" s="1067"/>
      <c r="J224" s="1067"/>
      <c r="K224" s="1067"/>
      <c r="L224" s="1068"/>
      <c r="M224" s="1069" t="str">
        <f>IF(S224=TRUE,IF(U224="",T224,U224),"")</f>
        <v/>
      </c>
      <c r="N224" s="1070"/>
      <c r="O224" s="417"/>
      <c r="P224" s="72"/>
      <c r="Q224" s="33">
        <f>Q152+1</f>
        <v>3</v>
      </c>
      <c r="R224" s="37"/>
      <c r="S224" s="40" t="b">
        <f>IF(INDEX(C_InstallationDescription!$M:$M,MATCH(Q226,C_InstallationDescription!$Q:$Q,0))="",FALSE,TRUE)</f>
        <v>0</v>
      </c>
      <c r="T224" s="92" t="str">
        <f>IF(S224=TRUE,INDEX(C_InstallationDescription!$M:$M,MATCH(Q226,C_InstallationDescription!$Q:$Q,0)),"")</f>
        <v/>
      </c>
      <c r="U224" s="40" t="str">
        <f>IF(S224=TRUE,IF(ISBLANK(INDEX(C_InstallationDescription!$N:$N,MATCH(Q226,C_InstallationDescription!$Q:$Q,0))),"",INDEX(C_InstallationDescription!$N:$N,MATCH(Q226,C_InstallationDescription!$Q:$Q,0))),"")</f>
        <v/>
      </c>
      <c r="V224" s="285" t="str">
        <f>IF(ISNUMBER(INDEX(CNTR_ListPFCmethods,Q224)),INDEX(CNTR_ListPFCmethods,Q224),"")</f>
        <v/>
      </c>
      <c r="W224" s="72"/>
      <c r="X224" s="417"/>
      <c r="Y224" s="417"/>
      <c r="Z224" s="417"/>
      <c r="AA224" s="417"/>
      <c r="AB224" s="417"/>
    </row>
    <row r="225" spans="1:28" ht="5.0999999999999996" customHeight="1" x14ac:dyDescent="0.2">
      <c r="A225" s="72"/>
      <c r="C225" s="13"/>
      <c r="D225" s="257"/>
      <c r="E225" s="257"/>
      <c r="F225" s="257"/>
      <c r="G225" s="257"/>
      <c r="H225" s="276"/>
      <c r="I225" s="276"/>
      <c r="J225" s="276"/>
      <c r="K225" s="276"/>
      <c r="L225" s="276"/>
      <c r="M225" s="277"/>
      <c r="N225" s="277"/>
      <c r="P225" s="72"/>
      <c r="Q225" s="12"/>
      <c r="R225" s="23"/>
      <c r="S225" s="23"/>
      <c r="T225" s="23"/>
      <c r="U225" s="23"/>
      <c r="V225" s="72"/>
      <c r="W225" s="72"/>
      <c r="X225" s="417"/>
      <c r="Y225" s="417"/>
      <c r="Z225" s="417"/>
      <c r="AA225" s="417"/>
      <c r="AB225" s="417"/>
    </row>
    <row r="226" spans="1:28" s="24" customFormat="1" ht="12.75" customHeight="1" x14ac:dyDescent="0.2">
      <c r="A226" s="72"/>
      <c r="B226" s="8"/>
      <c r="C226" s="8"/>
      <c r="D226" s="13"/>
      <c r="E226" s="924" t="str">
        <f>Translations!$B$437</f>
        <v>Source stream type:</v>
      </c>
      <c r="F226" s="924"/>
      <c r="G226" s="925"/>
      <c r="H226" s="1071" t="str">
        <f>IF(INDEX($H$50:$H$55,Q224)="","",INDEX($H$50:$H$55,Q224))</f>
        <v/>
      </c>
      <c r="I226" s="1072"/>
      <c r="J226" s="1072"/>
      <c r="K226" s="1072"/>
      <c r="L226" s="1073"/>
      <c r="O226" s="7"/>
      <c r="P226" s="17"/>
      <c r="Q226" s="39" t="str">
        <f>EUconst_CNTR_SourceCategory&amp;C224</f>
        <v>SourceCategory_</v>
      </c>
      <c r="R226" s="23"/>
      <c r="S226" s="23"/>
      <c r="T226" s="23"/>
      <c r="U226" s="23"/>
      <c r="V226" s="23"/>
      <c r="W226" s="23"/>
    </row>
    <row r="227" spans="1:28" s="24" customFormat="1" outlineLevel="1" x14ac:dyDescent="0.2">
      <c r="A227" s="29"/>
      <c r="B227" s="8"/>
      <c r="C227" s="8"/>
      <c r="D227" s="11"/>
      <c r="E227" s="924" t="str">
        <f>Translations!$B$438</f>
        <v>Method applicable according to MRR:</v>
      </c>
      <c r="F227" s="924"/>
      <c r="G227" s="925"/>
      <c r="H227" s="1062" t="str">
        <f>IF(H226="","",INDEX(EUwideConstants!$F$265:$F$325,MATCH(H226,EUConst_TierActivityListNames,0)))</f>
        <v/>
      </c>
      <c r="I227" s="1062"/>
      <c r="J227" s="1062"/>
      <c r="K227" s="1062"/>
      <c r="L227" s="1062"/>
      <c r="M227" s="2"/>
      <c r="N227" s="2"/>
      <c r="O227" s="7"/>
      <c r="P227" s="17"/>
      <c r="Q227" s="12"/>
      <c r="R227" s="23"/>
      <c r="S227" s="23"/>
      <c r="T227" s="23"/>
      <c r="U227" s="23"/>
      <c r="V227" s="23"/>
      <c r="W227" s="23"/>
    </row>
    <row r="228" spans="1:28" s="24" customFormat="1" ht="25.5" customHeight="1" outlineLevel="1" x14ac:dyDescent="0.2">
      <c r="A228" s="29"/>
      <c r="D228" s="38"/>
      <c r="E228" s="924" t="str">
        <f>Translations!$B$439</f>
        <v>Parameter to which uncertainty applies:</v>
      </c>
      <c r="F228" s="924"/>
      <c r="G228" s="925"/>
      <c r="H228" s="1175" t="str">
        <f>IF(H226="","",INDEX(EUwideConstants!$E$265:$E$325,MATCH(H226,EUConst_TierActivityListNames,0)))</f>
        <v/>
      </c>
      <c r="I228" s="1176"/>
      <c r="J228" s="1176"/>
      <c r="K228" s="1176"/>
      <c r="L228" s="1177"/>
      <c r="P228" s="17"/>
      <c r="Q228" s="12"/>
      <c r="R228" s="23"/>
      <c r="S228" s="23"/>
      <c r="T228" s="23"/>
      <c r="U228" s="23"/>
      <c r="V228" s="23"/>
      <c r="W228" s="23"/>
    </row>
    <row r="229" spans="1:28" s="24" customFormat="1" ht="5.0999999999999996" customHeight="1" outlineLevel="1" x14ac:dyDescent="0.2">
      <c r="A229" s="29"/>
      <c r="D229" s="38"/>
      <c r="E229" s="129"/>
      <c r="F229" s="129"/>
      <c r="G229" s="129"/>
      <c r="H229" s="134"/>
      <c r="I229" s="134"/>
      <c r="J229" s="134"/>
      <c r="K229" s="134"/>
      <c r="L229" s="134"/>
      <c r="P229" s="17"/>
      <c r="Q229" s="12"/>
      <c r="R229" s="23"/>
      <c r="S229" s="23"/>
      <c r="T229" s="23"/>
      <c r="U229" s="23"/>
      <c r="V229" s="23"/>
      <c r="W229" s="23"/>
    </row>
    <row r="230" spans="1:28" s="11" customFormat="1" ht="15" outlineLevel="1" x14ac:dyDescent="0.2">
      <c r="A230" s="15"/>
      <c r="C230" s="13"/>
      <c r="D230" s="1040" t="str">
        <f>Translations!$B$446</f>
        <v>Automatic guidance on applicable tiers:</v>
      </c>
      <c r="E230" s="1040"/>
      <c r="F230" s="1040"/>
      <c r="G230" s="1040"/>
      <c r="H230" s="1040"/>
      <c r="I230" s="1040"/>
      <c r="J230" s="1040"/>
      <c r="K230" s="1040"/>
      <c r="L230" s="1040"/>
      <c r="M230" s="1040"/>
      <c r="N230" s="1040"/>
      <c r="O230" s="417"/>
      <c r="P230" s="15"/>
      <c r="Q230" s="15"/>
      <c r="R230" s="15"/>
      <c r="S230" s="15"/>
      <c r="T230" s="15"/>
      <c r="U230" s="15"/>
      <c r="V230" s="15"/>
      <c r="W230" s="15"/>
    </row>
    <row r="231" spans="1:28" s="11" customFormat="1" ht="5.0999999999999996" customHeight="1" outlineLevel="1" x14ac:dyDescent="0.2">
      <c r="A231" s="15"/>
      <c r="C231" s="13"/>
      <c r="D231" s="257"/>
      <c r="E231" s="257"/>
      <c r="F231" s="257"/>
      <c r="G231" s="257"/>
      <c r="H231" s="257"/>
      <c r="I231" s="257"/>
      <c r="J231" s="257"/>
      <c r="K231" s="257"/>
      <c r="L231" s="257"/>
      <c r="M231" s="257"/>
      <c r="N231" s="257"/>
      <c r="O231" s="417"/>
      <c r="P231" s="15"/>
      <c r="Q231" s="15"/>
      <c r="R231" s="15"/>
      <c r="S231" s="15"/>
      <c r="T231" s="15"/>
      <c r="U231" s="15"/>
      <c r="V231" s="15"/>
      <c r="W231" s="15"/>
    </row>
    <row r="232" spans="1:28" s="11" customFormat="1" ht="51" customHeight="1" outlineLevel="1" x14ac:dyDescent="0.2">
      <c r="A232" s="15"/>
      <c r="C232" s="13"/>
      <c r="E232" s="1063" t="str">
        <f>IF(H224="","",INDEX(EUconst_SmallEmiSouStreamMsg,MATCH(Q232,EUconst_SmallEmiSouStream,0)))</f>
        <v/>
      </c>
      <c r="F232" s="1064"/>
      <c r="G232" s="1064"/>
      <c r="H232" s="1064"/>
      <c r="I232" s="1064"/>
      <c r="J232" s="1064"/>
      <c r="K232" s="1064"/>
      <c r="L232" s="1064"/>
      <c r="M232" s="1064"/>
      <c r="N232" s="1065"/>
      <c r="O232" s="417"/>
      <c r="P232" s="15"/>
      <c r="Q232" s="275" t="str">
        <f>IF(ISBLANK(CNTR_SmallEmitter),IF(CNTR_SmallEmitter=TRUE,EUconst_CNTR_SmallEmitter,EUconst_CNTR_NoSmallEmitter),EUconst_CNTR_NoSmallEmitter) &amp; IF((CNTR_Category)="","C",CNTR_Category) &amp; "_" &amp; IF(M224="",1,MATCH(M224,SourceCategory,0))</f>
        <v>NoSmallEmitter_C_1</v>
      </c>
      <c r="R232" s="15"/>
      <c r="S232" s="15"/>
      <c r="T232" s="15"/>
      <c r="U232" s="15"/>
      <c r="V232" s="15"/>
      <c r="W232" s="15"/>
    </row>
    <row r="233" spans="1:28" ht="5.0999999999999996" customHeight="1" outlineLevel="1" x14ac:dyDescent="0.2">
      <c r="A233" s="72"/>
      <c r="B233" s="417"/>
      <c r="C233" s="417"/>
      <c r="D233" s="411"/>
      <c r="E233" s="411"/>
      <c r="F233" s="411"/>
      <c r="G233" s="411"/>
      <c r="H233" s="411"/>
      <c r="I233" s="411"/>
      <c r="J233" s="411"/>
      <c r="K233" s="417"/>
      <c r="L233" s="417"/>
      <c r="M233" s="417"/>
      <c r="N233" s="417"/>
      <c r="O233" s="417"/>
      <c r="P233" s="72"/>
      <c r="Q233" s="72"/>
      <c r="R233" s="72"/>
      <c r="S233" s="72"/>
      <c r="T233" s="72"/>
      <c r="U233" s="72"/>
      <c r="V233" s="72"/>
      <c r="W233" s="72"/>
      <c r="X233" s="417"/>
      <c r="Y233" s="417"/>
      <c r="Z233" s="417"/>
      <c r="AA233" s="417"/>
      <c r="AB233" s="417"/>
    </row>
    <row r="234" spans="1:28" ht="15" customHeight="1" outlineLevel="1" x14ac:dyDescent="0.2">
      <c r="A234" s="72"/>
      <c r="B234" s="417"/>
      <c r="C234" s="278"/>
      <c r="D234" s="1040" t="str">
        <f>Translations!$B$652</f>
        <v>Activity Data</v>
      </c>
      <c r="E234" s="1040"/>
      <c r="F234" s="1040"/>
      <c r="G234" s="1040"/>
      <c r="H234" s="1040"/>
      <c r="I234" s="1040"/>
      <c r="J234" s="1040"/>
      <c r="K234" s="1040"/>
      <c r="L234" s="1040"/>
      <c r="M234" s="1040"/>
      <c r="N234" s="1040"/>
      <c r="O234" s="417"/>
      <c r="P234" s="72"/>
      <c r="Q234" s="72"/>
      <c r="R234" s="72"/>
      <c r="S234" s="72"/>
      <c r="T234" s="72"/>
      <c r="U234" s="72"/>
      <c r="V234" s="72"/>
      <c r="W234" s="72"/>
      <c r="X234" s="417"/>
      <c r="Y234" s="417"/>
      <c r="Z234" s="417"/>
      <c r="AA234" s="417"/>
      <c r="AB234" s="417"/>
    </row>
    <row r="235" spans="1:28" ht="5.0999999999999996" customHeight="1" outlineLevel="1" x14ac:dyDescent="0.2">
      <c r="A235" s="72"/>
      <c r="B235" s="417"/>
      <c r="C235" s="278"/>
      <c r="D235" s="257"/>
      <c r="E235" s="257"/>
      <c r="F235" s="257"/>
      <c r="G235" s="257"/>
      <c r="H235" s="257"/>
      <c r="I235" s="257"/>
      <c r="J235" s="257"/>
      <c r="K235" s="257"/>
      <c r="L235" s="257"/>
      <c r="M235" s="257"/>
      <c r="N235" s="257"/>
      <c r="O235" s="417"/>
      <c r="P235" s="72"/>
      <c r="Q235" s="72"/>
      <c r="R235" s="72"/>
      <c r="S235" s="72"/>
      <c r="T235" s="72"/>
      <c r="U235" s="72"/>
      <c r="V235" s="72"/>
      <c r="W235" s="72"/>
      <c r="X235" s="417"/>
      <c r="Y235" s="417"/>
      <c r="Z235" s="417"/>
      <c r="AA235" s="417"/>
      <c r="AB235" s="417"/>
    </row>
    <row r="236" spans="1:28" outlineLevel="1" x14ac:dyDescent="0.2">
      <c r="A236" s="72"/>
      <c r="B236" s="417"/>
      <c r="C236" s="337"/>
      <c r="D236" s="337" t="str">
        <f>Translations!$B$653</f>
        <v>Primary aluminium production:</v>
      </c>
      <c r="E236" s="411"/>
      <c r="F236" s="411"/>
      <c r="G236" s="411"/>
      <c r="H236" s="411"/>
      <c r="I236" s="411"/>
      <c r="J236" s="411"/>
      <c r="K236" s="417"/>
      <c r="L236" s="417"/>
      <c r="M236" s="417"/>
      <c r="N236" s="417"/>
      <c r="O236" s="417"/>
      <c r="P236" s="72"/>
      <c r="Q236" s="72"/>
      <c r="R236" s="72"/>
      <c r="S236" s="72"/>
      <c r="T236" s="72"/>
      <c r="U236" s="72" t="s">
        <v>1509</v>
      </c>
      <c r="V236" s="72" t="s">
        <v>1506</v>
      </c>
      <c r="W236" s="72" t="s">
        <v>281</v>
      </c>
      <c r="X236" s="417"/>
      <c r="Y236" s="417"/>
      <c r="Z236" s="417"/>
      <c r="AA236" s="417"/>
      <c r="AB236" s="417"/>
    </row>
    <row r="237" spans="1:28" outlineLevel="1" x14ac:dyDescent="0.2">
      <c r="A237" s="72"/>
      <c r="B237" s="417"/>
      <c r="C237" s="417"/>
      <c r="D237" s="13" t="s">
        <v>1020</v>
      </c>
      <c r="E237" s="14" t="str">
        <f>Translations!$B$477</f>
        <v>Activity data tier level required:</v>
      </c>
      <c r="F237" s="11"/>
      <c r="G237" s="11"/>
      <c r="H237" s="268" t="str">
        <f>IF(H226="","",IF(CNTR_Category="A",INDEX(EUwideConstants!$G:$G,MATCH(Q237,EUwideConstants!$S:$S,0)),INDEX(EUwideConstants!$P:$P,MATCH(Q237,EUwideConstants!$S:$S,0))))</f>
        <v/>
      </c>
      <c r="I237" s="1163" t="str">
        <f>IF(H237="","",IF(S237=0,EUconst_NA,IF(ISERROR(S237),"",EUconst_MsgTierActivityLevel &amp; " " &amp;S237)))</f>
        <v/>
      </c>
      <c r="J237" s="929"/>
      <c r="K237" s="929"/>
      <c r="L237" s="929"/>
      <c r="M237" s="929"/>
      <c r="N237" s="887"/>
      <c r="O237" s="417"/>
      <c r="P237" s="72"/>
      <c r="Q237" s="92" t="str">
        <f>EUconst_CNTR_ActivityData&amp;H226</f>
        <v>ActivityData_</v>
      </c>
      <c r="R237" s="29"/>
      <c r="S237" s="32" t="str">
        <f>IF(H237="","",IF(H237=EUconst_NA,"",INDEX(EUwideConstants!$H:$O,MATCH(Q237,EUwideConstants!$S:$S,0),MATCH(H237,CNTR_TierList,0))))</f>
        <v/>
      </c>
      <c r="T237" s="72"/>
      <c r="U237" s="285" t="str">
        <f>V224</f>
        <v/>
      </c>
      <c r="V237" s="285">
        <v>0</v>
      </c>
      <c r="W237" s="92" t="b">
        <f>IF($L$6=EUconst_NotRelevant,TRUE,IF(V237&gt;0,(V237&lt;&gt;U237),IF(U237="",TRUE,FALSE)))</f>
        <v>1</v>
      </c>
      <c r="X237" s="417"/>
      <c r="Y237" s="417"/>
      <c r="Z237" s="417"/>
      <c r="AA237" s="417"/>
      <c r="AB237" s="417"/>
    </row>
    <row r="238" spans="1:28" outlineLevel="1" x14ac:dyDescent="0.2">
      <c r="A238" s="72"/>
      <c r="B238" s="417"/>
      <c r="C238" s="417"/>
      <c r="D238" s="13" t="s">
        <v>554</v>
      </c>
      <c r="E238" s="14" t="str">
        <f>Translations!$B$478</f>
        <v>Activity data tier used:</v>
      </c>
      <c r="F238" s="11"/>
      <c r="G238" s="11"/>
      <c r="H238" s="197"/>
      <c r="I238" s="1163" t="str">
        <f>IF(OR(ISBLANK(H238),H238=EUconst_NoTier),"",IF(S238=0,EUconst_NA,IF(ISERROR(S238),"",EUconst_MsgTierActivityLevel &amp; " " &amp;S238)))</f>
        <v/>
      </c>
      <c r="J238" s="929"/>
      <c r="K238" s="929"/>
      <c r="L238" s="929"/>
      <c r="M238" s="929"/>
      <c r="N238" s="887"/>
      <c r="O238" s="417"/>
      <c r="P238" s="72"/>
      <c r="Q238" s="92" t="str">
        <f>EUconst_CNTR_ActivityData&amp;H226</f>
        <v>ActivityData_</v>
      </c>
      <c r="R238" s="29"/>
      <c r="S238" s="32" t="str">
        <f>IF(ISBLANK(H238),"",IF(H238=EUconst_NA,"",INDEX(EUwideConstants!$H:$O,MATCH(Q238,EUwideConstants!$S:$S,0),MATCH(H238,CNTR_TierList,0))))</f>
        <v/>
      </c>
      <c r="T238" s="72"/>
      <c r="U238" s="285" t="str">
        <f>U237</f>
        <v/>
      </c>
      <c r="V238" s="285">
        <v>0</v>
      </c>
      <c r="W238" s="92" t="b">
        <f>IF($L$6=EUconst_NotRelevant,TRUE,IF(V238&gt;0,(V238&lt;&gt;U238),IF(U238="",TRUE,FALSE)))</f>
        <v>1</v>
      </c>
      <c r="X238" s="417"/>
      <c r="Y238" s="417"/>
      <c r="Z238" s="417"/>
      <c r="AA238" s="417"/>
      <c r="AB238" s="417"/>
    </row>
    <row r="239" spans="1:28" outlineLevel="1" x14ac:dyDescent="0.2">
      <c r="A239" s="72"/>
      <c r="B239" s="417"/>
      <c r="C239" s="417"/>
      <c r="D239" s="13" t="s">
        <v>1022</v>
      </c>
      <c r="E239" s="14" t="str">
        <f>Translations!$B$479</f>
        <v>Uncertainty achieved:</v>
      </c>
      <c r="F239" s="11"/>
      <c r="G239" s="11"/>
      <c r="H239" s="269"/>
      <c r="I239" s="14" t="str">
        <f>Translations!$B$480</f>
        <v>Comment:</v>
      </c>
      <c r="J239" s="1162"/>
      <c r="K239" s="1140"/>
      <c r="L239" s="1140"/>
      <c r="M239" s="1140"/>
      <c r="N239" s="1141"/>
      <c r="O239" s="417"/>
      <c r="P239" s="72"/>
      <c r="Q239" s="72"/>
      <c r="R239" s="72"/>
      <c r="S239" s="72"/>
      <c r="T239" s="72"/>
      <c r="U239" s="285" t="str">
        <f>U238</f>
        <v/>
      </c>
      <c r="V239" s="285">
        <v>0</v>
      </c>
      <c r="W239" s="92" t="b">
        <f>IF($L$6=EUconst_NotRelevant,TRUE,IF(V239&gt;0,(V239&lt;&gt;U239),IF(U239="",TRUE,FALSE)))</f>
        <v>1</v>
      </c>
      <c r="X239" s="417"/>
      <c r="Y239" s="417"/>
      <c r="Z239" s="417"/>
      <c r="AA239" s="417"/>
      <c r="AB239" s="417"/>
    </row>
    <row r="240" spans="1:28" ht="5.0999999999999996" customHeight="1" outlineLevel="1" x14ac:dyDescent="0.2">
      <c r="A240" s="72"/>
      <c r="B240" s="417"/>
      <c r="C240" s="417"/>
      <c r="D240" s="417"/>
      <c r="E240" s="411"/>
      <c r="F240" s="411"/>
      <c r="G240" s="411"/>
      <c r="H240" s="411"/>
      <c r="I240" s="411"/>
      <c r="J240" s="411"/>
      <c r="K240" s="411"/>
      <c r="L240" s="417"/>
      <c r="M240" s="417"/>
      <c r="N240" s="417"/>
      <c r="O240" s="417"/>
      <c r="P240" s="72"/>
      <c r="Q240" s="72"/>
      <c r="R240" s="72"/>
      <c r="S240" s="72"/>
      <c r="T240" s="72"/>
      <c r="U240" s="72"/>
      <c r="V240" s="72"/>
      <c r="W240" s="72"/>
      <c r="X240" s="417"/>
      <c r="Y240" s="417"/>
      <c r="Z240" s="417"/>
      <c r="AA240" s="417"/>
      <c r="AB240" s="417"/>
    </row>
    <row r="241" spans="1:28" outlineLevel="1" x14ac:dyDescent="0.2">
      <c r="A241" s="72"/>
      <c r="B241" s="417"/>
      <c r="C241" s="417"/>
      <c r="D241" s="337" t="str">
        <f>Translations!$B$654</f>
        <v>Method A: number of Anode effects per cell-day</v>
      </c>
      <c r="E241" s="411"/>
      <c r="F241" s="411"/>
      <c r="G241" s="411"/>
      <c r="H241" s="411"/>
      <c r="I241" s="411"/>
      <c r="J241" s="411"/>
      <c r="K241" s="411"/>
      <c r="L241" s="417"/>
      <c r="M241" s="417"/>
      <c r="N241" s="417"/>
      <c r="O241" s="417"/>
      <c r="P241" s="72"/>
      <c r="Q241" s="72"/>
      <c r="R241" s="72"/>
      <c r="S241" s="72"/>
      <c r="T241" s="72"/>
      <c r="U241" s="72"/>
      <c r="V241" s="72"/>
      <c r="W241" s="72"/>
      <c r="X241" s="417"/>
      <c r="Y241" s="417"/>
      <c r="Z241" s="417"/>
      <c r="AA241" s="417"/>
      <c r="AB241" s="417"/>
    </row>
    <row r="242" spans="1:28" outlineLevel="1" x14ac:dyDescent="0.2">
      <c r="A242" s="72"/>
      <c r="B242" s="417"/>
      <c r="C242" s="417"/>
      <c r="D242" s="13" t="s">
        <v>1023</v>
      </c>
      <c r="E242" s="14" t="str">
        <f>Translations!$B$477</f>
        <v>Activity data tier level required:</v>
      </c>
      <c r="F242" s="11"/>
      <c r="G242" s="11"/>
      <c r="H242" s="268" t="str">
        <f>IF(W242,"",H237)</f>
        <v/>
      </c>
      <c r="I242" s="1163" t="str">
        <f>IF(W242,"",I237)</f>
        <v/>
      </c>
      <c r="J242" s="929"/>
      <c r="K242" s="929"/>
      <c r="L242" s="929"/>
      <c r="M242" s="929"/>
      <c r="N242" s="887"/>
      <c r="O242" s="417"/>
      <c r="P242" s="72"/>
      <c r="Q242" s="72"/>
      <c r="R242" s="29"/>
      <c r="S242" s="23"/>
      <c r="T242" s="72"/>
      <c r="U242" s="285" t="str">
        <f>U239</f>
        <v/>
      </c>
      <c r="V242" s="285">
        <v>1</v>
      </c>
      <c r="W242" s="92" t="b">
        <f>IF($L$6=EUconst_NotRelevant,TRUE,IF(V242&gt;0,(V242&lt;&gt;U242),IF(U242="",TRUE,FALSE)))</f>
        <v>1</v>
      </c>
      <c r="X242" s="417"/>
      <c r="Y242" s="417"/>
      <c r="Z242" s="417"/>
      <c r="AA242" s="417"/>
      <c r="AB242" s="417"/>
    </row>
    <row r="243" spans="1:28" outlineLevel="1" x14ac:dyDescent="0.2">
      <c r="A243" s="72"/>
      <c r="B243" s="417"/>
      <c r="C243" s="417"/>
      <c r="D243" s="13" t="s">
        <v>1019</v>
      </c>
      <c r="E243" s="14" t="str">
        <f>Translations!$B$478</f>
        <v>Activity data tier used:</v>
      </c>
      <c r="F243" s="11"/>
      <c r="G243" s="11"/>
      <c r="H243" s="197"/>
      <c r="I243" s="1163" t="str">
        <f>IF(OR(ISBLANK(H243),H243=EUconst_NoTier),"",IF(S243=0,EUconst_NA,IF(ISERROR(S243),"",EUconst_MsgTierActivityLevel &amp; " " &amp;S243)))</f>
        <v/>
      </c>
      <c r="J243" s="929"/>
      <c r="K243" s="929"/>
      <c r="L243" s="929"/>
      <c r="M243" s="929"/>
      <c r="N243" s="887"/>
      <c r="O243" s="417"/>
      <c r="P243" s="72"/>
      <c r="Q243" s="92" t="str">
        <f>EUconst_CNTR_ActivityData&amp;H226</f>
        <v>ActivityData_</v>
      </c>
      <c r="R243" s="29"/>
      <c r="S243" s="32" t="str">
        <f>IF(ISBLANK(H243),"",IF(H243=EUconst_NA,"",INDEX(EUwideConstants!$H:$O,MATCH(Q243,EUwideConstants!$S:$S,0),MATCH(H243,CNTR_TierList,0))))</f>
        <v/>
      </c>
      <c r="T243" s="72"/>
      <c r="U243" s="285" t="str">
        <f>U242</f>
        <v/>
      </c>
      <c r="V243" s="285">
        <v>1</v>
      </c>
      <c r="W243" s="92" t="b">
        <f>IF($L$6=EUconst_NotRelevant,TRUE,IF(V243&gt;0,(V243&lt;&gt;U243),IF(U243="",TRUE,FALSE)))</f>
        <v>1</v>
      </c>
      <c r="X243" s="417"/>
      <c r="Y243" s="417"/>
      <c r="Z243" s="417"/>
      <c r="AA243" s="417"/>
      <c r="AB243" s="417"/>
    </row>
    <row r="244" spans="1:28" outlineLevel="1" x14ac:dyDescent="0.2">
      <c r="A244" s="72"/>
      <c r="B244" s="417"/>
      <c r="C244" s="417"/>
      <c r="D244" s="13" t="s">
        <v>1349</v>
      </c>
      <c r="E244" s="14" t="str">
        <f>Translations!$B$479</f>
        <v>Uncertainty achieved:</v>
      </c>
      <c r="F244" s="11"/>
      <c r="G244" s="11"/>
      <c r="H244" s="269"/>
      <c r="I244" s="14" t="str">
        <f>Translations!$B$480</f>
        <v>Comment:</v>
      </c>
      <c r="J244" s="1162"/>
      <c r="K244" s="1140"/>
      <c r="L244" s="1140"/>
      <c r="M244" s="1140"/>
      <c r="N244" s="1141"/>
      <c r="O244" s="417"/>
      <c r="P244" s="72"/>
      <c r="Q244" s="72"/>
      <c r="R244" s="72"/>
      <c r="S244" s="72"/>
      <c r="T244" s="72"/>
      <c r="U244" s="285" t="str">
        <f>U243</f>
        <v/>
      </c>
      <c r="V244" s="285">
        <v>1</v>
      </c>
      <c r="W244" s="92" t="b">
        <f>IF($L$6=EUconst_NotRelevant,TRUE,IF(V244&gt;0,(V244&lt;&gt;U244),IF(U244="",TRUE,FALSE)))</f>
        <v>1</v>
      </c>
      <c r="X244" s="417"/>
      <c r="Y244" s="417"/>
      <c r="Z244" s="417"/>
      <c r="AA244" s="417"/>
      <c r="AB244" s="417"/>
    </row>
    <row r="245" spans="1:28" ht="5.0999999999999996" customHeight="1" outlineLevel="1" x14ac:dyDescent="0.2">
      <c r="A245" s="72"/>
      <c r="B245" s="417"/>
      <c r="C245" s="417"/>
      <c r="D245" s="417"/>
      <c r="E245" s="411"/>
      <c r="F245" s="411"/>
      <c r="G245" s="411"/>
      <c r="H245" s="411"/>
      <c r="I245" s="411"/>
      <c r="J245" s="411"/>
      <c r="K245" s="411"/>
      <c r="L245" s="417"/>
      <c r="M245" s="417"/>
      <c r="N245" s="417"/>
      <c r="O245" s="417"/>
      <c r="P245" s="72"/>
      <c r="Q245" s="72"/>
      <c r="R245" s="72"/>
      <c r="S245" s="72"/>
      <c r="T245" s="72"/>
      <c r="U245" s="72"/>
      <c r="V245" s="72"/>
      <c r="W245" s="72"/>
      <c r="X245" s="417"/>
      <c r="Y245" s="417"/>
      <c r="Z245" s="417"/>
      <c r="AA245" s="417"/>
      <c r="AB245" s="417"/>
    </row>
    <row r="246" spans="1:28" outlineLevel="1" x14ac:dyDescent="0.2">
      <c r="A246" s="72"/>
      <c r="B246" s="417"/>
      <c r="C246" s="417"/>
      <c r="D246" s="337" t="str">
        <f>Translations!$B$655</f>
        <v>Method A: average anode effect minutes per occurrence</v>
      </c>
      <c r="E246" s="411"/>
      <c r="F246" s="411"/>
      <c r="G246" s="411"/>
      <c r="H246" s="411"/>
      <c r="I246" s="411"/>
      <c r="J246" s="411"/>
      <c r="K246" s="411"/>
      <c r="L246" s="417"/>
      <c r="M246" s="417"/>
      <c r="N246" s="417"/>
      <c r="O246" s="417"/>
      <c r="P246" s="72"/>
      <c r="Q246" s="72"/>
      <c r="R246" s="72"/>
      <c r="S246" s="72"/>
      <c r="T246" s="72"/>
      <c r="U246" s="72"/>
      <c r="V246" s="72"/>
      <c r="W246" s="72"/>
      <c r="X246" s="417"/>
      <c r="Y246" s="417"/>
      <c r="Z246" s="417"/>
      <c r="AA246" s="417"/>
      <c r="AB246" s="417"/>
    </row>
    <row r="247" spans="1:28" outlineLevel="1" x14ac:dyDescent="0.2">
      <c r="A247" s="72"/>
      <c r="B247" s="417"/>
      <c r="C247" s="417"/>
      <c r="D247" s="13" t="s">
        <v>1351</v>
      </c>
      <c r="E247" s="14" t="str">
        <f>Translations!$B$477</f>
        <v>Activity data tier level required:</v>
      </c>
      <c r="F247" s="11"/>
      <c r="G247" s="11"/>
      <c r="H247" s="268" t="str">
        <f>IF(W247,"",H237)</f>
        <v/>
      </c>
      <c r="I247" s="1163" t="str">
        <f>IF(W247,"",I237)</f>
        <v/>
      </c>
      <c r="J247" s="929"/>
      <c r="K247" s="929"/>
      <c r="L247" s="929"/>
      <c r="M247" s="929"/>
      <c r="N247" s="887"/>
      <c r="O247" s="417"/>
      <c r="P247" s="72"/>
      <c r="Q247" s="72"/>
      <c r="R247" s="29"/>
      <c r="S247" s="23"/>
      <c r="T247" s="72"/>
      <c r="U247" s="285" t="str">
        <f>U244</f>
        <v/>
      </c>
      <c r="V247" s="285">
        <v>1</v>
      </c>
      <c r="W247" s="92" t="b">
        <f>IF($L$6=EUconst_NotRelevant,TRUE,IF(V247&gt;0,(V247&lt;&gt;U247),IF(U247="",TRUE,FALSE)))</f>
        <v>1</v>
      </c>
      <c r="X247" s="417"/>
      <c r="Y247" s="417"/>
      <c r="Z247" s="417"/>
      <c r="AA247" s="417"/>
      <c r="AB247" s="417"/>
    </row>
    <row r="248" spans="1:28" outlineLevel="1" x14ac:dyDescent="0.2">
      <c r="A248" s="72"/>
      <c r="B248" s="417"/>
      <c r="C248" s="417"/>
      <c r="D248" s="13" t="s">
        <v>1352</v>
      </c>
      <c r="E248" s="14" t="str">
        <f>Translations!$B$478</f>
        <v>Activity data tier used:</v>
      </c>
      <c r="F248" s="11"/>
      <c r="G248" s="11"/>
      <c r="H248" s="197"/>
      <c r="I248" s="1163" t="str">
        <f>IF(OR(ISBLANK(H248),H248=EUconst_NoTier),"",IF(S248=0,EUconst_NA,IF(ISERROR(S248),"",EUconst_MsgTierActivityLevel &amp; " " &amp;S248)))</f>
        <v/>
      </c>
      <c r="J248" s="929"/>
      <c r="K248" s="929"/>
      <c r="L248" s="929"/>
      <c r="M248" s="929"/>
      <c r="N248" s="887"/>
      <c r="O248" s="417"/>
      <c r="P248" s="72"/>
      <c r="Q248" s="92" t="str">
        <f>EUconst_CNTR_ActivityData&amp;H226</f>
        <v>ActivityData_</v>
      </c>
      <c r="R248" s="29"/>
      <c r="S248" s="32" t="str">
        <f>IF(ISBLANK(H248),"",IF(H248=EUconst_NA,"",INDEX(EUwideConstants!$H:$O,MATCH(Q248,EUwideConstants!$S:$S,0),MATCH(H248,CNTR_TierList,0))))</f>
        <v/>
      </c>
      <c r="T248" s="72"/>
      <c r="U248" s="285" t="str">
        <f>U247</f>
        <v/>
      </c>
      <c r="V248" s="285">
        <v>1</v>
      </c>
      <c r="W248" s="92" t="b">
        <f>IF($L$6=EUconst_NotRelevant,TRUE,IF(V248&gt;0,(V248&lt;&gt;U248),IF(U248="",TRUE,FALSE)))</f>
        <v>1</v>
      </c>
      <c r="X248" s="417"/>
      <c r="Y248" s="417"/>
      <c r="Z248" s="417"/>
      <c r="AA248" s="417"/>
      <c r="AB248" s="417"/>
    </row>
    <row r="249" spans="1:28" outlineLevel="1" x14ac:dyDescent="0.2">
      <c r="A249" s="72"/>
      <c r="B249" s="417"/>
      <c r="C249" s="417"/>
      <c r="D249" s="13" t="s">
        <v>1516</v>
      </c>
      <c r="E249" s="14" t="str">
        <f>Translations!$B$479</f>
        <v>Uncertainty achieved:</v>
      </c>
      <c r="F249" s="11"/>
      <c r="G249" s="11"/>
      <c r="H249" s="269"/>
      <c r="I249" s="14" t="str">
        <f>Translations!$B$480</f>
        <v>Comment:</v>
      </c>
      <c r="J249" s="1162"/>
      <c r="K249" s="1140"/>
      <c r="L249" s="1140"/>
      <c r="M249" s="1140"/>
      <c r="N249" s="1141"/>
      <c r="O249" s="417"/>
      <c r="P249" s="72"/>
      <c r="Q249" s="72"/>
      <c r="R249" s="72"/>
      <c r="S249" s="72"/>
      <c r="T249" s="72"/>
      <c r="U249" s="285" t="str">
        <f>U248</f>
        <v/>
      </c>
      <c r="V249" s="285">
        <v>1</v>
      </c>
      <c r="W249" s="92" t="b">
        <f>IF($L$6=EUconst_NotRelevant,TRUE,IF(V249&gt;0,(V249&lt;&gt;U249),IF(U249="",TRUE,FALSE)))</f>
        <v>1</v>
      </c>
      <c r="X249" s="417"/>
      <c r="Y249" s="417"/>
      <c r="Z249" s="417"/>
      <c r="AA249" s="417"/>
      <c r="AB249" s="417"/>
    </row>
    <row r="250" spans="1:28" ht="5.0999999999999996" customHeight="1" outlineLevel="1" x14ac:dyDescent="0.2">
      <c r="A250" s="72"/>
      <c r="B250" s="417"/>
      <c r="C250" s="417"/>
      <c r="D250" s="417"/>
      <c r="E250" s="411"/>
      <c r="F250" s="411"/>
      <c r="G250" s="411"/>
      <c r="H250" s="411"/>
      <c r="I250" s="411"/>
      <c r="J250" s="411"/>
      <c r="K250" s="411"/>
      <c r="L250" s="417"/>
      <c r="M250" s="417"/>
      <c r="N250" s="417"/>
      <c r="O250" s="417"/>
      <c r="P250" s="72"/>
      <c r="Q250" s="72"/>
      <c r="R250" s="72"/>
      <c r="S250" s="72"/>
      <c r="T250" s="72"/>
      <c r="U250" s="72"/>
      <c r="V250" s="72"/>
      <c r="W250" s="72"/>
      <c r="X250" s="417"/>
      <c r="Y250" s="417"/>
      <c r="Z250" s="417"/>
      <c r="AA250" s="417"/>
      <c r="AB250" s="417"/>
    </row>
    <row r="251" spans="1:28" outlineLevel="1" x14ac:dyDescent="0.2">
      <c r="A251" s="72"/>
      <c r="B251" s="417"/>
      <c r="C251" s="417"/>
      <c r="D251" s="337" t="str">
        <f>Translations!$B$656</f>
        <v>Method B: anode effect overvoltage per cell</v>
      </c>
      <c r="E251" s="411"/>
      <c r="F251" s="411"/>
      <c r="G251" s="411"/>
      <c r="H251" s="411"/>
      <c r="I251" s="411"/>
      <c r="J251" s="411"/>
      <c r="K251" s="411"/>
      <c r="L251" s="417"/>
      <c r="M251" s="417"/>
      <c r="N251" s="417"/>
      <c r="O251" s="417"/>
      <c r="P251" s="72"/>
      <c r="Q251" s="72"/>
      <c r="R251" s="72"/>
      <c r="S251" s="72"/>
      <c r="T251" s="72"/>
      <c r="U251" s="72"/>
      <c r="V251" s="72"/>
      <c r="W251" s="72"/>
      <c r="X251" s="417"/>
      <c r="Y251" s="417"/>
      <c r="Z251" s="417"/>
      <c r="AA251" s="417"/>
      <c r="AB251" s="417"/>
    </row>
    <row r="252" spans="1:28" outlineLevel="1" x14ac:dyDescent="0.2">
      <c r="A252" s="72"/>
      <c r="B252" s="417"/>
      <c r="C252" s="417"/>
      <c r="D252" s="13" t="s">
        <v>351</v>
      </c>
      <c r="E252" s="14" t="str">
        <f>Translations!$B$477</f>
        <v>Activity data tier level required:</v>
      </c>
      <c r="F252" s="11"/>
      <c r="G252" s="11"/>
      <c r="H252" s="268" t="str">
        <f>IF(W252,"",H237)</f>
        <v/>
      </c>
      <c r="I252" s="1163" t="str">
        <f>IF(W252,"",I237)</f>
        <v/>
      </c>
      <c r="J252" s="929"/>
      <c r="K252" s="929"/>
      <c r="L252" s="929"/>
      <c r="M252" s="929"/>
      <c r="N252" s="887"/>
      <c r="O252" s="417"/>
      <c r="P252" s="72"/>
      <c r="Q252" s="72"/>
      <c r="R252" s="29"/>
      <c r="S252" s="23"/>
      <c r="T252" s="72"/>
      <c r="U252" s="285" t="str">
        <f>U249</f>
        <v/>
      </c>
      <c r="V252" s="285">
        <v>2</v>
      </c>
      <c r="W252" s="92" t="b">
        <f>IF($L$6=EUconst_NotRelevant,TRUE,IF(V252&gt;0,(V252&lt;&gt;U252),IF(U252="",TRUE,FALSE)))</f>
        <v>1</v>
      </c>
      <c r="X252" s="417"/>
      <c r="Y252" s="417"/>
      <c r="Z252" s="417"/>
      <c r="AA252" s="417"/>
      <c r="AB252" s="417"/>
    </row>
    <row r="253" spans="1:28" outlineLevel="1" x14ac:dyDescent="0.2">
      <c r="A253" s="72"/>
      <c r="B253" s="417"/>
      <c r="C253" s="417"/>
      <c r="D253" s="13" t="s">
        <v>353</v>
      </c>
      <c r="E253" s="14" t="str">
        <f>Translations!$B$478</f>
        <v>Activity data tier used:</v>
      </c>
      <c r="F253" s="11"/>
      <c r="G253" s="11"/>
      <c r="H253" s="197"/>
      <c r="I253" s="1163" t="str">
        <f>IF(OR(ISBLANK(H253),H253=EUconst_NoTier),"",IF(S253=0,EUconst_NA,IF(ISERROR(S253),"",EUconst_MsgTierActivityLevel &amp; " " &amp;S253)))</f>
        <v/>
      </c>
      <c r="J253" s="929"/>
      <c r="K253" s="929"/>
      <c r="L253" s="929"/>
      <c r="M253" s="929"/>
      <c r="N253" s="887"/>
      <c r="O253" s="417"/>
      <c r="P253" s="72"/>
      <c r="Q253" s="92" t="str">
        <f>EUconst_CNTR_ActivityData&amp;H226</f>
        <v>ActivityData_</v>
      </c>
      <c r="R253" s="29"/>
      <c r="S253" s="32" t="str">
        <f>IF(ISBLANK(H253),"",IF(H253=EUconst_NA,"",INDEX(EUwideConstants!$H:$O,MATCH(Q253,EUwideConstants!$S:$S,0),MATCH(H253,CNTR_TierList,0))))</f>
        <v/>
      </c>
      <c r="T253" s="72"/>
      <c r="U253" s="285" t="str">
        <f>U252</f>
        <v/>
      </c>
      <c r="V253" s="285">
        <v>2</v>
      </c>
      <c r="W253" s="92" t="b">
        <f>IF($L$6=EUconst_NotRelevant,TRUE,IF(V253&gt;0,(V253&lt;&gt;U253),IF(U253="",TRUE,FALSE)))</f>
        <v>1</v>
      </c>
      <c r="X253" s="417"/>
      <c r="Y253" s="417"/>
      <c r="Z253" s="417"/>
      <c r="AA253" s="417"/>
      <c r="AB253" s="417"/>
    </row>
    <row r="254" spans="1:28" outlineLevel="1" x14ac:dyDescent="0.2">
      <c r="A254" s="72"/>
      <c r="B254" s="417"/>
      <c r="C254" s="417"/>
      <c r="D254" s="13" t="s">
        <v>354</v>
      </c>
      <c r="E254" s="14" t="str">
        <f>Translations!$B$479</f>
        <v>Uncertainty achieved:</v>
      </c>
      <c r="F254" s="11"/>
      <c r="G254" s="11"/>
      <c r="H254" s="269"/>
      <c r="I254" s="14" t="str">
        <f>Translations!$B$480</f>
        <v>Comment:</v>
      </c>
      <c r="J254" s="1162"/>
      <c r="K254" s="1140"/>
      <c r="L254" s="1140"/>
      <c r="M254" s="1140"/>
      <c r="N254" s="1141"/>
      <c r="O254" s="417"/>
      <c r="P254" s="72"/>
      <c r="Q254" s="72"/>
      <c r="R254" s="72"/>
      <c r="S254" s="72"/>
      <c r="T254" s="72"/>
      <c r="U254" s="285" t="str">
        <f>U253</f>
        <v/>
      </c>
      <c r="V254" s="285">
        <v>2</v>
      </c>
      <c r="W254" s="92" t="b">
        <f>IF($L$6=EUconst_NotRelevant,TRUE,IF(V254&gt;0,(V254&lt;&gt;U254),IF(U254="",TRUE,FALSE)))</f>
        <v>1</v>
      </c>
      <c r="X254" s="417"/>
      <c r="Y254" s="417"/>
      <c r="Z254" s="417"/>
      <c r="AA254" s="417"/>
      <c r="AB254" s="417"/>
    </row>
    <row r="255" spans="1:28" ht="5.0999999999999996" customHeight="1" outlineLevel="1" x14ac:dyDescent="0.2">
      <c r="A255" s="72"/>
      <c r="B255" s="417"/>
      <c r="C255" s="417"/>
      <c r="D255" s="417"/>
      <c r="E255" s="411"/>
      <c r="F255" s="411"/>
      <c r="G255" s="411"/>
      <c r="H255" s="411"/>
      <c r="I255" s="411"/>
      <c r="J255" s="411"/>
      <c r="K255" s="411"/>
      <c r="L255" s="417"/>
      <c r="M255" s="417"/>
      <c r="N255" s="417"/>
      <c r="O255" s="417"/>
      <c r="P255" s="72"/>
      <c r="Q255" s="72"/>
      <c r="R255" s="72"/>
      <c r="S255" s="72"/>
      <c r="T255" s="72"/>
      <c r="U255" s="72"/>
      <c r="V255" s="72"/>
      <c r="W255" s="72"/>
      <c r="X255" s="417"/>
      <c r="Y255" s="417"/>
      <c r="Z255" s="417"/>
      <c r="AA255" s="417"/>
      <c r="AB255" s="417"/>
    </row>
    <row r="256" spans="1:28" outlineLevel="1" x14ac:dyDescent="0.2">
      <c r="A256" s="72"/>
      <c r="B256" s="417"/>
      <c r="C256" s="417"/>
      <c r="D256" s="337" t="str">
        <f>Translations!$B$657</f>
        <v>Method B: Current efficiency</v>
      </c>
      <c r="E256" s="411"/>
      <c r="F256" s="411"/>
      <c r="G256" s="411"/>
      <c r="H256" s="411"/>
      <c r="I256" s="411"/>
      <c r="J256" s="411"/>
      <c r="K256" s="411"/>
      <c r="L256" s="417"/>
      <c r="M256" s="417"/>
      <c r="N256" s="417"/>
      <c r="O256" s="417"/>
      <c r="P256" s="72"/>
      <c r="Q256" s="72"/>
      <c r="R256" s="72"/>
      <c r="S256" s="72"/>
      <c r="T256" s="72"/>
      <c r="U256" s="72"/>
      <c r="V256" s="72"/>
      <c r="W256" s="72"/>
      <c r="X256" s="417"/>
      <c r="Y256" s="417"/>
      <c r="Z256" s="417"/>
      <c r="AA256" s="417"/>
      <c r="AB256" s="417"/>
    </row>
    <row r="257" spans="1:28" ht="12.75" customHeight="1" outlineLevel="1" x14ac:dyDescent="0.2">
      <c r="A257" s="72"/>
      <c r="B257" s="417"/>
      <c r="C257" s="417"/>
      <c r="D257" s="13" t="s">
        <v>355</v>
      </c>
      <c r="E257" s="14" t="str">
        <f>Translations!$B$477</f>
        <v>Activity data tier level required:</v>
      </c>
      <c r="F257" s="11"/>
      <c r="G257" s="11"/>
      <c r="H257" s="268" t="str">
        <f>IF(W257,"",H237)</f>
        <v/>
      </c>
      <c r="I257" s="1163" t="str">
        <f>IF(W257,"",I237)</f>
        <v/>
      </c>
      <c r="J257" s="929"/>
      <c r="K257" s="929"/>
      <c r="L257" s="929"/>
      <c r="M257" s="929"/>
      <c r="N257" s="887"/>
      <c r="O257" s="417"/>
      <c r="P257" s="72"/>
      <c r="Q257" s="72"/>
      <c r="R257" s="29"/>
      <c r="S257" s="23"/>
      <c r="T257" s="72"/>
      <c r="U257" s="285" t="str">
        <f>U254</f>
        <v/>
      </c>
      <c r="V257" s="285">
        <v>2</v>
      </c>
      <c r="W257" s="92" t="b">
        <f>IF($L$6=EUconst_NotRelevant,TRUE,IF(V257&gt;0,(V257&lt;&gt;U257),IF(U257="",TRUE,FALSE)))</f>
        <v>1</v>
      </c>
      <c r="X257" s="417"/>
      <c r="Y257" s="417"/>
      <c r="Z257" s="417"/>
      <c r="AA257" s="417"/>
      <c r="AB257" s="417"/>
    </row>
    <row r="258" spans="1:28" outlineLevel="1" x14ac:dyDescent="0.2">
      <c r="A258" s="72"/>
      <c r="B258" s="417"/>
      <c r="C258" s="417"/>
      <c r="D258" s="13" t="s">
        <v>555</v>
      </c>
      <c r="E258" s="14" t="str">
        <f>Translations!$B$478</f>
        <v>Activity data tier used:</v>
      </c>
      <c r="F258" s="11"/>
      <c r="G258" s="11"/>
      <c r="H258" s="197"/>
      <c r="I258" s="1163" t="str">
        <f>IF(OR(ISBLANK(H258),H258=EUconst_NoTier),"",IF(S258=0,EUconst_NA,IF(ISERROR(S258),"",EUconst_MsgTierActivityLevel &amp; " " &amp;S258)))</f>
        <v/>
      </c>
      <c r="J258" s="929"/>
      <c r="K258" s="929"/>
      <c r="L258" s="929"/>
      <c r="M258" s="929"/>
      <c r="N258" s="887"/>
      <c r="O258" s="417"/>
      <c r="P258" s="72"/>
      <c r="Q258" s="92" t="str">
        <f>EUconst_CNTR_ActivityData&amp;H226</f>
        <v>ActivityData_</v>
      </c>
      <c r="R258" s="29"/>
      <c r="S258" s="32" t="str">
        <f>IF(ISBLANK(H258),"",IF(H258=EUconst_NA,"",INDEX(EUwideConstants!$H:$O,MATCH(Q258,EUwideConstants!$S:$S,0),MATCH(H258,CNTR_TierList,0))))</f>
        <v/>
      </c>
      <c r="T258" s="72"/>
      <c r="U258" s="285" t="str">
        <f>U257</f>
        <v/>
      </c>
      <c r="V258" s="285">
        <v>2</v>
      </c>
      <c r="W258" s="92" t="b">
        <f>IF($L$6=EUconst_NotRelevant,TRUE,IF(V258&gt;0,(V258&lt;&gt;U258),IF(U258="",TRUE,FALSE)))</f>
        <v>1</v>
      </c>
      <c r="X258" s="417"/>
      <c r="Y258" s="417"/>
      <c r="Z258" s="417"/>
      <c r="AA258" s="417"/>
      <c r="AB258" s="417"/>
    </row>
    <row r="259" spans="1:28" outlineLevel="1" x14ac:dyDescent="0.2">
      <c r="A259" s="72"/>
      <c r="B259" s="417"/>
      <c r="C259" s="417"/>
      <c r="D259" s="13" t="s">
        <v>550</v>
      </c>
      <c r="E259" s="14" t="str">
        <f>Translations!$B$479</f>
        <v>Uncertainty achieved:</v>
      </c>
      <c r="F259" s="11"/>
      <c r="G259" s="11"/>
      <c r="H259" s="269"/>
      <c r="I259" s="14" t="str">
        <f>Translations!$B$480</f>
        <v>Comment:</v>
      </c>
      <c r="J259" s="1162"/>
      <c r="K259" s="1140"/>
      <c r="L259" s="1140"/>
      <c r="M259" s="1140"/>
      <c r="N259" s="1141"/>
      <c r="O259" s="417"/>
      <c r="P259" s="72"/>
      <c r="Q259" s="72"/>
      <c r="R259" s="72"/>
      <c r="S259" s="72"/>
      <c r="T259" s="72"/>
      <c r="U259" s="285" t="str">
        <f>U258</f>
        <v/>
      </c>
      <c r="V259" s="285">
        <v>2</v>
      </c>
      <c r="W259" s="92" t="b">
        <f>IF($L$6=EUconst_NotRelevant,TRUE,IF(V259&gt;0,(V259&lt;&gt;U259),IF(U259="",TRUE,FALSE)))</f>
        <v>1</v>
      </c>
      <c r="X259" s="417"/>
      <c r="Y259" s="417"/>
      <c r="Z259" s="417"/>
      <c r="AA259" s="417"/>
      <c r="AB259" s="417"/>
    </row>
    <row r="260" spans="1:28" outlineLevel="1" x14ac:dyDescent="0.2">
      <c r="A260" s="72"/>
      <c r="B260" s="417"/>
      <c r="C260" s="417"/>
      <c r="D260" s="417"/>
      <c r="E260" s="411"/>
      <c r="F260" s="411"/>
      <c r="G260" s="411"/>
      <c r="H260" s="411"/>
      <c r="I260" s="411"/>
      <c r="J260" s="411"/>
      <c r="K260" s="411"/>
      <c r="L260" s="417"/>
      <c r="M260" s="417"/>
      <c r="N260" s="417"/>
      <c r="O260" s="417"/>
      <c r="P260" s="72"/>
      <c r="Q260" s="72"/>
      <c r="R260" s="72"/>
      <c r="S260" s="72"/>
      <c r="T260" s="72"/>
      <c r="U260" s="72"/>
      <c r="V260" s="72"/>
      <c r="W260" s="72"/>
      <c r="X260" s="417"/>
      <c r="Y260" s="417"/>
      <c r="Z260" s="417"/>
      <c r="AA260" s="417"/>
      <c r="AB260" s="417"/>
    </row>
    <row r="261" spans="1:28" ht="15" customHeight="1" outlineLevel="1" x14ac:dyDescent="0.2">
      <c r="A261" s="72"/>
      <c r="B261" s="417"/>
      <c r="C261" s="417"/>
      <c r="D261" s="1040" t="str">
        <f>Translations!$B$658</f>
        <v>Calculation factors</v>
      </c>
      <c r="E261" s="1040"/>
      <c r="F261" s="1040"/>
      <c r="G261" s="1040"/>
      <c r="H261" s="1040"/>
      <c r="I261" s="1040"/>
      <c r="J261" s="1040"/>
      <c r="K261" s="1040"/>
      <c r="L261" s="1040"/>
      <c r="M261" s="1040"/>
      <c r="N261" s="1040"/>
      <c r="O261" s="417"/>
      <c r="P261" s="72"/>
      <c r="Q261" s="72"/>
      <c r="R261" s="72"/>
      <c r="S261" s="72"/>
      <c r="T261" s="72"/>
      <c r="U261" s="72"/>
      <c r="V261" s="72"/>
      <c r="W261" s="72"/>
      <c r="X261" s="417"/>
      <c r="Y261" s="417"/>
      <c r="Z261" s="417"/>
      <c r="AA261" s="417"/>
      <c r="AB261" s="417"/>
    </row>
    <row r="262" spans="1:28" ht="15" outlineLevel="1" x14ac:dyDescent="0.2">
      <c r="A262" s="72"/>
      <c r="B262" s="417"/>
      <c r="C262" s="417"/>
      <c r="D262" s="307" t="s">
        <v>841</v>
      </c>
      <c r="E262" s="337" t="str">
        <f>Translations!$B$659</f>
        <v>Tiers applied</v>
      </c>
      <c r="F262" s="257"/>
      <c r="G262" s="257"/>
      <c r="H262" s="411"/>
      <c r="I262" s="411"/>
      <c r="J262" s="411"/>
      <c r="K262" s="411"/>
      <c r="L262" s="417"/>
      <c r="M262" s="417"/>
      <c r="N262" s="417"/>
      <c r="O262" s="417"/>
      <c r="P262" s="72"/>
      <c r="Q262" s="72"/>
      <c r="R262" s="72"/>
      <c r="S262" s="72"/>
      <c r="T262" s="72"/>
      <c r="U262" s="72"/>
      <c r="V262" s="72"/>
      <c r="W262" s="72"/>
      <c r="X262" s="417"/>
      <c r="Y262" s="417"/>
      <c r="Z262" s="417"/>
      <c r="AA262" s="417"/>
      <c r="AB262" s="417"/>
    </row>
    <row r="263" spans="1:28" ht="5.0999999999999996" customHeight="1" outlineLevel="1" x14ac:dyDescent="0.2">
      <c r="A263" s="72"/>
      <c r="B263" s="417"/>
      <c r="C263" s="417"/>
      <c r="D263" s="417"/>
      <c r="E263" s="411"/>
      <c r="F263" s="411"/>
      <c r="G263" s="411"/>
      <c r="H263" s="411"/>
      <c r="I263" s="411"/>
      <c r="J263" s="411"/>
      <c r="K263" s="411"/>
      <c r="L263" s="417"/>
      <c r="M263" s="417"/>
      <c r="N263" s="417"/>
      <c r="O263" s="417"/>
      <c r="P263" s="72"/>
      <c r="Q263" s="72"/>
      <c r="R263" s="72"/>
      <c r="S263" s="72"/>
      <c r="T263" s="72"/>
      <c r="U263" s="72"/>
      <c r="V263" s="72"/>
      <c r="W263" s="72"/>
      <c r="X263" s="417"/>
      <c r="Y263" s="417"/>
      <c r="Z263" s="417"/>
      <c r="AA263" s="417"/>
      <c r="AB263" s="417"/>
    </row>
    <row r="264" spans="1:28" outlineLevel="1" x14ac:dyDescent="0.2">
      <c r="A264" s="72"/>
      <c r="B264" s="417"/>
      <c r="C264" s="417"/>
      <c r="D264" s="417"/>
      <c r="E264" s="279" t="str">
        <f>Translations!$B$516</f>
        <v>calculation factor</v>
      </c>
      <c r="F264" s="280"/>
      <c r="G264" s="281"/>
      <c r="H264" s="50" t="str">
        <f>Translations!$B$517</f>
        <v>required tier</v>
      </c>
      <c r="I264" s="50" t="str">
        <f>Translations!$B$518</f>
        <v>applied tier</v>
      </c>
      <c r="J264" s="1159" t="str">
        <f>Translations!$B$519</f>
        <v>full text for applied tier</v>
      </c>
      <c r="K264" s="1160"/>
      <c r="L264" s="1160"/>
      <c r="M264" s="1160"/>
      <c r="N264" s="1161"/>
      <c r="O264" s="417"/>
      <c r="P264" s="72"/>
      <c r="Q264" s="72"/>
      <c r="R264" s="72"/>
      <c r="S264" s="15" t="s">
        <v>1038</v>
      </c>
      <c r="T264" s="72"/>
      <c r="U264" s="72"/>
      <c r="V264" s="72"/>
      <c r="W264" s="72"/>
      <c r="X264" s="417"/>
      <c r="Y264" s="417"/>
      <c r="Z264" s="417"/>
      <c r="AA264" s="417"/>
      <c r="AB264" s="417"/>
    </row>
    <row r="265" spans="1:28" outlineLevel="1" x14ac:dyDescent="0.2">
      <c r="A265" s="72"/>
      <c r="B265" s="417"/>
      <c r="C265" s="417"/>
      <c r="D265" s="46" t="s">
        <v>1030</v>
      </c>
      <c r="E265" s="282" t="str">
        <f>Translations!$B$660</f>
        <v>SEF(CF4) Slope emission factor</v>
      </c>
      <c r="F265" s="283"/>
      <c r="G265" s="284"/>
      <c r="H265" s="268" t="str">
        <f>IF(H226="","",IF(W265=FALSE,IF(CNTR_Category="A",INDEX(EUwideConstants!$G:$G,MATCH(Q265,EUwideConstants!$S:$S,0)),INDEX(EUwideConstants!$P:$P,MATCH(Q265,EUwideConstants!$S:$S,0))),""))</f>
        <v/>
      </c>
      <c r="I265" s="197"/>
      <c r="J265" s="1163" t="str">
        <f>IF(OR(ISBLANK(I265),I265=EUconst_NoTier),"",IF(S265=0,EUconst_NotApplicable,IF(ISERROR(S265),"",S265)))</f>
        <v/>
      </c>
      <c r="K265" s="929"/>
      <c r="L265" s="929"/>
      <c r="M265" s="929"/>
      <c r="N265" s="887"/>
      <c r="O265" s="417"/>
      <c r="P265" s="72"/>
      <c r="Q265" s="92" t="str">
        <f>EUconst_CNTR_EF&amp;H226</f>
        <v>EF_</v>
      </c>
      <c r="R265" s="72"/>
      <c r="S265" s="31" t="str">
        <f>IF(ISBLANK(I265),"",IF(I265=EUconst_NA,"",INDEX(EUwideConstants!$H:$O,MATCH(Q265,EUwideConstants!$S:$S,0),MATCH(I265,CNTR_TierList,0))))</f>
        <v/>
      </c>
      <c r="T265" s="72"/>
      <c r="U265" s="285" t="str">
        <f>U259</f>
        <v/>
      </c>
      <c r="V265" s="285">
        <v>1</v>
      </c>
      <c r="W265" s="92" t="b">
        <f>IF($L$6=EUconst_NotRelevant,TRUE,IF(V265&gt;0,(V265&lt;&gt;U265),IF(U265="",TRUE,FALSE)))</f>
        <v>1</v>
      </c>
      <c r="X265" s="417"/>
      <c r="Y265" s="417"/>
      <c r="Z265" s="417"/>
      <c r="AA265" s="417"/>
      <c r="AB265" s="417"/>
    </row>
    <row r="266" spans="1:28" outlineLevel="1" x14ac:dyDescent="0.2">
      <c r="A266" s="72"/>
      <c r="B266" s="417"/>
      <c r="C266" s="417"/>
      <c r="D266" s="46" t="s">
        <v>1031</v>
      </c>
      <c r="E266" s="282" t="str">
        <f>Translations!$B$661</f>
        <v>OVC (Overvoltage coefficient)</v>
      </c>
      <c r="F266" s="283"/>
      <c r="G266" s="284"/>
      <c r="H266" s="268" t="str">
        <f>IF(H227="","",IF(W266=FALSE,IF(CNTR_Category="A",INDEX(EUwideConstants!$G:$G,MATCH(Q266,EUwideConstants!$S:$S,0)),INDEX(EUwideConstants!$P:$P,MATCH(Q266,EUwideConstants!$S:$S,0))),""))</f>
        <v/>
      </c>
      <c r="I266" s="197"/>
      <c r="J266" s="1163" t="str">
        <f>IF(OR(ISBLANK(I266),I266=EUconst_NoTier),"",IF(S266=0,EUconst_NotApplicable,IF(ISERROR(S266),"",S266)))</f>
        <v/>
      </c>
      <c r="K266" s="929"/>
      <c r="L266" s="929"/>
      <c r="M266" s="929"/>
      <c r="N266" s="887"/>
      <c r="O266" s="417"/>
      <c r="P266" s="72"/>
      <c r="Q266" s="92" t="str">
        <f>EUconst_CNTR_EF&amp;H226</f>
        <v>EF_</v>
      </c>
      <c r="R266" s="72"/>
      <c r="S266" s="31" t="str">
        <f>IF(ISBLANK(I266),"",IF(I266=EUconst_NA,"",INDEX(EUwideConstants!$H:$O,MATCH(Q266,EUwideConstants!$S:$S,0),MATCH(I266,CNTR_TierList,0))))</f>
        <v/>
      </c>
      <c r="T266" s="72"/>
      <c r="U266" s="285" t="str">
        <f>U265</f>
        <v/>
      </c>
      <c r="V266" s="285">
        <v>2</v>
      </c>
      <c r="W266" s="92" t="b">
        <f>IF($L$6=EUconst_NotRelevant,TRUE,IF(V266&gt;0,(V266&lt;&gt;U266),IF(U266="",TRUE,FALSE)))</f>
        <v>1</v>
      </c>
      <c r="X266" s="417"/>
      <c r="Y266" s="417"/>
      <c r="Z266" s="417"/>
      <c r="AA266" s="417"/>
      <c r="AB266" s="417"/>
    </row>
    <row r="267" spans="1:28" outlineLevel="1" x14ac:dyDescent="0.2">
      <c r="A267" s="72"/>
      <c r="B267" s="417"/>
      <c r="C267" s="417"/>
      <c r="D267" s="46" t="s">
        <v>1468</v>
      </c>
      <c r="E267" s="282" t="str">
        <f>Translations!$B$662</f>
        <v>F(C2F6) Weight fraction of C2F6</v>
      </c>
      <c r="F267" s="283"/>
      <c r="G267" s="284"/>
      <c r="H267" s="268" t="str">
        <f>IF(H228="","",IF(W267=FALSE,IF(CNTR_Category="A",INDEX(EUwideConstants!$G:$G,MATCH(Q267,EUwideConstants!$S:$S,0)),INDEX(EUwideConstants!$P:$P,MATCH(Q267,EUwideConstants!$S:$S,0))),""))</f>
        <v/>
      </c>
      <c r="I267" s="197"/>
      <c r="J267" s="1163" t="str">
        <f>IF(OR(ISBLANK(I267),I267=EUconst_NoTier),"",IF(S267=0,EUconst_NotApplicable,IF(ISERROR(S267),"",S267)))</f>
        <v/>
      </c>
      <c r="K267" s="929"/>
      <c r="L267" s="929"/>
      <c r="M267" s="929"/>
      <c r="N267" s="887"/>
      <c r="O267" s="417"/>
      <c r="P267" s="72"/>
      <c r="Q267" s="92" t="str">
        <f>EUconst_CNTR_EF&amp;H226</f>
        <v>EF_</v>
      </c>
      <c r="R267" s="72"/>
      <c r="S267" s="31" t="str">
        <f>IF(ISBLANK(I267),"",IF(I267=EUconst_NA,"",INDEX(EUwideConstants!$H:$O,MATCH(Q267,EUwideConstants!$S:$S,0),MATCH(I267,CNTR_TierList,0))))</f>
        <v/>
      </c>
      <c r="T267" s="72"/>
      <c r="U267" s="285" t="str">
        <f>U266</f>
        <v/>
      </c>
      <c r="V267" s="285">
        <v>0</v>
      </c>
      <c r="W267" s="92" t="b">
        <f>IF($L$6=EUconst_NotRelevant,TRUE,IF(V267&gt;0,(V267&lt;&gt;U267),IF(U267="",TRUE,FALSE)))</f>
        <v>1</v>
      </c>
      <c r="X267" s="417"/>
      <c r="Y267" s="417"/>
      <c r="Z267" s="417"/>
      <c r="AA267" s="417"/>
      <c r="AB267" s="417"/>
    </row>
    <row r="268" spans="1:28" outlineLevel="1" x14ac:dyDescent="0.2">
      <c r="A268" s="72"/>
      <c r="B268" s="417"/>
      <c r="C268" s="417"/>
      <c r="D268" s="417"/>
      <c r="E268" s="411"/>
      <c r="F268" s="411"/>
      <c r="G268" s="411"/>
      <c r="H268" s="411"/>
      <c r="I268" s="411"/>
      <c r="J268" s="411"/>
      <c r="K268" s="411"/>
      <c r="L268" s="417"/>
      <c r="M268" s="417"/>
      <c r="N268" s="417"/>
      <c r="O268" s="417"/>
      <c r="P268" s="72"/>
      <c r="Q268" s="72"/>
      <c r="R268" s="72"/>
      <c r="S268" s="72"/>
      <c r="T268" s="72"/>
      <c r="U268" s="72"/>
      <c r="V268" s="72"/>
      <c r="W268" s="72"/>
      <c r="X268" s="417"/>
      <c r="Y268" s="417"/>
      <c r="Z268" s="417"/>
      <c r="AA268" s="417"/>
      <c r="AB268" s="417"/>
    </row>
    <row r="269" spans="1:28" ht="15" outlineLevel="1" x14ac:dyDescent="0.2">
      <c r="A269" s="72"/>
      <c r="B269" s="417"/>
      <c r="C269" s="417"/>
      <c r="D269" s="307" t="s">
        <v>846</v>
      </c>
      <c r="E269" s="337" t="str">
        <f>Translations!$B$663</f>
        <v>Tier details</v>
      </c>
      <c r="F269" s="257"/>
      <c r="G269" s="257"/>
      <c r="H269" s="411"/>
      <c r="I269" s="411"/>
      <c r="J269" s="411"/>
      <c r="K269" s="411"/>
      <c r="L269" s="417"/>
      <c r="M269" s="417"/>
      <c r="N269" s="417"/>
      <c r="O269" s="417"/>
      <c r="P269" s="72"/>
      <c r="Q269" s="72"/>
      <c r="R269" s="72"/>
      <c r="S269" s="72"/>
      <c r="T269" s="72"/>
      <c r="U269" s="72"/>
      <c r="V269" s="72"/>
      <c r="W269" s="72"/>
      <c r="X269" s="417"/>
      <c r="Y269" s="417"/>
      <c r="Z269" s="417"/>
      <c r="AA269" s="417"/>
      <c r="AB269" s="417"/>
    </row>
    <row r="270" spans="1:28" ht="5.0999999999999996" customHeight="1" outlineLevel="1" x14ac:dyDescent="0.2">
      <c r="A270" s="72"/>
      <c r="B270" s="417"/>
      <c r="C270" s="417"/>
      <c r="D270" s="417"/>
      <c r="E270" s="411"/>
      <c r="F270" s="411"/>
      <c r="G270" s="411"/>
      <c r="H270" s="411"/>
      <c r="I270" s="411"/>
      <c r="J270" s="411"/>
      <c r="K270" s="411"/>
      <c r="L270" s="417"/>
      <c r="M270" s="417"/>
      <c r="N270" s="417"/>
      <c r="O270" s="417"/>
      <c r="P270" s="72"/>
      <c r="Q270" s="72"/>
      <c r="R270" s="72"/>
      <c r="S270" s="72"/>
      <c r="T270" s="72"/>
      <c r="U270" s="72"/>
      <c r="V270" s="72"/>
      <c r="W270" s="72"/>
      <c r="X270" s="417"/>
      <c r="Y270" s="417"/>
      <c r="Z270" s="417"/>
      <c r="AA270" s="417"/>
      <c r="AB270" s="417"/>
    </row>
    <row r="271" spans="1:28" ht="25.5" outlineLevel="1" x14ac:dyDescent="0.2">
      <c r="A271" s="72"/>
      <c r="B271" s="417"/>
      <c r="C271" s="417"/>
      <c r="D271" s="417"/>
      <c r="E271" s="279" t="str">
        <f>Translations!$B$516</f>
        <v>calculation factor</v>
      </c>
      <c r="F271" s="280"/>
      <c r="G271" s="281"/>
      <c r="H271" s="50" t="str">
        <f>I264</f>
        <v>applied tier</v>
      </c>
      <c r="I271" s="51" t="str">
        <f>Translations!$B$664</f>
        <v>default or latest value</v>
      </c>
      <c r="J271" s="51" t="str">
        <f>Translations!$B$536</f>
        <v>Unit</v>
      </c>
      <c r="K271" s="51" t="str">
        <f>Translations!$B$537</f>
        <v>source ref</v>
      </c>
      <c r="L271" s="51" t="str">
        <f>Translations!$B$538</f>
        <v>analysis ref</v>
      </c>
      <c r="M271" s="51" t="str">
        <f>Translations!$B$665</f>
        <v>date of latest analysis</v>
      </c>
      <c r="N271" s="51" t="str">
        <f>Translations!$B$540</f>
        <v>Analysis frequency</v>
      </c>
      <c r="O271" s="417"/>
      <c r="P271" s="72"/>
      <c r="Q271" s="72"/>
      <c r="R271" s="72"/>
      <c r="S271" s="52" t="s">
        <v>384</v>
      </c>
      <c r="T271" s="72"/>
      <c r="U271" s="72"/>
      <c r="V271" s="72"/>
      <c r="W271" s="72"/>
      <c r="X271" s="417"/>
      <c r="Y271" s="417"/>
      <c r="Z271" s="417"/>
      <c r="AA271" s="417"/>
      <c r="AB271" s="417"/>
    </row>
    <row r="272" spans="1:28" outlineLevel="1" x14ac:dyDescent="0.2">
      <c r="A272" s="72"/>
      <c r="B272" s="417"/>
      <c r="C272" s="417"/>
      <c r="D272" s="46" t="s">
        <v>1030</v>
      </c>
      <c r="E272" s="282" t="str">
        <f>E265</f>
        <v>SEF(CF4) Slope emission factor</v>
      </c>
      <c r="F272" s="283"/>
      <c r="G272" s="284"/>
      <c r="H272" s="268" t="str">
        <f>IF(OR(ISBLANK(I265),I265=EUconst_NA),"",I265)</f>
        <v/>
      </c>
      <c r="I272" s="197"/>
      <c r="J272" s="197"/>
      <c r="K272" s="270"/>
      <c r="L272" s="271"/>
      <c r="M272" s="271"/>
      <c r="N272" s="272"/>
      <c r="O272" s="417"/>
      <c r="P272" s="72"/>
      <c r="Q272" s="92" t="str">
        <f>Q265</f>
        <v>EF_</v>
      </c>
      <c r="R272" s="72"/>
      <c r="S272" s="63" t="str">
        <f>IF(H272="","",IF(I265=EUconst_NA,"",INDEX(EUwideConstants!$AL:$AP,MATCH(Q265,EUwideConstants!$S:$S,0),MATCH(I265,CNTR_TierList,0))))</f>
        <v/>
      </c>
      <c r="T272" s="72"/>
      <c r="U272" s="285" t="str">
        <f>U267</f>
        <v/>
      </c>
      <c r="V272" s="285">
        <v>1</v>
      </c>
      <c r="W272" s="92" t="b">
        <f>IF($L$6=EUconst_NotRelevant,TRUE,IF(V272&gt;0,(V272&lt;&gt;U272),IF(U272="",TRUE,FALSE)))</f>
        <v>1</v>
      </c>
      <c r="X272" s="417"/>
      <c r="Y272" s="417"/>
      <c r="Z272" s="417"/>
      <c r="AA272" s="417"/>
      <c r="AB272" s="417"/>
    </row>
    <row r="273" spans="1:28" outlineLevel="1" x14ac:dyDescent="0.2">
      <c r="A273" s="72"/>
      <c r="B273" s="417"/>
      <c r="C273" s="417"/>
      <c r="D273" s="46" t="s">
        <v>1031</v>
      </c>
      <c r="E273" s="282" t="str">
        <f>E266</f>
        <v>OVC (Overvoltage coefficient)</v>
      </c>
      <c r="F273" s="283"/>
      <c r="G273" s="284"/>
      <c r="H273" s="268" t="str">
        <f>IF(OR(ISBLANK(I266),I266=EUconst_NA),"",I266)</f>
        <v/>
      </c>
      <c r="I273" s="197"/>
      <c r="J273" s="197"/>
      <c r="K273" s="270"/>
      <c r="L273" s="271"/>
      <c r="M273" s="271"/>
      <c r="N273" s="272"/>
      <c r="O273" s="417"/>
      <c r="P273" s="72"/>
      <c r="Q273" s="92" t="str">
        <f>Q266</f>
        <v>EF_</v>
      </c>
      <c r="R273" s="72"/>
      <c r="S273" s="63" t="str">
        <f>IF(H273="","",IF(I266=EUconst_NA,"",INDEX(EUwideConstants!$AL:$AP,MATCH(Q266,EUwideConstants!$S:$S,0),MATCH(I266,CNTR_TierList,0))))</f>
        <v/>
      </c>
      <c r="T273" s="72"/>
      <c r="U273" s="285" t="str">
        <f>U272</f>
        <v/>
      </c>
      <c r="V273" s="285">
        <v>2</v>
      </c>
      <c r="W273" s="92" t="b">
        <f>IF($L$6=EUconst_NotRelevant,TRUE,IF(V273&gt;0,(V273&lt;&gt;U273),IF(U273="",TRUE,FALSE)))</f>
        <v>1</v>
      </c>
      <c r="X273" s="417"/>
      <c r="Y273" s="417"/>
      <c r="Z273" s="417"/>
      <c r="AA273" s="417"/>
      <c r="AB273" s="417"/>
    </row>
    <row r="274" spans="1:28" outlineLevel="1" x14ac:dyDescent="0.2">
      <c r="A274" s="72"/>
      <c r="B274" s="417"/>
      <c r="C274" s="417"/>
      <c r="D274" s="46" t="s">
        <v>1468</v>
      </c>
      <c r="E274" s="282" t="str">
        <f>E267</f>
        <v>F(C2F6) Weight fraction of C2F6</v>
      </c>
      <c r="F274" s="283"/>
      <c r="G274" s="284"/>
      <c r="H274" s="268" t="str">
        <f>IF(OR(ISBLANK(I267),I267=EUconst_NA),"",I267)</f>
        <v/>
      </c>
      <c r="I274" s="197"/>
      <c r="J274" s="197"/>
      <c r="K274" s="270"/>
      <c r="L274" s="271"/>
      <c r="M274" s="271"/>
      <c r="N274" s="272"/>
      <c r="O274" s="417"/>
      <c r="P274" s="72"/>
      <c r="Q274" s="92" t="str">
        <f>Q267</f>
        <v>EF_</v>
      </c>
      <c r="R274" s="72"/>
      <c r="S274" s="63" t="str">
        <f>IF(H274="","",IF(I267=EUconst_NA,"",INDEX(EUwideConstants!$AL:$AP,MATCH(Q267,EUwideConstants!$S:$S,0),MATCH(I267,CNTR_TierList,0))))</f>
        <v/>
      </c>
      <c r="T274" s="72"/>
      <c r="U274" s="285" t="str">
        <f>U273</f>
        <v/>
      </c>
      <c r="V274" s="285">
        <v>0</v>
      </c>
      <c r="W274" s="92" t="b">
        <f>IF($L$6=EUconst_NotRelevant,TRUE,IF(V274&gt;0,(V274&lt;&gt;U274),IF(U274="",TRUE,FALSE)))</f>
        <v>1</v>
      </c>
      <c r="X274" s="417"/>
      <c r="Y274" s="417"/>
      <c r="Z274" s="417"/>
      <c r="AA274" s="417"/>
      <c r="AB274" s="417"/>
    </row>
    <row r="275" spans="1:28" outlineLevel="1" x14ac:dyDescent="0.2">
      <c r="A275" s="72"/>
      <c r="B275" s="417"/>
      <c r="C275" s="417"/>
      <c r="D275" s="417"/>
      <c r="E275" s="411"/>
      <c r="F275" s="411"/>
      <c r="G275" s="411"/>
      <c r="H275" s="411"/>
      <c r="I275" s="411"/>
      <c r="J275" s="411"/>
      <c r="K275" s="411"/>
      <c r="L275" s="417"/>
      <c r="M275" s="417"/>
      <c r="N275" s="417"/>
      <c r="O275" s="417"/>
      <c r="P275" s="72"/>
      <c r="Q275" s="72"/>
      <c r="R275" s="72"/>
      <c r="S275" s="72"/>
      <c r="T275" s="72"/>
      <c r="U275" s="72"/>
      <c r="V275" s="72"/>
      <c r="W275" s="72"/>
      <c r="X275" s="417"/>
      <c r="Y275" s="417"/>
      <c r="Z275" s="417"/>
      <c r="AA275" s="417"/>
      <c r="AB275" s="417"/>
    </row>
    <row r="276" spans="1:28" ht="15" customHeight="1" outlineLevel="1" x14ac:dyDescent="0.2">
      <c r="A276" s="72"/>
      <c r="B276" s="417"/>
      <c r="C276" s="417"/>
      <c r="D276" s="1040" t="str">
        <f>Translations!$B$666</f>
        <v>Collection efficiency for accounting for fugitive emissions</v>
      </c>
      <c r="E276" s="1040"/>
      <c r="F276" s="1040"/>
      <c r="G276" s="1040"/>
      <c r="H276" s="1040"/>
      <c r="I276" s="1040"/>
      <c r="J276" s="1040"/>
      <c r="K276" s="1040"/>
      <c r="L276" s="1040"/>
      <c r="M276" s="1040"/>
      <c r="N276" s="1040"/>
      <c r="O276" s="417"/>
      <c r="P276" s="72"/>
      <c r="Q276" s="72"/>
      <c r="R276" s="72"/>
      <c r="S276" s="72"/>
      <c r="T276" s="72"/>
      <c r="U276" s="72"/>
      <c r="V276" s="72"/>
      <c r="W276" s="72"/>
      <c r="X276" s="417"/>
      <c r="Y276" s="417"/>
      <c r="Z276" s="417"/>
      <c r="AA276" s="417"/>
      <c r="AB276" s="417"/>
    </row>
    <row r="277" spans="1:28" ht="15" outlineLevel="1" x14ac:dyDescent="0.2">
      <c r="A277" s="72"/>
      <c r="B277" s="417"/>
      <c r="C277" s="417"/>
      <c r="D277" s="307" t="s">
        <v>851</v>
      </c>
      <c r="E277" s="337" t="str">
        <f>Translations!$B$667</f>
        <v>Determination of the collection efficiency</v>
      </c>
      <c r="F277" s="257"/>
      <c r="G277" s="257"/>
      <c r="H277" s="411"/>
      <c r="I277" s="411"/>
      <c r="J277" s="411"/>
      <c r="K277" s="411"/>
      <c r="L277" s="417"/>
      <c r="M277" s="417"/>
      <c r="N277" s="417"/>
      <c r="O277" s="417"/>
      <c r="P277" s="72"/>
      <c r="Q277" s="72"/>
      <c r="R277" s="72"/>
      <c r="S277" s="72"/>
      <c r="T277" s="72"/>
      <c r="U277" s="72"/>
      <c r="V277" s="72"/>
      <c r="W277" s="72"/>
      <c r="X277" s="417"/>
      <c r="Y277" s="417"/>
      <c r="Z277" s="417"/>
      <c r="AA277" s="417"/>
      <c r="AB277" s="417"/>
    </row>
    <row r="278" spans="1:28" ht="5.0999999999999996" customHeight="1" outlineLevel="1" x14ac:dyDescent="0.2">
      <c r="A278" s="72"/>
      <c r="B278" s="417"/>
      <c r="C278" s="417"/>
      <c r="D278" s="417"/>
      <c r="E278" s="411"/>
      <c r="F278" s="411"/>
      <c r="G278" s="411"/>
      <c r="H278" s="411"/>
      <c r="I278" s="411"/>
      <c r="J278" s="411"/>
      <c r="K278" s="411"/>
      <c r="L278" s="417"/>
      <c r="M278" s="417"/>
      <c r="N278" s="417"/>
      <c r="O278" s="417"/>
      <c r="P278" s="72"/>
      <c r="Q278" s="72"/>
      <c r="R278" s="72"/>
      <c r="S278" s="72"/>
      <c r="T278" s="72"/>
      <c r="U278" s="72"/>
      <c r="V278" s="72"/>
      <c r="W278" s="72"/>
      <c r="X278" s="417"/>
      <c r="Y278" s="417"/>
      <c r="Z278" s="417"/>
      <c r="AA278" s="417"/>
      <c r="AB278" s="417"/>
    </row>
    <row r="279" spans="1:28" ht="25.5" outlineLevel="1" x14ac:dyDescent="0.2">
      <c r="A279" s="72"/>
      <c r="B279" s="417"/>
      <c r="C279" s="417"/>
      <c r="D279" s="417"/>
      <c r="E279" s="279"/>
      <c r="F279" s="280"/>
      <c r="G279" s="281"/>
      <c r="H279" s="50"/>
      <c r="I279" s="51" t="str">
        <f>Translations!$B$664</f>
        <v>default or latest value</v>
      </c>
      <c r="J279" s="51" t="str">
        <f>Translations!$B$536</f>
        <v>Unit</v>
      </c>
      <c r="K279" s="51" t="str">
        <f>Translations!$B$537</f>
        <v>source ref</v>
      </c>
      <c r="L279" s="51" t="str">
        <f>Translations!$B$538</f>
        <v>analysis ref</v>
      </c>
      <c r="M279" s="51" t="str">
        <f>Translations!$B$665</f>
        <v>date of latest analysis</v>
      </c>
      <c r="N279" s="51" t="str">
        <f>Translations!$B$540</f>
        <v>Analysis frequency</v>
      </c>
      <c r="O279" s="417"/>
      <c r="P279" s="72"/>
      <c r="Q279" s="72"/>
      <c r="R279" s="72"/>
      <c r="S279" s="72"/>
      <c r="T279" s="72"/>
      <c r="U279" s="72"/>
      <c r="V279" s="72"/>
      <c r="W279" s="72"/>
      <c r="X279" s="417"/>
      <c r="Y279" s="417"/>
      <c r="Z279" s="417"/>
      <c r="AA279" s="417"/>
      <c r="AB279" s="417"/>
    </row>
    <row r="280" spans="1:28" outlineLevel="1" x14ac:dyDescent="0.2">
      <c r="A280" s="72"/>
      <c r="B280" s="417"/>
      <c r="C280" s="417"/>
      <c r="D280" s="417"/>
      <c r="E280" s="282" t="str">
        <f>Translations!$B$668</f>
        <v>Collection efficiency</v>
      </c>
      <c r="F280" s="283"/>
      <c r="G280" s="284"/>
      <c r="H280" s="50"/>
      <c r="I280" s="197"/>
      <c r="J280" s="197"/>
      <c r="K280" s="270"/>
      <c r="L280" s="271"/>
      <c r="M280" s="271"/>
      <c r="N280" s="272"/>
      <c r="O280" s="417"/>
      <c r="P280" s="72"/>
      <c r="Q280" s="72"/>
      <c r="R280" s="72"/>
      <c r="S280" s="72"/>
      <c r="T280" s="72"/>
      <c r="U280" s="285" t="str">
        <f>U274</f>
        <v/>
      </c>
      <c r="V280" s="285">
        <v>0</v>
      </c>
      <c r="W280" s="92" t="b">
        <f>IF($L$6=EUconst_NotRelevant,TRUE,IF(V280&gt;0,(V280&lt;&gt;U280),IF(U280="",TRUE,FALSE)))</f>
        <v>1</v>
      </c>
      <c r="X280" s="417"/>
      <c r="Y280" s="417"/>
      <c r="Z280" s="417"/>
      <c r="AA280" s="417"/>
      <c r="AB280" s="417"/>
    </row>
    <row r="281" spans="1:28" outlineLevel="1" x14ac:dyDescent="0.2">
      <c r="A281" s="72"/>
      <c r="B281" s="417"/>
      <c r="C281" s="417"/>
      <c r="D281" s="411"/>
      <c r="E281" s="411"/>
      <c r="F281" s="411"/>
      <c r="G281" s="411"/>
      <c r="H281" s="411"/>
      <c r="I281" s="411"/>
      <c r="J281" s="411"/>
      <c r="K281" s="417"/>
      <c r="L281" s="417"/>
      <c r="M281" s="417"/>
      <c r="N281" s="417"/>
      <c r="O281" s="417"/>
      <c r="P281" s="72"/>
      <c r="Q281" s="72"/>
      <c r="R281" s="72"/>
      <c r="S281" s="72"/>
      <c r="T281" s="72"/>
      <c r="U281" s="15"/>
      <c r="V281" s="15"/>
      <c r="W281" s="15"/>
      <c r="X281" s="417"/>
      <c r="Y281" s="417"/>
      <c r="Z281" s="417"/>
      <c r="AA281" s="417"/>
      <c r="AB281" s="417"/>
    </row>
    <row r="282" spans="1:28" ht="15" outlineLevel="1" x14ac:dyDescent="0.2">
      <c r="A282" s="72"/>
      <c r="B282" s="417"/>
      <c r="C282" s="417"/>
      <c r="D282" s="1040" t="str">
        <f>Translations!$B$44</f>
        <v>Comments</v>
      </c>
      <c r="E282" s="1040"/>
      <c r="F282" s="1040"/>
      <c r="G282" s="1040"/>
      <c r="H282" s="1040"/>
      <c r="I282" s="1040"/>
      <c r="J282" s="1040"/>
      <c r="K282" s="1040"/>
      <c r="L282" s="1040"/>
      <c r="M282" s="1040"/>
      <c r="N282" s="1040"/>
      <c r="O282" s="417"/>
      <c r="P282" s="72"/>
      <c r="Q282" s="72"/>
      <c r="R282" s="72"/>
      <c r="S282" s="72"/>
      <c r="T282" s="72"/>
      <c r="U282" s="15"/>
      <c r="V282" s="15"/>
      <c r="W282" s="15"/>
      <c r="X282" s="417"/>
      <c r="Y282" s="417"/>
      <c r="Z282" s="417"/>
      <c r="AA282" s="417"/>
      <c r="AB282" s="417"/>
    </row>
    <row r="283" spans="1:28" s="11" customFormat="1" ht="12.75" customHeight="1" outlineLevel="1" x14ac:dyDescent="0.2">
      <c r="A283" s="15"/>
      <c r="D283" s="13" t="s">
        <v>853</v>
      </c>
      <c r="E283" s="924" t="str">
        <f>Translations!$B$546</f>
        <v>Comments:</v>
      </c>
      <c r="F283" s="924"/>
      <c r="G283" s="924"/>
      <c r="H283" s="924"/>
      <c r="I283" s="924"/>
      <c r="J283" s="924"/>
      <c r="K283" s="924"/>
      <c r="L283" s="924"/>
      <c r="M283" s="924"/>
      <c r="N283" s="924"/>
      <c r="O283" s="417"/>
      <c r="P283" s="15"/>
      <c r="Q283" s="15"/>
      <c r="R283" s="15"/>
      <c r="S283" s="15"/>
      <c r="T283" s="15"/>
      <c r="U283" s="15"/>
      <c r="V283" s="15"/>
      <c r="W283" s="15"/>
    </row>
    <row r="284" spans="1:28" s="11" customFormat="1" ht="5.0999999999999996" customHeight="1" outlineLevel="1" x14ac:dyDescent="0.2">
      <c r="A284" s="15"/>
      <c r="D284" s="13"/>
      <c r="E284" s="273"/>
      <c r="O284" s="417"/>
      <c r="P284" s="15"/>
      <c r="Q284" s="15"/>
      <c r="R284" s="15"/>
      <c r="S284" s="15"/>
      <c r="T284" s="15"/>
      <c r="U284" s="15"/>
      <c r="V284" s="15"/>
      <c r="W284" s="15"/>
    </row>
    <row r="285" spans="1:28" s="11" customFormat="1" ht="12.75" customHeight="1" outlineLevel="1" x14ac:dyDescent="0.2">
      <c r="A285" s="15"/>
      <c r="D285" s="13"/>
      <c r="E285" s="1164"/>
      <c r="F285" s="1165"/>
      <c r="G285" s="1165"/>
      <c r="H285" s="1165"/>
      <c r="I285" s="1165"/>
      <c r="J285" s="1165"/>
      <c r="K285" s="1165"/>
      <c r="L285" s="1165"/>
      <c r="M285" s="1165"/>
      <c r="N285" s="1166"/>
      <c r="O285" s="417"/>
      <c r="P285" s="15"/>
      <c r="Q285" s="15"/>
      <c r="R285" s="15"/>
      <c r="S285" s="15"/>
      <c r="T285" s="15"/>
      <c r="U285" s="285" t="str">
        <f>U280</f>
        <v/>
      </c>
      <c r="V285" s="285">
        <v>0</v>
      </c>
      <c r="W285" s="92" t="b">
        <f>IF($L$6=EUconst_NotRelevant,TRUE,IF(V285&gt;0,(V285&lt;&gt;U285),IF(U285="",TRUE,FALSE)))</f>
        <v>1</v>
      </c>
    </row>
    <row r="286" spans="1:28" s="11" customFormat="1" ht="12.75" customHeight="1" outlineLevel="1" x14ac:dyDescent="0.2">
      <c r="A286" s="15"/>
      <c r="D286" s="13"/>
      <c r="E286" s="1170"/>
      <c r="F286" s="1171"/>
      <c r="G286" s="1171"/>
      <c r="H286" s="1171"/>
      <c r="I286" s="1171"/>
      <c r="J286" s="1171"/>
      <c r="K286" s="1171"/>
      <c r="L286" s="1171"/>
      <c r="M286" s="1171"/>
      <c r="N286" s="1172"/>
      <c r="O286" s="417"/>
      <c r="P286" s="15"/>
      <c r="Q286" s="15"/>
      <c r="R286" s="15"/>
      <c r="S286" s="15"/>
      <c r="T286" s="15"/>
      <c r="U286" s="285" t="str">
        <f>U285</f>
        <v/>
      </c>
      <c r="V286" s="285">
        <v>0</v>
      </c>
      <c r="W286" s="92" t="b">
        <f>IF($L$6=EUconst_NotRelevant,TRUE,IF(V286&gt;0,(V286&lt;&gt;U286),IF(U286="",TRUE,FALSE)))</f>
        <v>1</v>
      </c>
    </row>
    <row r="287" spans="1:28" s="11" customFormat="1" ht="12.75" customHeight="1" outlineLevel="1" x14ac:dyDescent="0.2">
      <c r="A287" s="15"/>
      <c r="D287" s="13"/>
      <c r="E287" s="1167"/>
      <c r="F287" s="1168"/>
      <c r="G287" s="1168"/>
      <c r="H287" s="1168"/>
      <c r="I287" s="1168"/>
      <c r="J287" s="1168"/>
      <c r="K287" s="1168"/>
      <c r="L287" s="1168"/>
      <c r="M287" s="1168"/>
      <c r="N287" s="1169"/>
      <c r="O287" s="417"/>
      <c r="P287" s="15"/>
      <c r="Q287" s="15"/>
      <c r="R287" s="15"/>
      <c r="S287" s="15"/>
      <c r="T287" s="15"/>
      <c r="U287" s="285" t="str">
        <f>U286</f>
        <v/>
      </c>
      <c r="V287" s="285">
        <v>0</v>
      </c>
      <c r="W287" s="92" t="b">
        <f>IF($L$6=EUconst_NotRelevant,TRUE,IF(V287&gt;0,(V287&lt;&gt;U287),IF(U287="",TRUE,FALSE)))</f>
        <v>1</v>
      </c>
    </row>
    <row r="288" spans="1:28" s="11" customFormat="1" outlineLevel="1" x14ac:dyDescent="0.2">
      <c r="A288" s="15"/>
      <c r="D288" s="13"/>
      <c r="O288" s="417"/>
      <c r="P288" s="15"/>
      <c r="Q288" s="15"/>
      <c r="R288" s="15"/>
      <c r="S288" s="15"/>
      <c r="T288" s="15"/>
      <c r="U288" s="15"/>
      <c r="V288" s="15"/>
      <c r="W288" s="15"/>
    </row>
    <row r="289" spans="1:28" s="11" customFormat="1" ht="12.75" customHeight="1" outlineLevel="1" x14ac:dyDescent="0.2">
      <c r="A289" s="15"/>
      <c r="D289" s="13" t="s">
        <v>854</v>
      </c>
      <c r="E289" s="924" t="str">
        <f>Translations!$B$548</f>
        <v>Justification if required tiers are not applied:</v>
      </c>
      <c r="F289" s="924"/>
      <c r="G289" s="924"/>
      <c r="H289" s="924"/>
      <c r="I289" s="924"/>
      <c r="J289" s="924"/>
      <c r="K289" s="924"/>
      <c r="L289" s="924"/>
      <c r="M289" s="924"/>
      <c r="N289" s="924"/>
      <c r="O289" s="417"/>
      <c r="P289" s="15"/>
      <c r="Q289" s="15"/>
      <c r="R289" s="15"/>
      <c r="S289" s="15"/>
      <c r="T289" s="15"/>
      <c r="U289" s="15"/>
      <c r="V289" s="15"/>
      <c r="W289" s="15"/>
    </row>
    <row r="290" spans="1:28" ht="5.0999999999999996" customHeight="1" outlineLevel="1" x14ac:dyDescent="0.2">
      <c r="A290" s="72"/>
      <c r="E290" s="67"/>
      <c r="F290" s="67"/>
      <c r="G290" s="67"/>
      <c r="H290" s="67"/>
      <c r="I290" s="67"/>
      <c r="J290" s="67"/>
      <c r="K290" s="67"/>
      <c r="L290" s="67"/>
      <c r="M290" s="67"/>
      <c r="N290" s="113"/>
      <c r="O290" s="417"/>
      <c r="P290" s="114"/>
      <c r="Q290" s="72"/>
      <c r="R290" s="72"/>
      <c r="S290" s="72"/>
      <c r="T290" s="72"/>
      <c r="U290" s="72"/>
      <c r="V290" s="72"/>
      <c r="W290" s="72"/>
    </row>
    <row r="291" spans="1:28" s="11" customFormat="1" ht="12.75" customHeight="1" outlineLevel="1" x14ac:dyDescent="0.2">
      <c r="A291" s="15"/>
      <c r="D291" s="13"/>
      <c r="E291" s="1164"/>
      <c r="F291" s="1165"/>
      <c r="G291" s="1165"/>
      <c r="H291" s="1165"/>
      <c r="I291" s="1165"/>
      <c r="J291" s="1165"/>
      <c r="K291" s="1165"/>
      <c r="L291" s="1165"/>
      <c r="M291" s="1165"/>
      <c r="N291" s="1166"/>
      <c r="O291" s="417"/>
      <c r="P291" s="15"/>
      <c r="Q291" s="15"/>
      <c r="R291" s="15"/>
      <c r="S291" s="15"/>
      <c r="T291" s="15"/>
      <c r="U291" s="285" t="str">
        <f>U287</f>
        <v/>
      </c>
      <c r="V291" s="285">
        <v>0</v>
      </c>
      <c r="W291" s="92" t="b">
        <f>IF($L$6=EUconst_NotRelevant,TRUE,IF(V291&gt;0,(V291&lt;&gt;U291),IF(U291="",TRUE,FALSE)))</f>
        <v>1</v>
      </c>
    </row>
    <row r="292" spans="1:28" s="11" customFormat="1" ht="12.75" customHeight="1" outlineLevel="1" x14ac:dyDescent="0.2">
      <c r="A292" s="15"/>
      <c r="D292" s="13"/>
      <c r="E292" s="1170"/>
      <c r="F292" s="1171"/>
      <c r="G292" s="1171"/>
      <c r="H292" s="1171"/>
      <c r="I292" s="1171"/>
      <c r="J292" s="1171"/>
      <c r="K292" s="1171"/>
      <c r="L292" s="1171"/>
      <c r="M292" s="1171"/>
      <c r="N292" s="1172"/>
      <c r="O292" s="417"/>
      <c r="P292" s="15"/>
      <c r="Q292" s="15"/>
      <c r="R292" s="15"/>
      <c r="S292" s="15"/>
      <c r="T292" s="15"/>
      <c r="U292" s="285" t="str">
        <f>U291</f>
        <v/>
      </c>
      <c r="V292" s="285">
        <v>0</v>
      </c>
      <c r="W292" s="92" t="b">
        <f>IF($L$6=EUconst_NotRelevant,TRUE,IF(V292&gt;0,(V292&lt;&gt;U292),IF(U292="",TRUE,FALSE)))</f>
        <v>1</v>
      </c>
    </row>
    <row r="293" spans="1:28" s="11" customFormat="1" ht="12.75" customHeight="1" outlineLevel="1" x14ac:dyDescent="0.2">
      <c r="A293" s="15"/>
      <c r="D293" s="13"/>
      <c r="E293" s="1167"/>
      <c r="F293" s="1168"/>
      <c r="G293" s="1168"/>
      <c r="H293" s="1168"/>
      <c r="I293" s="1168"/>
      <c r="J293" s="1168"/>
      <c r="K293" s="1168"/>
      <c r="L293" s="1168"/>
      <c r="M293" s="1168"/>
      <c r="N293" s="1169"/>
      <c r="O293" s="417"/>
      <c r="P293" s="15"/>
      <c r="Q293" s="15"/>
      <c r="R293" s="15"/>
      <c r="S293" s="15"/>
      <c r="T293" s="15"/>
      <c r="U293" s="285" t="str">
        <f>U292</f>
        <v/>
      </c>
      <c r="V293" s="285">
        <v>0</v>
      </c>
      <c r="W293" s="92" t="b">
        <f>IF($L$6=EUconst_NotRelevant,TRUE,IF(V293&gt;0,(V293&lt;&gt;U293),IF(U293="",TRUE,FALSE)))</f>
        <v>1</v>
      </c>
    </row>
    <row r="294" spans="1:28" ht="12.75" customHeight="1" thickBot="1" x14ac:dyDescent="0.25">
      <c r="A294" s="17"/>
      <c r="B294" s="11"/>
      <c r="C294" s="54"/>
      <c r="D294" s="55"/>
      <c r="E294" s="56"/>
      <c r="F294" s="54"/>
      <c r="G294" s="57"/>
      <c r="H294" s="57"/>
      <c r="I294" s="57"/>
      <c r="J294" s="57"/>
      <c r="K294" s="57"/>
      <c r="L294" s="57"/>
      <c r="M294" s="57"/>
      <c r="N294" s="57"/>
      <c r="O294" s="417"/>
      <c r="P294" s="15"/>
      <c r="Q294" s="72"/>
      <c r="R294" s="72"/>
      <c r="S294" s="75"/>
      <c r="T294" s="72"/>
      <c r="U294" s="72"/>
      <c r="V294" s="72"/>
      <c r="W294" s="72"/>
    </row>
    <row r="295" spans="1:28" ht="13.5" thickBot="1" x14ac:dyDescent="0.25">
      <c r="A295" s="72"/>
      <c r="B295" s="417"/>
      <c r="C295" s="417"/>
      <c r="D295" s="411"/>
      <c r="E295" s="411"/>
      <c r="F295" s="411"/>
      <c r="G295" s="411"/>
      <c r="H295" s="411"/>
      <c r="I295" s="411"/>
      <c r="J295" s="411"/>
      <c r="K295" s="417"/>
      <c r="L295" s="417"/>
      <c r="M295" s="417"/>
      <c r="N295" s="417"/>
      <c r="O295" s="417"/>
      <c r="P295" s="72"/>
      <c r="Q295" s="72"/>
      <c r="R295" s="72"/>
      <c r="S295" s="72"/>
      <c r="T295" s="72"/>
      <c r="U295" s="72"/>
      <c r="V295" s="72"/>
      <c r="W295" s="72"/>
      <c r="X295" s="417"/>
      <c r="Y295" s="417"/>
      <c r="Z295" s="417"/>
      <c r="AA295" s="417"/>
      <c r="AB295" s="417"/>
    </row>
    <row r="296" spans="1:28" ht="15.75" thickBot="1" x14ac:dyDescent="0.25">
      <c r="A296" s="72"/>
      <c r="B296" s="417"/>
      <c r="C296" s="267" t="str">
        <f>INDEX($D$50:$D$55,Q296)</f>
        <v/>
      </c>
      <c r="D296" s="1040" t="str">
        <f>CONCATENATE(Euconst_SourceStream," ", Q296,":")</f>
        <v>Source Stream 4:</v>
      </c>
      <c r="E296" s="1040"/>
      <c r="F296" s="1040"/>
      <c r="G296" s="1066"/>
      <c r="H296" s="1067" t="str">
        <f>IF(INDEX($E$50:$E$55,Q296)="","",INDEX($E$50:$E$55,Q296))</f>
        <v/>
      </c>
      <c r="I296" s="1067"/>
      <c r="J296" s="1067"/>
      <c r="K296" s="1067"/>
      <c r="L296" s="1068"/>
      <c r="M296" s="1069" t="str">
        <f>IF(S296=TRUE,IF(U296="",T296,U296),"")</f>
        <v/>
      </c>
      <c r="N296" s="1070"/>
      <c r="O296" s="417"/>
      <c r="P296" s="72"/>
      <c r="Q296" s="33">
        <f>Q224+1</f>
        <v>4</v>
      </c>
      <c r="R296" s="37"/>
      <c r="S296" s="40" t="b">
        <f>IF(INDEX(C_InstallationDescription!$M:$M,MATCH(Q298,C_InstallationDescription!$Q:$Q,0))="",FALSE,TRUE)</f>
        <v>0</v>
      </c>
      <c r="T296" s="92" t="str">
        <f>IF(S296=TRUE,INDEX(C_InstallationDescription!$M:$M,MATCH(Q298,C_InstallationDescription!$Q:$Q,0)),"")</f>
        <v/>
      </c>
      <c r="U296" s="40" t="str">
        <f>IF(S296=TRUE,IF(ISBLANK(INDEX(C_InstallationDescription!$N:$N,MATCH(Q298,C_InstallationDescription!$Q:$Q,0))),"",INDEX(C_InstallationDescription!$N:$N,MATCH(Q298,C_InstallationDescription!$Q:$Q,0))),"")</f>
        <v/>
      </c>
      <c r="V296" s="285" t="str">
        <f>IF(ISNUMBER(INDEX(CNTR_ListPFCmethods,Q296)),INDEX(CNTR_ListPFCmethods,Q296),"")</f>
        <v/>
      </c>
      <c r="W296" s="72"/>
      <c r="X296" s="417"/>
      <c r="Y296" s="417"/>
      <c r="Z296" s="417"/>
      <c r="AA296" s="417"/>
      <c r="AB296" s="417"/>
    </row>
    <row r="297" spans="1:28" ht="5.0999999999999996" customHeight="1" x14ac:dyDescent="0.2">
      <c r="A297" s="72"/>
      <c r="C297" s="13"/>
      <c r="D297" s="257"/>
      <c r="E297" s="257"/>
      <c r="F297" s="257"/>
      <c r="G297" s="257"/>
      <c r="H297" s="276"/>
      <c r="I297" s="276"/>
      <c r="J297" s="276"/>
      <c r="K297" s="276"/>
      <c r="L297" s="276"/>
      <c r="M297" s="277"/>
      <c r="N297" s="277"/>
      <c r="P297" s="72"/>
      <c r="Q297" s="12"/>
      <c r="R297" s="23"/>
      <c r="S297" s="23"/>
      <c r="T297" s="23"/>
      <c r="U297" s="23"/>
      <c r="V297" s="72"/>
      <c r="W297" s="72"/>
      <c r="X297" s="417"/>
      <c r="Y297" s="417"/>
      <c r="Z297" s="417"/>
      <c r="AA297" s="417"/>
      <c r="AB297" s="417"/>
    </row>
    <row r="298" spans="1:28" s="24" customFormat="1" ht="12.75" customHeight="1" x14ac:dyDescent="0.2">
      <c r="A298" s="72"/>
      <c r="B298" s="8"/>
      <c r="C298" s="8"/>
      <c r="D298" s="13"/>
      <c r="E298" s="924" t="str">
        <f>Translations!$B$437</f>
        <v>Source stream type:</v>
      </c>
      <c r="F298" s="924"/>
      <c r="G298" s="925"/>
      <c r="H298" s="1071" t="str">
        <f>IF(INDEX($H$50:$H$55,Q296)="","",INDEX($H$50:$H$55,Q296))</f>
        <v/>
      </c>
      <c r="I298" s="1072"/>
      <c r="J298" s="1072"/>
      <c r="K298" s="1072"/>
      <c r="L298" s="1073"/>
      <c r="O298" s="7"/>
      <c r="P298" s="17"/>
      <c r="Q298" s="39" t="str">
        <f>EUconst_CNTR_SourceCategory&amp;C296</f>
        <v>SourceCategory_</v>
      </c>
      <c r="R298" s="23"/>
      <c r="S298" s="23"/>
      <c r="T298" s="23"/>
      <c r="U298" s="23"/>
      <c r="V298" s="23"/>
      <c r="W298" s="23"/>
    </row>
    <row r="299" spans="1:28" s="24" customFormat="1" outlineLevel="1" x14ac:dyDescent="0.2">
      <c r="A299" s="29"/>
      <c r="B299" s="8"/>
      <c r="C299" s="8"/>
      <c r="D299" s="11"/>
      <c r="E299" s="924" t="str">
        <f>Translations!$B$438</f>
        <v>Method applicable according to MRR:</v>
      </c>
      <c r="F299" s="924"/>
      <c r="G299" s="925"/>
      <c r="H299" s="1062" t="str">
        <f>IF(H298="","",INDEX(EUwideConstants!$F$265:$F$325,MATCH(H298,EUConst_TierActivityListNames,0)))</f>
        <v/>
      </c>
      <c r="I299" s="1062"/>
      <c r="J299" s="1062"/>
      <c r="K299" s="1062"/>
      <c r="L299" s="1062"/>
      <c r="M299" s="2"/>
      <c r="N299" s="2"/>
      <c r="O299" s="7"/>
      <c r="P299" s="17"/>
      <c r="Q299" s="12"/>
      <c r="R299" s="23"/>
      <c r="S299" s="23"/>
      <c r="T299" s="23"/>
      <c r="U299" s="23"/>
      <c r="V299" s="23"/>
      <c r="W299" s="23"/>
    </row>
    <row r="300" spans="1:28" s="24" customFormat="1" ht="25.5" customHeight="1" outlineLevel="1" x14ac:dyDescent="0.2">
      <c r="A300" s="29"/>
      <c r="D300" s="38"/>
      <c r="E300" s="924" t="str">
        <f>Translations!$B$439</f>
        <v>Parameter to which uncertainty applies:</v>
      </c>
      <c r="F300" s="924"/>
      <c r="G300" s="925"/>
      <c r="H300" s="1175" t="str">
        <f>IF(H298="","",INDEX(EUwideConstants!$E$265:$E$325,MATCH(H298,EUConst_TierActivityListNames,0)))</f>
        <v/>
      </c>
      <c r="I300" s="1176"/>
      <c r="J300" s="1176"/>
      <c r="K300" s="1176"/>
      <c r="L300" s="1177"/>
      <c r="P300" s="17"/>
      <c r="Q300" s="12"/>
      <c r="R300" s="23"/>
      <c r="S300" s="23"/>
      <c r="T300" s="23"/>
      <c r="U300" s="23"/>
      <c r="V300" s="23"/>
      <c r="W300" s="23"/>
    </row>
    <row r="301" spans="1:28" s="24" customFormat="1" ht="5.0999999999999996" customHeight="1" outlineLevel="1" x14ac:dyDescent="0.2">
      <c r="A301" s="29"/>
      <c r="D301" s="38"/>
      <c r="E301" s="129"/>
      <c r="F301" s="129"/>
      <c r="G301" s="129"/>
      <c r="H301" s="134"/>
      <c r="I301" s="134"/>
      <c r="J301" s="134"/>
      <c r="K301" s="134"/>
      <c r="L301" s="134"/>
      <c r="P301" s="17"/>
      <c r="Q301" s="12"/>
      <c r="R301" s="23"/>
      <c r="S301" s="23"/>
      <c r="T301" s="23"/>
      <c r="U301" s="23"/>
      <c r="V301" s="23"/>
      <c r="W301" s="23"/>
    </row>
    <row r="302" spans="1:28" s="11" customFormat="1" ht="15" outlineLevel="1" x14ac:dyDescent="0.2">
      <c r="A302" s="15"/>
      <c r="C302" s="13"/>
      <c r="D302" s="1040" t="str">
        <f>Translations!$B$446</f>
        <v>Automatic guidance on applicable tiers:</v>
      </c>
      <c r="E302" s="1040"/>
      <c r="F302" s="1040"/>
      <c r="G302" s="1040"/>
      <c r="H302" s="1040"/>
      <c r="I302" s="1040"/>
      <c r="J302" s="1040"/>
      <c r="K302" s="1040"/>
      <c r="L302" s="1040"/>
      <c r="M302" s="1040"/>
      <c r="N302" s="1040"/>
      <c r="O302" s="417"/>
      <c r="P302" s="15"/>
      <c r="Q302" s="15"/>
      <c r="R302" s="15"/>
      <c r="S302" s="15"/>
      <c r="T302" s="15"/>
      <c r="U302" s="15"/>
      <c r="V302" s="15"/>
      <c r="W302" s="15"/>
    </row>
    <row r="303" spans="1:28" s="11" customFormat="1" ht="5.0999999999999996" customHeight="1" outlineLevel="1" x14ac:dyDescent="0.2">
      <c r="A303" s="15"/>
      <c r="C303" s="13"/>
      <c r="D303" s="257"/>
      <c r="E303" s="257"/>
      <c r="F303" s="257"/>
      <c r="G303" s="257"/>
      <c r="H303" s="257"/>
      <c r="I303" s="257"/>
      <c r="J303" s="257"/>
      <c r="K303" s="257"/>
      <c r="L303" s="257"/>
      <c r="M303" s="257"/>
      <c r="N303" s="257"/>
      <c r="O303" s="417"/>
      <c r="P303" s="15"/>
      <c r="Q303" s="15"/>
      <c r="R303" s="15"/>
      <c r="S303" s="15"/>
      <c r="T303" s="15"/>
      <c r="U303" s="15"/>
      <c r="V303" s="15"/>
      <c r="W303" s="15"/>
    </row>
    <row r="304" spans="1:28" s="11" customFormat="1" ht="51" customHeight="1" outlineLevel="1" x14ac:dyDescent="0.2">
      <c r="A304" s="15"/>
      <c r="C304" s="13"/>
      <c r="E304" s="1063" t="str">
        <f>IF(H296="","",INDEX(EUconst_SmallEmiSouStreamMsg,MATCH(Q304,EUconst_SmallEmiSouStream,0)))</f>
        <v/>
      </c>
      <c r="F304" s="1064"/>
      <c r="G304" s="1064"/>
      <c r="H304" s="1064"/>
      <c r="I304" s="1064"/>
      <c r="J304" s="1064"/>
      <c r="K304" s="1064"/>
      <c r="L304" s="1064"/>
      <c r="M304" s="1064"/>
      <c r="N304" s="1065"/>
      <c r="O304" s="417"/>
      <c r="P304" s="15"/>
      <c r="Q304" s="275" t="str">
        <f>IF(ISBLANK(CNTR_SmallEmitter),IF(CNTR_SmallEmitter=TRUE,EUconst_CNTR_SmallEmitter,EUconst_CNTR_NoSmallEmitter),EUconst_CNTR_NoSmallEmitter) &amp; IF((CNTR_Category)="","C",CNTR_Category) &amp; "_" &amp; IF(M296="",1,MATCH(M296,SourceCategory,0))</f>
        <v>NoSmallEmitter_C_1</v>
      </c>
      <c r="R304" s="15"/>
      <c r="S304" s="15"/>
      <c r="T304" s="15"/>
      <c r="U304" s="15"/>
      <c r="V304" s="15"/>
      <c r="W304" s="15"/>
    </row>
    <row r="305" spans="1:28" ht="5.0999999999999996" customHeight="1" outlineLevel="1" x14ac:dyDescent="0.2">
      <c r="A305" s="72"/>
      <c r="B305" s="417"/>
      <c r="C305" s="417"/>
      <c r="D305" s="411"/>
      <c r="E305" s="411"/>
      <c r="F305" s="411"/>
      <c r="G305" s="411"/>
      <c r="H305" s="411"/>
      <c r="I305" s="411"/>
      <c r="J305" s="411"/>
      <c r="K305" s="417"/>
      <c r="L305" s="417"/>
      <c r="M305" s="417"/>
      <c r="N305" s="417"/>
      <c r="O305" s="417"/>
      <c r="P305" s="72"/>
      <c r="Q305" s="72"/>
      <c r="R305" s="72"/>
      <c r="S305" s="72"/>
      <c r="T305" s="72"/>
      <c r="U305" s="72"/>
      <c r="V305" s="72"/>
      <c r="W305" s="72"/>
      <c r="X305" s="417"/>
      <c r="Y305" s="417"/>
      <c r="Z305" s="417"/>
      <c r="AA305" s="417"/>
      <c r="AB305" s="417"/>
    </row>
    <row r="306" spans="1:28" ht="15" customHeight="1" outlineLevel="1" x14ac:dyDescent="0.2">
      <c r="A306" s="72"/>
      <c r="B306" s="417"/>
      <c r="C306" s="278"/>
      <c r="D306" s="1040" t="str">
        <f>Translations!$B$652</f>
        <v>Activity Data</v>
      </c>
      <c r="E306" s="1040"/>
      <c r="F306" s="1040"/>
      <c r="G306" s="1040"/>
      <c r="H306" s="1040"/>
      <c r="I306" s="1040"/>
      <c r="J306" s="1040"/>
      <c r="K306" s="1040"/>
      <c r="L306" s="1040"/>
      <c r="M306" s="1040"/>
      <c r="N306" s="1040"/>
      <c r="O306" s="417"/>
      <c r="P306" s="72"/>
      <c r="Q306" s="72"/>
      <c r="R306" s="72"/>
      <c r="S306" s="72"/>
      <c r="T306" s="72"/>
      <c r="U306" s="72"/>
      <c r="V306" s="72"/>
      <c r="W306" s="72"/>
      <c r="X306" s="417"/>
      <c r="Y306" s="417"/>
      <c r="Z306" s="417"/>
      <c r="AA306" s="417"/>
      <c r="AB306" s="417"/>
    </row>
    <row r="307" spans="1:28" ht="5.0999999999999996" customHeight="1" outlineLevel="1" x14ac:dyDescent="0.2">
      <c r="A307" s="72"/>
      <c r="B307" s="417"/>
      <c r="C307" s="278"/>
      <c r="D307" s="257"/>
      <c r="E307" s="257"/>
      <c r="F307" s="257"/>
      <c r="G307" s="257"/>
      <c r="H307" s="257"/>
      <c r="I307" s="257"/>
      <c r="J307" s="257"/>
      <c r="K307" s="257"/>
      <c r="L307" s="257"/>
      <c r="M307" s="257"/>
      <c r="N307" s="257"/>
      <c r="O307" s="417"/>
      <c r="P307" s="72"/>
      <c r="Q307" s="72"/>
      <c r="R307" s="72"/>
      <c r="S307" s="72"/>
      <c r="T307" s="72"/>
      <c r="U307" s="72"/>
      <c r="V307" s="72"/>
      <c r="W307" s="72"/>
      <c r="X307" s="417"/>
      <c r="Y307" s="417"/>
      <c r="Z307" s="417"/>
      <c r="AA307" s="417"/>
      <c r="AB307" s="417"/>
    </row>
    <row r="308" spans="1:28" outlineLevel="1" x14ac:dyDescent="0.2">
      <c r="A308" s="72"/>
      <c r="B308" s="417"/>
      <c r="C308" s="337"/>
      <c r="D308" s="337" t="str">
        <f>Translations!$B$653</f>
        <v>Primary aluminium production:</v>
      </c>
      <c r="E308" s="411"/>
      <c r="F308" s="411"/>
      <c r="G308" s="411"/>
      <c r="H308" s="411"/>
      <c r="I308" s="411"/>
      <c r="J308" s="411"/>
      <c r="K308" s="417"/>
      <c r="L308" s="417"/>
      <c r="M308" s="417"/>
      <c r="N308" s="417"/>
      <c r="O308" s="417"/>
      <c r="P308" s="72"/>
      <c r="Q308" s="72"/>
      <c r="R308" s="72"/>
      <c r="S308" s="72"/>
      <c r="T308" s="72"/>
      <c r="U308" s="72" t="s">
        <v>1509</v>
      </c>
      <c r="V308" s="72" t="s">
        <v>1506</v>
      </c>
      <c r="W308" s="72" t="s">
        <v>281</v>
      </c>
      <c r="X308" s="417"/>
      <c r="Y308" s="417"/>
      <c r="Z308" s="417"/>
      <c r="AA308" s="417"/>
      <c r="AB308" s="417"/>
    </row>
    <row r="309" spans="1:28" outlineLevel="1" x14ac:dyDescent="0.2">
      <c r="A309" s="72"/>
      <c r="B309" s="417"/>
      <c r="C309" s="417"/>
      <c r="D309" s="13" t="s">
        <v>1020</v>
      </c>
      <c r="E309" s="14" t="str">
        <f>Translations!$B$477</f>
        <v>Activity data tier level required:</v>
      </c>
      <c r="F309" s="11"/>
      <c r="G309" s="11"/>
      <c r="H309" s="268" t="str">
        <f>IF(H298="","",IF(CNTR_Category="A",INDEX(EUwideConstants!$G:$G,MATCH(Q309,EUwideConstants!$S:$S,0)),INDEX(EUwideConstants!$P:$P,MATCH(Q309,EUwideConstants!$S:$S,0))))</f>
        <v/>
      </c>
      <c r="I309" s="1163" t="str">
        <f>IF(H309="","",IF(S309=0,EUconst_NA,IF(ISERROR(S309),"",EUconst_MsgTierActivityLevel &amp; " " &amp;S309)))</f>
        <v/>
      </c>
      <c r="J309" s="929"/>
      <c r="K309" s="929"/>
      <c r="L309" s="929"/>
      <c r="M309" s="929"/>
      <c r="N309" s="887"/>
      <c r="O309" s="417"/>
      <c r="P309" s="72"/>
      <c r="Q309" s="92" t="str">
        <f>EUconst_CNTR_ActivityData&amp;H298</f>
        <v>ActivityData_</v>
      </c>
      <c r="R309" s="29"/>
      <c r="S309" s="32" t="str">
        <f>IF(H309="","",IF(H309=EUconst_NA,"",INDEX(EUwideConstants!$H:$O,MATCH(Q309,EUwideConstants!$S:$S,0),MATCH(H309,CNTR_TierList,0))))</f>
        <v/>
      </c>
      <c r="T309" s="72"/>
      <c r="U309" s="285" t="str">
        <f>V296</f>
        <v/>
      </c>
      <c r="V309" s="285">
        <v>0</v>
      </c>
      <c r="W309" s="92" t="b">
        <f>IF($L$6=EUconst_NotRelevant,TRUE,IF(V309&gt;0,(V309&lt;&gt;U309),IF(U309="",TRUE,FALSE)))</f>
        <v>1</v>
      </c>
      <c r="X309" s="417"/>
      <c r="Y309" s="417"/>
      <c r="Z309" s="417"/>
      <c r="AA309" s="417"/>
      <c r="AB309" s="417"/>
    </row>
    <row r="310" spans="1:28" outlineLevel="1" x14ac:dyDescent="0.2">
      <c r="A310" s="72"/>
      <c r="B310" s="417"/>
      <c r="C310" s="417"/>
      <c r="D310" s="13" t="s">
        <v>554</v>
      </c>
      <c r="E310" s="14" t="str">
        <f>Translations!$B$478</f>
        <v>Activity data tier used:</v>
      </c>
      <c r="F310" s="11"/>
      <c r="G310" s="11"/>
      <c r="H310" s="197"/>
      <c r="I310" s="1163" t="str">
        <f>IF(OR(ISBLANK(H310),H310=EUconst_NoTier),"",IF(S310=0,EUconst_NA,IF(ISERROR(S310),"",EUconst_MsgTierActivityLevel &amp; " " &amp;S310)))</f>
        <v/>
      </c>
      <c r="J310" s="929"/>
      <c r="K310" s="929"/>
      <c r="L310" s="929"/>
      <c r="M310" s="929"/>
      <c r="N310" s="887"/>
      <c r="O310" s="417"/>
      <c r="P310" s="72"/>
      <c r="Q310" s="92" t="str">
        <f>EUconst_CNTR_ActivityData&amp;H298</f>
        <v>ActivityData_</v>
      </c>
      <c r="R310" s="29"/>
      <c r="S310" s="32" t="str">
        <f>IF(ISBLANK(H310),"",IF(H310=EUconst_NA,"",INDEX(EUwideConstants!$H:$O,MATCH(Q310,EUwideConstants!$S:$S,0),MATCH(H310,CNTR_TierList,0))))</f>
        <v/>
      </c>
      <c r="T310" s="72"/>
      <c r="U310" s="285" t="str">
        <f>U309</f>
        <v/>
      </c>
      <c r="V310" s="285">
        <v>0</v>
      </c>
      <c r="W310" s="92" t="b">
        <f>IF($L$6=EUconst_NotRelevant,TRUE,IF(V310&gt;0,(V310&lt;&gt;U310),IF(U310="",TRUE,FALSE)))</f>
        <v>1</v>
      </c>
      <c r="X310" s="417"/>
      <c r="Y310" s="417"/>
      <c r="Z310" s="417"/>
      <c r="AA310" s="417"/>
      <c r="AB310" s="417"/>
    </row>
    <row r="311" spans="1:28" outlineLevel="1" x14ac:dyDescent="0.2">
      <c r="A311" s="72"/>
      <c r="B311" s="417"/>
      <c r="C311" s="417"/>
      <c r="D311" s="13" t="s">
        <v>1022</v>
      </c>
      <c r="E311" s="14" t="str">
        <f>Translations!$B$479</f>
        <v>Uncertainty achieved:</v>
      </c>
      <c r="F311" s="11"/>
      <c r="G311" s="11"/>
      <c r="H311" s="269"/>
      <c r="I311" s="14" t="str">
        <f>Translations!$B$480</f>
        <v>Comment:</v>
      </c>
      <c r="J311" s="1162"/>
      <c r="K311" s="1140"/>
      <c r="L311" s="1140"/>
      <c r="M311" s="1140"/>
      <c r="N311" s="1141"/>
      <c r="O311" s="417"/>
      <c r="P311" s="72"/>
      <c r="Q311" s="72"/>
      <c r="R311" s="72"/>
      <c r="S311" s="72"/>
      <c r="T311" s="72"/>
      <c r="U311" s="285" t="str">
        <f>U310</f>
        <v/>
      </c>
      <c r="V311" s="285">
        <v>0</v>
      </c>
      <c r="W311" s="92" t="b">
        <f>IF($L$6=EUconst_NotRelevant,TRUE,IF(V311&gt;0,(V311&lt;&gt;U311),IF(U311="",TRUE,FALSE)))</f>
        <v>1</v>
      </c>
      <c r="X311" s="417"/>
      <c r="Y311" s="417"/>
      <c r="Z311" s="417"/>
      <c r="AA311" s="417"/>
      <c r="AB311" s="417"/>
    </row>
    <row r="312" spans="1:28" ht="5.0999999999999996" customHeight="1" outlineLevel="1" x14ac:dyDescent="0.2">
      <c r="A312" s="72"/>
      <c r="B312" s="417"/>
      <c r="C312" s="417"/>
      <c r="D312" s="417"/>
      <c r="E312" s="411"/>
      <c r="F312" s="411"/>
      <c r="G312" s="411"/>
      <c r="H312" s="411"/>
      <c r="I312" s="411"/>
      <c r="J312" s="411"/>
      <c r="K312" s="411"/>
      <c r="L312" s="417"/>
      <c r="M312" s="417"/>
      <c r="N312" s="417"/>
      <c r="O312" s="417"/>
      <c r="P312" s="72"/>
      <c r="Q312" s="72"/>
      <c r="R312" s="72"/>
      <c r="S312" s="72"/>
      <c r="T312" s="72"/>
      <c r="U312" s="72"/>
      <c r="V312" s="72"/>
      <c r="W312" s="72"/>
      <c r="X312" s="417"/>
      <c r="Y312" s="417"/>
      <c r="Z312" s="417"/>
      <c r="AA312" s="417"/>
      <c r="AB312" s="417"/>
    </row>
    <row r="313" spans="1:28" outlineLevel="1" x14ac:dyDescent="0.2">
      <c r="A313" s="72"/>
      <c r="B313" s="417"/>
      <c r="C313" s="417"/>
      <c r="D313" s="337" t="str">
        <f>Translations!$B$654</f>
        <v>Method A: number of Anode effects per cell-day</v>
      </c>
      <c r="E313" s="411"/>
      <c r="F313" s="411"/>
      <c r="G313" s="411"/>
      <c r="H313" s="411"/>
      <c r="I313" s="411"/>
      <c r="J313" s="411"/>
      <c r="K313" s="411"/>
      <c r="L313" s="417"/>
      <c r="M313" s="417"/>
      <c r="N313" s="417"/>
      <c r="O313" s="417"/>
      <c r="P313" s="72"/>
      <c r="Q313" s="72"/>
      <c r="R313" s="72"/>
      <c r="S313" s="72"/>
      <c r="T313" s="72"/>
      <c r="U313" s="72"/>
      <c r="V313" s="72"/>
      <c r="W313" s="72"/>
      <c r="X313" s="417"/>
      <c r="Y313" s="417"/>
      <c r="Z313" s="417"/>
      <c r="AA313" s="417"/>
      <c r="AB313" s="417"/>
    </row>
    <row r="314" spans="1:28" outlineLevel="1" x14ac:dyDescent="0.2">
      <c r="A314" s="72"/>
      <c r="B314" s="417"/>
      <c r="C314" s="417"/>
      <c r="D314" s="13" t="s">
        <v>1023</v>
      </c>
      <c r="E314" s="14" t="str">
        <f>Translations!$B$477</f>
        <v>Activity data tier level required:</v>
      </c>
      <c r="F314" s="11"/>
      <c r="G314" s="11"/>
      <c r="H314" s="268" t="str">
        <f>IF(W314,"",H309)</f>
        <v/>
      </c>
      <c r="I314" s="1163" t="str">
        <f>IF(W314,"",I309)</f>
        <v/>
      </c>
      <c r="J314" s="929"/>
      <c r="K314" s="929"/>
      <c r="L314" s="929"/>
      <c r="M314" s="929"/>
      <c r="N314" s="887"/>
      <c r="O314" s="417"/>
      <c r="P314" s="72"/>
      <c r="Q314" s="72"/>
      <c r="R314" s="29"/>
      <c r="S314" s="23"/>
      <c r="T314" s="72"/>
      <c r="U314" s="285" t="str">
        <f>U311</f>
        <v/>
      </c>
      <c r="V314" s="285">
        <v>1</v>
      </c>
      <c r="W314" s="92" t="b">
        <f>IF($L$6=EUconst_NotRelevant,TRUE,IF(V314&gt;0,(V314&lt;&gt;U314),IF(U314="",TRUE,FALSE)))</f>
        <v>1</v>
      </c>
      <c r="X314" s="417"/>
      <c r="Y314" s="417"/>
      <c r="Z314" s="417"/>
      <c r="AA314" s="417"/>
      <c r="AB314" s="417"/>
    </row>
    <row r="315" spans="1:28" outlineLevel="1" x14ac:dyDescent="0.2">
      <c r="A315" s="72"/>
      <c r="B315" s="417"/>
      <c r="C315" s="417"/>
      <c r="D315" s="13" t="s">
        <v>1019</v>
      </c>
      <c r="E315" s="14" t="str">
        <f>Translations!$B$478</f>
        <v>Activity data tier used:</v>
      </c>
      <c r="F315" s="11"/>
      <c r="G315" s="11"/>
      <c r="H315" s="197"/>
      <c r="I315" s="1163" t="str">
        <f>IF(OR(ISBLANK(H315),H315=EUconst_NoTier),"",IF(S315=0,EUconst_NA,IF(ISERROR(S315),"",EUconst_MsgTierActivityLevel &amp; " " &amp;S315)))</f>
        <v/>
      </c>
      <c r="J315" s="929"/>
      <c r="K315" s="929"/>
      <c r="L315" s="929"/>
      <c r="M315" s="929"/>
      <c r="N315" s="887"/>
      <c r="O315" s="417"/>
      <c r="P315" s="72"/>
      <c r="Q315" s="92" t="str">
        <f>EUconst_CNTR_ActivityData&amp;H298</f>
        <v>ActivityData_</v>
      </c>
      <c r="R315" s="29"/>
      <c r="S315" s="32" t="str">
        <f>IF(ISBLANK(H315),"",IF(H315=EUconst_NA,"",INDEX(EUwideConstants!$H:$O,MATCH(Q315,EUwideConstants!$S:$S,0),MATCH(H315,CNTR_TierList,0))))</f>
        <v/>
      </c>
      <c r="T315" s="72"/>
      <c r="U315" s="285" t="str">
        <f>U314</f>
        <v/>
      </c>
      <c r="V315" s="285">
        <v>1</v>
      </c>
      <c r="W315" s="92" t="b">
        <f>IF($L$6=EUconst_NotRelevant,TRUE,IF(V315&gt;0,(V315&lt;&gt;U315),IF(U315="",TRUE,FALSE)))</f>
        <v>1</v>
      </c>
      <c r="X315" s="417"/>
      <c r="Y315" s="417"/>
      <c r="Z315" s="417"/>
      <c r="AA315" s="417"/>
      <c r="AB315" s="417"/>
    </row>
    <row r="316" spans="1:28" outlineLevel="1" x14ac:dyDescent="0.2">
      <c r="A316" s="72"/>
      <c r="B316" s="417"/>
      <c r="C316" s="417"/>
      <c r="D316" s="13" t="s">
        <v>1349</v>
      </c>
      <c r="E316" s="14" t="str">
        <f>Translations!$B$479</f>
        <v>Uncertainty achieved:</v>
      </c>
      <c r="F316" s="11"/>
      <c r="G316" s="11"/>
      <c r="H316" s="269"/>
      <c r="I316" s="14" t="str">
        <f>Translations!$B$480</f>
        <v>Comment:</v>
      </c>
      <c r="J316" s="1162"/>
      <c r="K316" s="1140"/>
      <c r="L316" s="1140"/>
      <c r="M316" s="1140"/>
      <c r="N316" s="1141"/>
      <c r="O316" s="417"/>
      <c r="P316" s="72"/>
      <c r="Q316" s="72"/>
      <c r="R316" s="72"/>
      <c r="S316" s="72"/>
      <c r="T316" s="72"/>
      <c r="U316" s="285" t="str">
        <f>U315</f>
        <v/>
      </c>
      <c r="V316" s="285">
        <v>1</v>
      </c>
      <c r="W316" s="92" t="b">
        <f>IF($L$6=EUconst_NotRelevant,TRUE,IF(V316&gt;0,(V316&lt;&gt;U316),IF(U316="",TRUE,FALSE)))</f>
        <v>1</v>
      </c>
      <c r="X316" s="417"/>
      <c r="Y316" s="417"/>
      <c r="Z316" s="417"/>
      <c r="AA316" s="417"/>
      <c r="AB316" s="417"/>
    </row>
    <row r="317" spans="1:28" ht="5.0999999999999996" customHeight="1" outlineLevel="1" x14ac:dyDescent="0.2">
      <c r="A317" s="72"/>
      <c r="B317" s="417"/>
      <c r="C317" s="417"/>
      <c r="D317" s="417"/>
      <c r="E317" s="411"/>
      <c r="F317" s="411"/>
      <c r="G317" s="411"/>
      <c r="H317" s="411"/>
      <c r="I317" s="411"/>
      <c r="J317" s="411"/>
      <c r="K317" s="411"/>
      <c r="L317" s="417"/>
      <c r="M317" s="417"/>
      <c r="N317" s="417"/>
      <c r="O317" s="417"/>
      <c r="P317" s="72"/>
      <c r="Q317" s="72"/>
      <c r="R317" s="72"/>
      <c r="S317" s="72"/>
      <c r="T317" s="72"/>
      <c r="U317" s="72"/>
      <c r="V317" s="72"/>
      <c r="W317" s="72"/>
      <c r="X317" s="417"/>
      <c r="Y317" s="417"/>
      <c r="Z317" s="417"/>
      <c r="AA317" s="417"/>
      <c r="AB317" s="417"/>
    </row>
    <row r="318" spans="1:28" outlineLevel="1" x14ac:dyDescent="0.2">
      <c r="A318" s="72"/>
      <c r="B318" s="417"/>
      <c r="C318" s="417"/>
      <c r="D318" s="337" t="str">
        <f>Translations!$B$655</f>
        <v>Method A: average anode effect minutes per occurrence</v>
      </c>
      <c r="E318" s="411"/>
      <c r="F318" s="411"/>
      <c r="G318" s="411"/>
      <c r="H318" s="411"/>
      <c r="I318" s="411"/>
      <c r="J318" s="411"/>
      <c r="K318" s="411"/>
      <c r="L318" s="417"/>
      <c r="M318" s="417"/>
      <c r="N318" s="417"/>
      <c r="O318" s="417"/>
      <c r="P318" s="72"/>
      <c r="Q318" s="72"/>
      <c r="R318" s="72"/>
      <c r="S318" s="72"/>
      <c r="T318" s="72"/>
      <c r="U318" s="72"/>
      <c r="V318" s="72"/>
      <c r="W318" s="72"/>
      <c r="X318" s="417"/>
      <c r="Y318" s="417"/>
      <c r="Z318" s="417"/>
      <c r="AA318" s="417"/>
      <c r="AB318" s="417"/>
    </row>
    <row r="319" spans="1:28" outlineLevel="1" x14ac:dyDescent="0.2">
      <c r="A319" s="72"/>
      <c r="B319" s="417"/>
      <c r="C319" s="417"/>
      <c r="D319" s="13" t="s">
        <v>1351</v>
      </c>
      <c r="E319" s="14" t="str">
        <f>Translations!$B$477</f>
        <v>Activity data tier level required:</v>
      </c>
      <c r="F319" s="11"/>
      <c r="G319" s="11"/>
      <c r="H319" s="268" t="str">
        <f>IF(W319,"",H309)</f>
        <v/>
      </c>
      <c r="I319" s="1163" t="str">
        <f>IF(W319,"",I309)</f>
        <v/>
      </c>
      <c r="J319" s="929"/>
      <c r="K319" s="929"/>
      <c r="L319" s="929"/>
      <c r="M319" s="929"/>
      <c r="N319" s="887"/>
      <c r="O319" s="417"/>
      <c r="P319" s="72"/>
      <c r="Q319" s="72"/>
      <c r="R319" s="29"/>
      <c r="S319" s="23"/>
      <c r="T319" s="72"/>
      <c r="U319" s="285" t="str">
        <f>U316</f>
        <v/>
      </c>
      <c r="V319" s="285">
        <v>1</v>
      </c>
      <c r="W319" s="92" t="b">
        <f>IF($L$6=EUconst_NotRelevant,TRUE,IF(V319&gt;0,(V319&lt;&gt;U319),IF(U319="",TRUE,FALSE)))</f>
        <v>1</v>
      </c>
      <c r="X319" s="417"/>
      <c r="Y319" s="417"/>
      <c r="Z319" s="417"/>
      <c r="AA319" s="417"/>
      <c r="AB319" s="417"/>
    </row>
    <row r="320" spans="1:28" outlineLevel="1" x14ac:dyDescent="0.2">
      <c r="A320" s="72"/>
      <c r="B320" s="417"/>
      <c r="C320" s="417"/>
      <c r="D320" s="13" t="s">
        <v>1352</v>
      </c>
      <c r="E320" s="14" t="str">
        <f>Translations!$B$478</f>
        <v>Activity data tier used:</v>
      </c>
      <c r="F320" s="11"/>
      <c r="G320" s="11"/>
      <c r="H320" s="197"/>
      <c r="I320" s="1163" t="str">
        <f>IF(OR(ISBLANK(H320),H320=EUconst_NoTier),"",IF(S320=0,EUconst_NA,IF(ISERROR(S320),"",EUconst_MsgTierActivityLevel &amp; " " &amp;S320)))</f>
        <v/>
      </c>
      <c r="J320" s="929"/>
      <c r="K320" s="929"/>
      <c r="L320" s="929"/>
      <c r="M320" s="929"/>
      <c r="N320" s="887"/>
      <c r="O320" s="417"/>
      <c r="P320" s="72"/>
      <c r="Q320" s="92" t="str">
        <f>EUconst_CNTR_ActivityData&amp;H298</f>
        <v>ActivityData_</v>
      </c>
      <c r="R320" s="29"/>
      <c r="S320" s="32" t="str">
        <f>IF(ISBLANK(H320),"",IF(H320=EUconst_NA,"",INDEX(EUwideConstants!$H:$O,MATCH(Q320,EUwideConstants!$S:$S,0),MATCH(H320,CNTR_TierList,0))))</f>
        <v/>
      </c>
      <c r="T320" s="72"/>
      <c r="U320" s="285" t="str">
        <f>U319</f>
        <v/>
      </c>
      <c r="V320" s="285">
        <v>1</v>
      </c>
      <c r="W320" s="92" t="b">
        <f>IF($L$6=EUconst_NotRelevant,TRUE,IF(V320&gt;0,(V320&lt;&gt;U320),IF(U320="",TRUE,FALSE)))</f>
        <v>1</v>
      </c>
      <c r="X320" s="417"/>
      <c r="Y320" s="417"/>
      <c r="Z320" s="417"/>
      <c r="AA320" s="417"/>
      <c r="AB320" s="417"/>
    </row>
    <row r="321" spans="1:28" outlineLevel="1" x14ac:dyDescent="0.2">
      <c r="A321" s="72"/>
      <c r="B321" s="417"/>
      <c r="C321" s="417"/>
      <c r="D321" s="13" t="s">
        <v>1516</v>
      </c>
      <c r="E321" s="14" t="str">
        <f>Translations!$B$479</f>
        <v>Uncertainty achieved:</v>
      </c>
      <c r="F321" s="11"/>
      <c r="G321" s="11"/>
      <c r="H321" s="269"/>
      <c r="I321" s="14" t="str">
        <f>Translations!$B$480</f>
        <v>Comment:</v>
      </c>
      <c r="J321" s="1162"/>
      <c r="K321" s="1140"/>
      <c r="L321" s="1140"/>
      <c r="M321" s="1140"/>
      <c r="N321" s="1141"/>
      <c r="O321" s="417"/>
      <c r="P321" s="72"/>
      <c r="Q321" s="72"/>
      <c r="R321" s="72"/>
      <c r="S321" s="72"/>
      <c r="T321" s="72"/>
      <c r="U321" s="285" t="str">
        <f>U320</f>
        <v/>
      </c>
      <c r="V321" s="285">
        <v>1</v>
      </c>
      <c r="W321" s="92" t="b">
        <f>IF($L$6=EUconst_NotRelevant,TRUE,IF(V321&gt;0,(V321&lt;&gt;U321),IF(U321="",TRUE,FALSE)))</f>
        <v>1</v>
      </c>
      <c r="X321" s="417"/>
      <c r="Y321" s="417"/>
      <c r="Z321" s="417"/>
      <c r="AA321" s="417"/>
      <c r="AB321" s="417"/>
    </row>
    <row r="322" spans="1:28" ht="5.0999999999999996" customHeight="1" outlineLevel="1" x14ac:dyDescent="0.2">
      <c r="A322" s="72"/>
      <c r="B322" s="417"/>
      <c r="C322" s="417"/>
      <c r="D322" s="417"/>
      <c r="E322" s="411"/>
      <c r="F322" s="411"/>
      <c r="G322" s="411"/>
      <c r="H322" s="411"/>
      <c r="I322" s="411"/>
      <c r="J322" s="411"/>
      <c r="K322" s="411"/>
      <c r="L322" s="417"/>
      <c r="M322" s="417"/>
      <c r="N322" s="417"/>
      <c r="O322" s="417"/>
      <c r="P322" s="72"/>
      <c r="Q322" s="72"/>
      <c r="R322" s="72"/>
      <c r="S322" s="72"/>
      <c r="T322" s="72"/>
      <c r="U322" s="72"/>
      <c r="V322" s="72"/>
      <c r="W322" s="72"/>
      <c r="X322" s="417"/>
      <c r="Y322" s="417"/>
      <c r="Z322" s="417"/>
      <c r="AA322" s="417"/>
      <c r="AB322" s="417"/>
    </row>
    <row r="323" spans="1:28" outlineLevel="1" x14ac:dyDescent="0.2">
      <c r="A323" s="72"/>
      <c r="B323" s="417"/>
      <c r="C323" s="417"/>
      <c r="D323" s="337" t="str">
        <f>Translations!$B$656</f>
        <v>Method B: anode effect overvoltage per cell</v>
      </c>
      <c r="E323" s="411"/>
      <c r="F323" s="411"/>
      <c r="G323" s="411"/>
      <c r="H323" s="411"/>
      <c r="I323" s="411"/>
      <c r="J323" s="411"/>
      <c r="K323" s="411"/>
      <c r="L323" s="417"/>
      <c r="M323" s="417"/>
      <c r="N323" s="417"/>
      <c r="O323" s="417"/>
      <c r="P323" s="72"/>
      <c r="Q323" s="72"/>
      <c r="R323" s="72"/>
      <c r="S323" s="72"/>
      <c r="T323" s="72"/>
      <c r="U323" s="72"/>
      <c r="V323" s="72"/>
      <c r="W323" s="72"/>
      <c r="X323" s="417"/>
      <c r="Y323" s="417"/>
      <c r="Z323" s="417"/>
      <c r="AA323" s="417"/>
      <c r="AB323" s="417"/>
    </row>
    <row r="324" spans="1:28" outlineLevel="1" x14ac:dyDescent="0.2">
      <c r="A324" s="72"/>
      <c r="B324" s="417"/>
      <c r="C324" s="417"/>
      <c r="D324" s="13" t="s">
        <v>351</v>
      </c>
      <c r="E324" s="14" t="str">
        <f>Translations!$B$477</f>
        <v>Activity data tier level required:</v>
      </c>
      <c r="F324" s="11"/>
      <c r="G324" s="11"/>
      <c r="H324" s="268" t="str">
        <f>IF(W324,"",H309)</f>
        <v/>
      </c>
      <c r="I324" s="1163" t="str">
        <f>IF(W324,"",I309)</f>
        <v/>
      </c>
      <c r="J324" s="929"/>
      <c r="K324" s="929"/>
      <c r="L324" s="929"/>
      <c r="M324" s="929"/>
      <c r="N324" s="887"/>
      <c r="O324" s="417"/>
      <c r="P324" s="72"/>
      <c r="Q324" s="72"/>
      <c r="R324" s="29"/>
      <c r="S324" s="23"/>
      <c r="T324" s="72"/>
      <c r="U324" s="285" t="str">
        <f>U321</f>
        <v/>
      </c>
      <c r="V324" s="285">
        <v>2</v>
      </c>
      <c r="W324" s="92" t="b">
        <f>IF($L$6=EUconst_NotRelevant,TRUE,IF(V324&gt;0,(V324&lt;&gt;U324),IF(U324="",TRUE,FALSE)))</f>
        <v>1</v>
      </c>
      <c r="X324" s="417"/>
      <c r="Y324" s="417"/>
      <c r="Z324" s="417"/>
      <c r="AA324" s="417"/>
      <c r="AB324" s="417"/>
    </row>
    <row r="325" spans="1:28" outlineLevel="1" x14ac:dyDescent="0.2">
      <c r="A325" s="72"/>
      <c r="B325" s="417"/>
      <c r="C325" s="417"/>
      <c r="D325" s="13" t="s">
        <v>353</v>
      </c>
      <c r="E325" s="14" t="str">
        <f>Translations!$B$478</f>
        <v>Activity data tier used:</v>
      </c>
      <c r="F325" s="11"/>
      <c r="G325" s="11"/>
      <c r="H325" s="197"/>
      <c r="I325" s="1163" t="str">
        <f>IF(OR(ISBLANK(H325),H325=EUconst_NoTier),"",IF(S325=0,EUconst_NA,IF(ISERROR(S325),"",EUconst_MsgTierActivityLevel &amp; " " &amp;S325)))</f>
        <v/>
      </c>
      <c r="J325" s="929"/>
      <c r="K325" s="929"/>
      <c r="L325" s="929"/>
      <c r="M325" s="929"/>
      <c r="N325" s="887"/>
      <c r="O325" s="417"/>
      <c r="P325" s="72"/>
      <c r="Q325" s="92" t="str">
        <f>EUconst_CNTR_ActivityData&amp;H298</f>
        <v>ActivityData_</v>
      </c>
      <c r="R325" s="29"/>
      <c r="S325" s="32" t="str">
        <f>IF(ISBLANK(H325),"",IF(H325=EUconst_NA,"",INDEX(EUwideConstants!$H:$O,MATCH(Q325,EUwideConstants!$S:$S,0),MATCH(H325,CNTR_TierList,0))))</f>
        <v/>
      </c>
      <c r="T325" s="72"/>
      <c r="U325" s="285" t="str">
        <f>U324</f>
        <v/>
      </c>
      <c r="V325" s="285">
        <v>2</v>
      </c>
      <c r="W325" s="92" t="b">
        <f>IF($L$6=EUconst_NotRelevant,TRUE,IF(V325&gt;0,(V325&lt;&gt;U325),IF(U325="",TRUE,FALSE)))</f>
        <v>1</v>
      </c>
      <c r="X325" s="417"/>
      <c r="Y325" s="417"/>
      <c r="Z325" s="417"/>
      <c r="AA325" s="417"/>
      <c r="AB325" s="417"/>
    </row>
    <row r="326" spans="1:28" outlineLevel="1" x14ac:dyDescent="0.2">
      <c r="A326" s="72"/>
      <c r="B326" s="417"/>
      <c r="C326" s="417"/>
      <c r="D326" s="13" t="s">
        <v>354</v>
      </c>
      <c r="E326" s="14" t="str">
        <f>Translations!$B$479</f>
        <v>Uncertainty achieved:</v>
      </c>
      <c r="F326" s="11"/>
      <c r="G326" s="11"/>
      <c r="H326" s="269"/>
      <c r="I326" s="14" t="str">
        <f>Translations!$B$480</f>
        <v>Comment:</v>
      </c>
      <c r="J326" s="1162"/>
      <c r="K326" s="1140"/>
      <c r="L326" s="1140"/>
      <c r="M326" s="1140"/>
      <c r="N326" s="1141"/>
      <c r="O326" s="417"/>
      <c r="P326" s="72"/>
      <c r="Q326" s="72"/>
      <c r="R326" s="72"/>
      <c r="S326" s="72"/>
      <c r="T326" s="72"/>
      <c r="U326" s="285" t="str">
        <f>U325</f>
        <v/>
      </c>
      <c r="V326" s="285">
        <v>2</v>
      </c>
      <c r="W326" s="92" t="b">
        <f>IF($L$6=EUconst_NotRelevant,TRUE,IF(V326&gt;0,(V326&lt;&gt;U326),IF(U326="",TRUE,FALSE)))</f>
        <v>1</v>
      </c>
      <c r="X326" s="417"/>
      <c r="Y326" s="417"/>
      <c r="Z326" s="417"/>
      <c r="AA326" s="417"/>
      <c r="AB326" s="417"/>
    </row>
    <row r="327" spans="1:28" ht="5.0999999999999996" customHeight="1" outlineLevel="1" x14ac:dyDescent="0.2">
      <c r="A327" s="72"/>
      <c r="B327" s="417"/>
      <c r="C327" s="417"/>
      <c r="D327" s="417"/>
      <c r="E327" s="411"/>
      <c r="F327" s="411"/>
      <c r="G327" s="411"/>
      <c r="H327" s="411"/>
      <c r="I327" s="411"/>
      <c r="J327" s="411"/>
      <c r="K327" s="411"/>
      <c r="L327" s="417"/>
      <c r="M327" s="417"/>
      <c r="N327" s="417"/>
      <c r="O327" s="417"/>
      <c r="P327" s="72"/>
      <c r="Q327" s="72"/>
      <c r="R327" s="72"/>
      <c r="S327" s="72"/>
      <c r="T327" s="72"/>
      <c r="U327" s="72"/>
      <c r="V327" s="72"/>
      <c r="W327" s="72"/>
      <c r="X327" s="417"/>
      <c r="Y327" s="417"/>
      <c r="Z327" s="417"/>
      <c r="AA327" s="417"/>
      <c r="AB327" s="417"/>
    </row>
    <row r="328" spans="1:28" outlineLevel="1" x14ac:dyDescent="0.2">
      <c r="A328" s="72"/>
      <c r="B328" s="417"/>
      <c r="C328" s="417"/>
      <c r="D328" s="337" t="str">
        <f>Translations!$B$657</f>
        <v>Method B: Current efficiency</v>
      </c>
      <c r="E328" s="411"/>
      <c r="F328" s="411"/>
      <c r="G328" s="411"/>
      <c r="H328" s="411"/>
      <c r="I328" s="411"/>
      <c r="J328" s="411"/>
      <c r="K328" s="411"/>
      <c r="L328" s="417"/>
      <c r="M328" s="417"/>
      <c r="N328" s="417"/>
      <c r="O328" s="417"/>
      <c r="P328" s="72"/>
      <c r="Q328" s="72"/>
      <c r="R328" s="72"/>
      <c r="S328" s="72"/>
      <c r="T328" s="72"/>
      <c r="U328" s="72"/>
      <c r="V328" s="72"/>
      <c r="W328" s="72"/>
      <c r="X328" s="417"/>
      <c r="Y328" s="417"/>
      <c r="Z328" s="417"/>
      <c r="AA328" s="417"/>
      <c r="AB328" s="417"/>
    </row>
    <row r="329" spans="1:28" ht="12.75" customHeight="1" outlineLevel="1" x14ac:dyDescent="0.2">
      <c r="A329" s="72"/>
      <c r="B329" s="417"/>
      <c r="C329" s="417"/>
      <c r="D329" s="13" t="s">
        <v>355</v>
      </c>
      <c r="E329" s="14" t="str">
        <f>Translations!$B$477</f>
        <v>Activity data tier level required:</v>
      </c>
      <c r="F329" s="11"/>
      <c r="G329" s="11"/>
      <c r="H329" s="268" t="str">
        <f>IF(W329,"",H309)</f>
        <v/>
      </c>
      <c r="I329" s="1163" t="str">
        <f>IF(W329,"",I309)</f>
        <v/>
      </c>
      <c r="J329" s="929"/>
      <c r="K329" s="929"/>
      <c r="L329" s="929"/>
      <c r="M329" s="929"/>
      <c r="N329" s="887"/>
      <c r="O329" s="417"/>
      <c r="P329" s="72"/>
      <c r="Q329" s="72"/>
      <c r="R329" s="29"/>
      <c r="S329" s="23"/>
      <c r="T329" s="72"/>
      <c r="U329" s="285" t="str">
        <f>U326</f>
        <v/>
      </c>
      <c r="V329" s="285">
        <v>2</v>
      </c>
      <c r="W329" s="92" t="b">
        <f>IF($L$6=EUconst_NotRelevant,TRUE,IF(V329&gt;0,(V329&lt;&gt;U329),IF(U329="",TRUE,FALSE)))</f>
        <v>1</v>
      </c>
      <c r="X329" s="417"/>
      <c r="Y329" s="417"/>
      <c r="Z329" s="417"/>
      <c r="AA329" s="417"/>
      <c r="AB329" s="417"/>
    </row>
    <row r="330" spans="1:28" outlineLevel="1" x14ac:dyDescent="0.2">
      <c r="A330" s="72"/>
      <c r="B330" s="417"/>
      <c r="C330" s="417"/>
      <c r="D330" s="13" t="s">
        <v>555</v>
      </c>
      <c r="E330" s="14" t="str">
        <f>Translations!$B$478</f>
        <v>Activity data tier used:</v>
      </c>
      <c r="F330" s="11"/>
      <c r="G330" s="11"/>
      <c r="H330" s="197"/>
      <c r="I330" s="1163" t="str">
        <f>IF(OR(ISBLANK(H330),H330=EUconst_NoTier),"",IF(S330=0,EUconst_NA,IF(ISERROR(S330),"",EUconst_MsgTierActivityLevel &amp; " " &amp;S330)))</f>
        <v/>
      </c>
      <c r="J330" s="929"/>
      <c r="K330" s="929"/>
      <c r="L330" s="929"/>
      <c r="M330" s="929"/>
      <c r="N330" s="887"/>
      <c r="O330" s="417"/>
      <c r="P330" s="72"/>
      <c r="Q330" s="92" t="str">
        <f>EUconst_CNTR_ActivityData&amp;H298</f>
        <v>ActivityData_</v>
      </c>
      <c r="R330" s="29"/>
      <c r="S330" s="32" t="str">
        <f>IF(ISBLANK(H330),"",IF(H330=EUconst_NA,"",INDEX(EUwideConstants!$H:$O,MATCH(Q330,EUwideConstants!$S:$S,0),MATCH(H330,CNTR_TierList,0))))</f>
        <v/>
      </c>
      <c r="T330" s="72"/>
      <c r="U330" s="285" t="str">
        <f>U329</f>
        <v/>
      </c>
      <c r="V330" s="285">
        <v>2</v>
      </c>
      <c r="W330" s="92" t="b">
        <f>IF($L$6=EUconst_NotRelevant,TRUE,IF(V330&gt;0,(V330&lt;&gt;U330),IF(U330="",TRUE,FALSE)))</f>
        <v>1</v>
      </c>
      <c r="X330" s="417"/>
      <c r="Y330" s="417"/>
      <c r="Z330" s="417"/>
      <c r="AA330" s="417"/>
      <c r="AB330" s="417"/>
    </row>
    <row r="331" spans="1:28" outlineLevel="1" x14ac:dyDescent="0.2">
      <c r="A331" s="72"/>
      <c r="B331" s="417"/>
      <c r="C331" s="417"/>
      <c r="D331" s="13" t="s">
        <v>550</v>
      </c>
      <c r="E331" s="14" t="str">
        <f>Translations!$B$479</f>
        <v>Uncertainty achieved:</v>
      </c>
      <c r="F331" s="11"/>
      <c r="G331" s="11"/>
      <c r="H331" s="269"/>
      <c r="I331" s="14" t="str">
        <f>Translations!$B$480</f>
        <v>Comment:</v>
      </c>
      <c r="J331" s="1162"/>
      <c r="K331" s="1140"/>
      <c r="L331" s="1140"/>
      <c r="M331" s="1140"/>
      <c r="N331" s="1141"/>
      <c r="O331" s="417"/>
      <c r="P331" s="72"/>
      <c r="Q331" s="72"/>
      <c r="R331" s="72"/>
      <c r="S331" s="72"/>
      <c r="T331" s="72"/>
      <c r="U331" s="285" t="str">
        <f>U330</f>
        <v/>
      </c>
      <c r="V331" s="285">
        <v>2</v>
      </c>
      <c r="W331" s="92" t="b">
        <f>IF($L$6=EUconst_NotRelevant,TRUE,IF(V331&gt;0,(V331&lt;&gt;U331),IF(U331="",TRUE,FALSE)))</f>
        <v>1</v>
      </c>
      <c r="X331" s="417"/>
      <c r="Y331" s="417"/>
      <c r="Z331" s="417"/>
      <c r="AA331" s="417"/>
      <c r="AB331" s="417"/>
    </row>
    <row r="332" spans="1:28" outlineLevel="1" x14ac:dyDescent="0.2">
      <c r="A332" s="72"/>
      <c r="B332" s="417"/>
      <c r="C332" s="417"/>
      <c r="D332" s="417"/>
      <c r="E332" s="411"/>
      <c r="F332" s="411"/>
      <c r="G332" s="411"/>
      <c r="H332" s="411"/>
      <c r="I332" s="411"/>
      <c r="J332" s="411"/>
      <c r="K332" s="411"/>
      <c r="L332" s="417"/>
      <c r="M332" s="417"/>
      <c r="N332" s="417"/>
      <c r="O332" s="417"/>
      <c r="P332" s="72"/>
      <c r="Q332" s="72"/>
      <c r="R332" s="72"/>
      <c r="S332" s="72"/>
      <c r="T332" s="72"/>
      <c r="U332" s="72"/>
      <c r="V332" s="72"/>
      <c r="W332" s="72"/>
      <c r="X332" s="417"/>
      <c r="Y332" s="417"/>
      <c r="Z332" s="417"/>
      <c r="AA332" s="417"/>
      <c r="AB332" s="417"/>
    </row>
    <row r="333" spans="1:28" ht="15" customHeight="1" outlineLevel="1" x14ac:dyDescent="0.2">
      <c r="A333" s="72"/>
      <c r="B333" s="417"/>
      <c r="C333" s="417"/>
      <c r="D333" s="1040" t="str">
        <f>Translations!$B$658</f>
        <v>Calculation factors</v>
      </c>
      <c r="E333" s="1040"/>
      <c r="F333" s="1040"/>
      <c r="G333" s="1040"/>
      <c r="H333" s="1040"/>
      <c r="I333" s="1040"/>
      <c r="J333" s="1040"/>
      <c r="K333" s="1040"/>
      <c r="L333" s="1040"/>
      <c r="M333" s="1040"/>
      <c r="N333" s="1040"/>
      <c r="O333" s="417"/>
      <c r="P333" s="72"/>
      <c r="Q333" s="72"/>
      <c r="R333" s="72"/>
      <c r="S333" s="72"/>
      <c r="T333" s="72"/>
      <c r="U333" s="72"/>
      <c r="V333" s="72"/>
      <c r="W333" s="72"/>
      <c r="X333" s="417"/>
      <c r="Y333" s="417"/>
      <c r="Z333" s="417"/>
      <c r="AA333" s="417"/>
      <c r="AB333" s="417"/>
    </row>
    <row r="334" spans="1:28" ht="15" outlineLevel="1" x14ac:dyDescent="0.2">
      <c r="A334" s="72"/>
      <c r="B334" s="417"/>
      <c r="C334" s="417"/>
      <c r="D334" s="307" t="s">
        <v>841</v>
      </c>
      <c r="E334" s="337" t="str">
        <f>Translations!$B$659</f>
        <v>Tiers applied</v>
      </c>
      <c r="F334" s="257"/>
      <c r="G334" s="257"/>
      <c r="H334" s="411"/>
      <c r="I334" s="411"/>
      <c r="J334" s="411"/>
      <c r="K334" s="411"/>
      <c r="L334" s="417"/>
      <c r="M334" s="417"/>
      <c r="N334" s="417"/>
      <c r="O334" s="417"/>
      <c r="P334" s="72"/>
      <c r="Q334" s="72"/>
      <c r="R334" s="72"/>
      <c r="S334" s="72"/>
      <c r="T334" s="72"/>
      <c r="U334" s="72"/>
      <c r="V334" s="72"/>
      <c r="W334" s="72"/>
      <c r="X334" s="417"/>
      <c r="Y334" s="417"/>
      <c r="Z334" s="417"/>
      <c r="AA334" s="417"/>
      <c r="AB334" s="417"/>
    </row>
    <row r="335" spans="1:28" ht="5.0999999999999996" customHeight="1" outlineLevel="1" x14ac:dyDescent="0.2">
      <c r="A335" s="72"/>
      <c r="B335" s="417"/>
      <c r="C335" s="417"/>
      <c r="D335" s="417"/>
      <c r="E335" s="411"/>
      <c r="F335" s="411"/>
      <c r="G335" s="411"/>
      <c r="H335" s="411"/>
      <c r="I335" s="411"/>
      <c r="J335" s="411"/>
      <c r="K335" s="411"/>
      <c r="L335" s="417"/>
      <c r="M335" s="417"/>
      <c r="N335" s="417"/>
      <c r="O335" s="417"/>
      <c r="P335" s="72"/>
      <c r="Q335" s="72"/>
      <c r="R335" s="72"/>
      <c r="S335" s="72"/>
      <c r="T335" s="72"/>
      <c r="U335" s="72"/>
      <c r="V335" s="72"/>
      <c r="W335" s="72"/>
      <c r="X335" s="417"/>
      <c r="Y335" s="417"/>
      <c r="Z335" s="417"/>
      <c r="AA335" s="417"/>
      <c r="AB335" s="417"/>
    </row>
    <row r="336" spans="1:28" outlineLevel="1" x14ac:dyDescent="0.2">
      <c r="A336" s="72"/>
      <c r="B336" s="417"/>
      <c r="C336" s="417"/>
      <c r="D336" s="417"/>
      <c r="E336" s="279" t="str">
        <f>Translations!$B$516</f>
        <v>calculation factor</v>
      </c>
      <c r="F336" s="280"/>
      <c r="G336" s="281"/>
      <c r="H336" s="50" t="str">
        <f>Translations!$B$517</f>
        <v>required tier</v>
      </c>
      <c r="I336" s="50" t="str">
        <f>Translations!$B$518</f>
        <v>applied tier</v>
      </c>
      <c r="J336" s="1159" t="str">
        <f>Translations!$B$519</f>
        <v>full text for applied tier</v>
      </c>
      <c r="K336" s="1160"/>
      <c r="L336" s="1160"/>
      <c r="M336" s="1160"/>
      <c r="N336" s="1161"/>
      <c r="O336" s="417"/>
      <c r="P336" s="72"/>
      <c r="Q336" s="72"/>
      <c r="R336" s="72"/>
      <c r="S336" s="15" t="s">
        <v>1038</v>
      </c>
      <c r="T336" s="72"/>
      <c r="U336" s="72"/>
      <c r="V336" s="72"/>
      <c r="W336" s="72"/>
      <c r="X336" s="417"/>
      <c r="Y336" s="417"/>
      <c r="Z336" s="417"/>
      <c r="AA336" s="417"/>
      <c r="AB336" s="417"/>
    </row>
    <row r="337" spans="1:28" outlineLevel="1" x14ac:dyDescent="0.2">
      <c r="A337" s="72"/>
      <c r="B337" s="417"/>
      <c r="C337" s="417"/>
      <c r="D337" s="46" t="s">
        <v>1030</v>
      </c>
      <c r="E337" s="282" t="str">
        <f>Translations!$B$660</f>
        <v>SEF(CF4) Slope emission factor</v>
      </c>
      <c r="F337" s="283"/>
      <c r="G337" s="284"/>
      <c r="H337" s="268" t="str">
        <f>IF(H298="","",IF(W337=FALSE,IF(CNTR_Category="A",INDEX(EUwideConstants!$G:$G,MATCH(Q337,EUwideConstants!$S:$S,0)),INDEX(EUwideConstants!$P:$P,MATCH(Q337,EUwideConstants!$S:$S,0))),""))</f>
        <v/>
      </c>
      <c r="I337" s="197"/>
      <c r="J337" s="1163" t="str">
        <f>IF(OR(ISBLANK(I337),I337=EUconst_NoTier),"",IF(S337=0,EUconst_NotApplicable,IF(ISERROR(S337),"",S337)))</f>
        <v/>
      </c>
      <c r="K337" s="929"/>
      <c r="L337" s="929"/>
      <c r="M337" s="929"/>
      <c r="N337" s="887"/>
      <c r="O337" s="417"/>
      <c r="P337" s="72"/>
      <c r="Q337" s="92" t="str">
        <f>EUconst_CNTR_EF&amp;H298</f>
        <v>EF_</v>
      </c>
      <c r="R337" s="72"/>
      <c r="S337" s="31" t="str">
        <f>IF(ISBLANK(I337),"",IF(I337=EUconst_NA,"",INDEX(EUwideConstants!$H:$O,MATCH(Q337,EUwideConstants!$S:$S,0),MATCH(I337,CNTR_TierList,0))))</f>
        <v/>
      </c>
      <c r="T337" s="72"/>
      <c r="U337" s="285" t="str">
        <f>U331</f>
        <v/>
      </c>
      <c r="V337" s="285">
        <v>1</v>
      </c>
      <c r="W337" s="92" t="b">
        <f>IF($L$6=EUconst_NotRelevant,TRUE,IF(V337&gt;0,(V337&lt;&gt;U337),IF(U337="",TRUE,FALSE)))</f>
        <v>1</v>
      </c>
      <c r="X337" s="417"/>
      <c r="Y337" s="417"/>
      <c r="Z337" s="417"/>
      <c r="AA337" s="417"/>
      <c r="AB337" s="417"/>
    </row>
    <row r="338" spans="1:28" outlineLevel="1" x14ac:dyDescent="0.2">
      <c r="A338" s="72"/>
      <c r="B338" s="417"/>
      <c r="C338" s="417"/>
      <c r="D338" s="46" t="s">
        <v>1031</v>
      </c>
      <c r="E338" s="282" t="str">
        <f>Translations!$B$661</f>
        <v>OVC (Overvoltage coefficient)</v>
      </c>
      <c r="F338" s="283"/>
      <c r="G338" s="284"/>
      <c r="H338" s="268" t="str">
        <f>IF(H299="","",IF(W338=FALSE,IF(CNTR_Category="A",INDEX(EUwideConstants!$G:$G,MATCH(Q338,EUwideConstants!$S:$S,0)),INDEX(EUwideConstants!$P:$P,MATCH(Q338,EUwideConstants!$S:$S,0))),""))</f>
        <v/>
      </c>
      <c r="I338" s="197"/>
      <c r="J338" s="1163" t="str">
        <f>IF(OR(ISBLANK(I338),I338=EUconst_NoTier),"",IF(S338=0,EUconst_NotApplicable,IF(ISERROR(S338),"",S338)))</f>
        <v/>
      </c>
      <c r="K338" s="929"/>
      <c r="L338" s="929"/>
      <c r="M338" s="929"/>
      <c r="N338" s="887"/>
      <c r="O338" s="417"/>
      <c r="P338" s="72"/>
      <c r="Q338" s="92" t="str">
        <f>EUconst_CNTR_EF&amp;H298</f>
        <v>EF_</v>
      </c>
      <c r="R338" s="72"/>
      <c r="S338" s="31" t="str">
        <f>IF(ISBLANK(I338),"",IF(I338=EUconst_NA,"",INDEX(EUwideConstants!$H:$O,MATCH(Q338,EUwideConstants!$S:$S,0),MATCH(I338,CNTR_TierList,0))))</f>
        <v/>
      </c>
      <c r="T338" s="72"/>
      <c r="U338" s="285" t="str">
        <f>U337</f>
        <v/>
      </c>
      <c r="V338" s="285">
        <v>2</v>
      </c>
      <c r="W338" s="92" t="b">
        <f>IF($L$6=EUconst_NotRelevant,TRUE,IF(V338&gt;0,(V338&lt;&gt;U338),IF(U338="",TRUE,FALSE)))</f>
        <v>1</v>
      </c>
      <c r="X338" s="417"/>
      <c r="Y338" s="417"/>
      <c r="Z338" s="417"/>
      <c r="AA338" s="417"/>
      <c r="AB338" s="417"/>
    </row>
    <row r="339" spans="1:28" outlineLevel="1" x14ac:dyDescent="0.2">
      <c r="A339" s="72"/>
      <c r="B339" s="417"/>
      <c r="C339" s="417"/>
      <c r="D339" s="46" t="s">
        <v>1468</v>
      </c>
      <c r="E339" s="282" t="str">
        <f>Translations!$B$662</f>
        <v>F(C2F6) Weight fraction of C2F6</v>
      </c>
      <c r="F339" s="283"/>
      <c r="G339" s="284"/>
      <c r="H339" s="268" t="str">
        <f>IF(H300="","",IF(W339=FALSE,IF(CNTR_Category="A",INDEX(EUwideConstants!$G:$G,MATCH(Q339,EUwideConstants!$S:$S,0)),INDEX(EUwideConstants!$P:$P,MATCH(Q339,EUwideConstants!$S:$S,0))),""))</f>
        <v/>
      </c>
      <c r="I339" s="197"/>
      <c r="J339" s="1163" t="str">
        <f>IF(OR(ISBLANK(I339),I339=EUconst_NoTier),"",IF(S339=0,EUconst_NotApplicable,IF(ISERROR(S339),"",S339)))</f>
        <v/>
      </c>
      <c r="K339" s="929"/>
      <c r="L339" s="929"/>
      <c r="M339" s="929"/>
      <c r="N339" s="887"/>
      <c r="O339" s="417"/>
      <c r="P339" s="72"/>
      <c r="Q339" s="92" t="str">
        <f>EUconst_CNTR_EF&amp;H298</f>
        <v>EF_</v>
      </c>
      <c r="R339" s="72"/>
      <c r="S339" s="31" t="str">
        <f>IF(ISBLANK(I339),"",IF(I339=EUconst_NA,"",INDEX(EUwideConstants!$H:$O,MATCH(Q339,EUwideConstants!$S:$S,0),MATCH(I339,CNTR_TierList,0))))</f>
        <v/>
      </c>
      <c r="T339" s="72"/>
      <c r="U339" s="285" t="str">
        <f>U338</f>
        <v/>
      </c>
      <c r="V339" s="285">
        <v>0</v>
      </c>
      <c r="W339" s="92" t="b">
        <f>IF($L$6=EUconst_NotRelevant,TRUE,IF(V339&gt;0,(V339&lt;&gt;U339),IF(U339="",TRUE,FALSE)))</f>
        <v>1</v>
      </c>
      <c r="X339" s="417"/>
      <c r="Y339" s="417"/>
      <c r="Z339" s="417"/>
      <c r="AA339" s="417"/>
      <c r="AB339" s="417"/>
    </row>
    <row r="340" spans="1:28" outlineLevel="1" x14ac:dyDescent="0.2">
      <c r="A340" s="72"/>
      <c r="B340" s="417"/>
      <c r="C340" s="417"/>
      <c r="D340" s="417"/>
      <c r="E340" s="411"/>
      <c r="F340" s="411"/>
      <c r="G340" s="411"/>
      <c r="H340" s="411"/>
      <c r="I340" s="411"/>
      <c r="J340" s="411"/>
      <c r="K340" s="411"/>
      <c r="L340" s="417"/>
      <c r="M340" s="417"/>
      <c r="N340" s="417"/>
      <c r="O340" s="417"/>
      <c r="P340" s="72"/>
      <c r="Q340" s="72"/>
      <c r="R340" s="72"/>
      <c r="S340" s="72"/>
      <c r="T340" s="72"/>
      <c r="U340" s="72"/>
      <c r="V340" s="72"/>
      <c r="W340" s="72"/>
      <c r="X340" s="417"/>
      <c r="Y340" s="417"/>
      <c r="Z340" s="417"/>
      <c r="AA340" s="417"/>
      <c r="AB340" s="417"/>
    </row>
    <row r="341" spans="1:28" ht="15" outlineLevel="1" x14ac:dyDescent="0.2">
      <c r="A341" s="72"/>
      <c r="B341" s="417"/>
      <c r="C341" s="417"/>
      <c r="D341" s="307" t="s">
        <v>846</v>
      </c>
      <c r="E341" s="337" t="str">
        <f>Translations!$B$663</f>
        <v>Tier details</v>
      </c>
      <c r="F341" s="257"/>
      <c r="G341" s="257"/>
      <c r="H341" s="411"/>
      <c r="I341" s="411"/>
      <c r="J341" s="411"/>
      <c r="K341" s="411"/>
      <c r="L341" s="417"/>
      <c r="M341" s="417"/>
      <c r="N341" s="417"/>
      <c r="O341" s="417"/>
      <c r="P341" s="72"/>
      <c r="Q341" s="72"/>
      <c r="R341" s="72"/>
      <c r="S341" s="72"/>
      <c r="T341" s="72"/>
      <c r="U341" s="72"/>
      <c r="V341" s="72"/>
      <c r="W341" s="72"/>
      <c r="X341" s="417"/>
      <c r="Y341" s="417"/>
      <c r="Z341" s="417"/>
      <c r="AA341" s="417"/>
      <c r="AB341" s="417"/>
    </row>
    <row r="342" spans="1:28" ht="5.0999999999999996" customHeight="1" outlineLevel="1" x14ac:dyDescent="0.2">
      <c r="A342" s="72"/>
      <c r="B342" s="417"/>
      <c r="C342" s="417"/>
      <c r="D342" s="417"/>
      <c r="E342" s="411"/>
      <c r="F342" s="411"/>
      <c r="G342" s="411"/>
      <c r="H342" s="411"/>
      <c r="I342" s="411"/>
      <c r="J342" s="411"/>
      <c r="K342" s="411"/>
      <c r="L342" s="417"/>
      <c r="M342" s="417"/>
      <c r="N342" s="417"/>
      <c r="O342" s="417"/>
      <c r="P342" s="72"/>
      <c r="Q342" s="72"/>
      <c r="R342" s="72"/>
      <c r="S342" s="72"/>
      <c r="T342" s="72"/>
      <c r="U342" s="72"/>
      <c r="V342" s="72"/>
      <c r="W342" s="72"/>
      <c r="X342" s="417"/>
      <c r="Y342" s="417"/>
      <c r="Z342" s="417"/>
      <c r="AA342" s="417"/>
      <c r="AB342" s="417"/>
    </row>
    <row r="343" spans="1:28" ht="25.5" outlineLevel="1" x14ac:dyDescent="0.2">
      <c r="A343" s="72"/>
      <c r="B343" s="417"/>
      <c r="C343" s="417"/>
      <c r="D343" s="417"/>
      <c r="E343" s="279" t="str">
        <f>Translations!$B$516</f>
        <v>calculation factor</v>
      </c>
      <c r="F343" s="280"/>
      <c r="G343" s="281"/>
      <c r="H343" s="50" t="str">
        <f>I336</f>
        <v>applied tier</v>
      </c>
      <c r="I343" s="51" t="str">
        <f>Translations!$B$664</f>
        <v>default or latest value</v>
      </c>
      <c r="J343" s="51" t="str">
        <f>Translations!$B$536</f>
        <v>Unit</v>
      </c>
      <c r="K343" s="51" t="str">
        <f>Translations!$B$537</f>
        <v>source ref</v>
      </c>
      <c r="L343" s="51" t="str">
        <f>Translations!$B$538</f>
        <v>analysis ref</v>
      </c>
      <c r="M343" s="51" t="str">
        <f>Translations!$B$665</f>
        <v>date of latest analysis</v>
      </c>
      <c r="N343" s="51" t="str">
        <f>Translations!$B$540</f>
        <v>Analysis frequency</v>
      </c>
      <c r="O343" s="417"/>
      <c r="P343" s="72"/>
      <c r="Q343" s="72"/>
      <c r="R343" s="72"/>
      <c r="S343" s="52" t="s">
        <v>384</v>
      </c>
      <c r="T343" s="72"/>
      <c r="U343" s="72"/>
      <c r="V343" s="72"/>
      <c r="W343" s="72"/>
      <c r="X343" s="417"/>
      <c r="Y343" s="417"/>
      <c r="Z343" s="417"/>
      <c r="AA343" s="417"/>
      <c r="AB343" s="417"/>
    </row>
    <row r="344" spans="1:28" outlineLevel="1" x14ac:dyDescent="0.2">
      <c r="A344" s="72"/>
      <c r="B344" s="417"/>
      <c r="C344" s="417"/>
      <c r="D344" s="46" t="s">
        <v>1030</v>
      </c>
      <c r="E344" s="282" t="str">
        <f>E337</f>
        <v>SEF(CF4) Slope emission factor</v>
      </c>
      <c r="F344" s="283"/>
      <c r="G344" s="284"/>
      <c r="H344" s="268" t="str">
        <f>IF(OR(ISBLANK(I337),I337=EUconst_NA),"",I337)</f>
        <v/>
      </c>
      <c r="I344" s="197"/>
      <c r="J344" s="197"/>
      <c r="K344" s="270"/>
      <c r="L344" s="271"/>
      <c r="M344" s="271"/>
      <c r="N344" s="272"/>
      <c r="O344" s="417"/>
      <c r="P344" s="72"/>
      <c r="Q344" s="92" t="str">
        <f>Q337</f>
        <v>EF_</v>
      </c>
      <c r="R344" s="72"/>
      <c r="S344" s="63" t="str">
        <f>IF(H344="","",IF(I337=EUconst_NA,"",INDEX(EUwideConstants!$AL:$AP,MATCH(Q337,EUwideConstants!$S:$S,0),MATCH(I337,CNTR_TierList,0))))</f>
        <v/>
      </c>
      <c r="T344" s="72"/>
      <c r="U344" s="285" t="str">
        <f>U339</f>
        <v/>
      </c>
      <c r="V344" s="285">
        <v>1</v>
      </c>
      <c r="W344" s="92" t="b">
        <f>IF($L$6=EUconst_NotRelevant,TRUE,IF(V344&gt;0,(V344&lt;&gt;U344),IF(U344="",TRUE,FALSE)))</f>
        <v>1</v>
      </c>
      <c r="X344" s="417"/>
      <c r="Y344" s="417"/>
      <c r="Z344" s="417"/>
      <c r="AA344" s="417"/>
      <c r="AB344" s="417"/>
    </row>
    <row r="345" spans="1:28" outlineLevel="1" x14ac:dyDescent="0.2">
      <c r="A345" s="72"/>
      <c r="B345" s="417"/>
      <c r="C345" s="417"/>
      <c r="D345" s="46" t="s">
        <v>1031</v>
      </c>
      <c r="E345" s="282" t="str">
        <f>E338</f>
        <v>OVC (Overvoltage coefficient)</v>
      </c>
      <c r="F345" s="283"/>
      <c r="G345" s="284"/>
      <c r="H345" s="268" t="str">
        <f>IF(OR(ISBLANK(I338),I338=EUconst_NA),"",I338)</f>
        <v/>
      </c>
      <c r="I345" s="197"/>
      <c r="J345" s="197"/>
      <c r="K345" s="270"/>
      <c r="L345" s="271"/>
      <c r="M345" s="271"/>
      <c r="N345" s="272"/>
      <c r="O345" s="417"/>
      <c r="P345" s="72"/>
      <c r="Q345" s="92" t="str">
        <f>Q338</f>
        <v>EF_</v>
      </c>
      <c r="R345" s="72"/>
      <c r="S345" s="63" t="str">
        <f>IF(H345="","",IF(I338=EUconst_NA,"",INDEX(EUwideConstants!$AL:$AP,MATCH(Q338,EUwideConstants!$S:$S,0),MATCH(I338,CNTR_TierList,0))))</f>
        <v/>
      </c>
      <c r="T345" s="72"/>
      <c r="U345" s="285" t="str">
        <f>U344</f>
        <v/>
      </c>
      <c r="V345" s="285">
        <v>2</v>
      </c>
      <c r="W345" s="92" t="b">
        <f>IF($L$6=EUconst_NotRelevant,TRUE,IF(V345&gt;0,(V345&lt;&gt;U345),IF(U345="",TRUE,FALSE)))</f>
        <v>1</v>
      </c>
      <c r="X345" s="417"/>
      <c r="Y345" s="417"/>
      <c r="Z345" s="417"/>
      <c r="AA345" s="417"/>
      <c r="AB345" s="417"/>
    </row>
    <row r="346" spans="1:28" outlineLevel="1" x14ac:dyDescent="0.2">
      <c r="A346" s="72"/>
      <c r="B346" s="417"/>
      <c r="C346" s="417"/>
      <c r="D346" s="46" t="s">
        <v>1468</v>
      </c>
      <c r="E346" s="282" t="str">
        <f>E339</f>
        <v>F(C2F6) Weight fraction of C2F6</v>
      </c>
      <c r="F346" s="283"/>
      <c r="G346" s="284"/>
      <c r="H346" s="268" t="str">
        <f>IF(OR(ISBLANK(I339),I339=EUconst_NA),"",I339)</f>
        <v/>
      </c>
      <c r="I346" s="197"/>
      <c r="J346" s="197"/>
      <c r="K346" s="270"/>
      <c r="L346" s="271"/>
      <c r="M346" s="271"/>
      <c r="N346" s="272"/>
      <c r="O346" s="417"/>
      <c r="P346" s="72"/>
      <c r="Q346" s="92" t="str">
        <f>Q339</f>
        <v>EF_</v>
      </c>
      <c r="R346" s="72"/>
      <c r="S346" s="63" t="str">
        <f>IF(H346="","",IF(I339=EUconst_NA,"",INDEX(EUwideConstants!$AL:$AP,MATCH(Q339,EUwideConstants!$S:$S,0),MATCH(I339,CNTR_TierList,0))))</f>
        <v/>
      </c>
      <c r="T346" s="72"/>
      <c r="U346" s="285" t="str">
        <f>U345</f>
        <v/>
      </c>
      <c r="V346" s="285">
        <v>0</v>
      </c>
      <c r="W346" s="92" t="b">
        <f>IF($L$6=EUconst_NotRelevant,TRUE,IF(V346&gt;0,(V346&lt;&gt;U346),IF(U346="",TRUE,FALSE)))</f>
        <v>1</v>
      </c>
      <c r="X346" s="417"/>
      <c r="Y346" s="417"/>
      <c r="Z346" s="417"/>
      <c r="AA346" s="417"/>
      <c r="AB346" s="417"/>
    </row>
    <row r="347" spans="1:28" outlineLevel="1" x14ac:dyDescent="0.2">
      <c r="A347" s="72"/>
      <c r="B347" s="417"/>
      <c r="C347" s="417"/>
      <c r="D347" s="417"/>
      <c r="E347" s="411"/>
      <c r="F347" s="411"/>
      <c r="G347" s="411"/>
      <c r="H347" s="411"/>
      <c r="I347" s="411"/>
      <c r="J347" s="411"/>
      <c r="K347" s="411"/>
      <c r="L347" s="417"/>
      <c r="M347" s="417"/>
      <c r="N347" s="417"/>
      <c r="O347" s="417"/>
      <c r="P347" s="72"/>
      <c r="Q347" s="72"/>
      <c r="R347" s="72"/>
      <c r="S347" s="72"/>
      <c r="T347" s="72"/>
      <c r="U347" s="72"/>
      <c r="V347" s="72"/>
      <c r="W347" s="72"/>
      <c r="X347" s="417"/>
      <c r="Y347" s="417"/>
      <c r="Z347" s="417"/>
      <c r="AA347" s="417"/>
      <c r="AB347" s="417"/>
    </row>
    <row r="348" spans="1:28" ht="15" customHeight="1" outlineLevel="1" x14ac:dyDescent="0.2">
      <c r="A348" s="72"/>
      <c r="B348" s="417"/>
      <c r="C348" s="417"/>
      <c r="D348" s="1040" t="str">
        <f>Translations!$B$666</f>
        <v>Collection efficiency for accounting for fugitive emissions</v>
      </c>
      <c r="E348" s="1040"/>
      <c r="F348" s="1040"/>
      <c r="G348" s="1040"/>
      <c r="H348" s="1040"/>
      <c r="I348" s="1040"/>
      <c r="J348" s="1040"/>
      <c r="K348" s="1040"/>
      <c r="L348" s="1040"/>
      <c r="M348" s="1040"/>
      <c r="N348" s="1040"/>
      <c r="O348" s="417"/>
      <c r="P348" s="72"/>
      <c r="Q348" s="72"/>
      <c r="R348" s="72"/>
      <c r="S348" s="72"/>
      <c r="T348" s="72"/>
      <c r="U348" s="72"/>
      <c r="V348" s="72"/>
      <c r="W348" s="72"/>
      <c r="X348" s="417"/>
      <c r="Y348" s="417"/>
      <c r="Z348" s="417"/>
      <c r="AA348" s="417"/>
      <c r="AB348" s="417"/>
    </row>
    <row r="349" spans="1:28" ht="15" outlineLevel="1" x14ac:dyDescent="0.2">
      <c r="A349" s="72"/>
      <c r="B349" s="417"/>
      <c r="C349" s="417"/>
      <c r="D349" s="307" t="s">
        <v>851</v>
      </c>
      <c r="E349" s="337" t="str">
        <f>Translations!$B$667</f>
        <v>Determination of the collection efficiency</v>
      </c>
      <c r="F349" s="257"/>
      <c r="G349" s="257"/>
      <c r="H349" s="411"/>
      <c r="I349" s="411"/>
      <c r="J349" s="411"/>
      <c r="K349" s="411"/>
      <c r="L349" s="417"/>
      <c r="M349" s="417"/>
      <c r="N349" s="417"/>
      <c r="O349" s="417"/>
      <c r="P349" s="72"/>
      <c r="Q349" s="72"/>
      <c r="R349" s="72"/>
      <c r="S349" s="72"/>
      <c r="T349" s="72"/>
      <c r="U349" s="72"/>
      <c r="V349" s="72"/>
      <c r="W349" s="72"/>
      <c r="X349" s="417"/>
      <c r="Y349" s="417"/>
      <c r="Z349" s="417"/>
      <c r="AA349" s="417"/>
      <c r="AB349" s="417"/>
    </row>
    <row r="350" spans="1:28" ht="5.0999999999999996" customHeight="1" outlineLevel="1" x14ac:dyDescent="0.2">
      <c r="A350" s="72"/>
      <c r="B350" s="417"/>
      <c r="C350" s="417"/>
      <c r="D350" s="417"/>
      <c r="E350" s="411"/>
      <c r="F350" s="411"/>
      <c r="G350" s="411"/>
      <c r="H350" s="411"/>
      <c r="I350" s="411"/>
      <c r="J350" s="411"/>
      <c r="K350" s="411"/>
      <c r="L350" s="417"/>
      <c r="M350" s="417"/>
      <c r="N350" s="417"/>
      <c r="O350" s="417"/>
      <c r="P350" s="72"/>
      <c r="Q350" s="72"/>
      <c r="R350" s="72"/>
      <c r="S350" s="72"/>
      <c r="T350" s="72"/>
      <c r="U350" s="72"/>
      <c r="V350" s="72"/>
      <c r="W350" s="72"/>
      <c r="X350" s="417"/>
      <c r="Y350" s="417"/>
      <c r="Z350" s="417"/>
      <c r="AA350" s="417"/>
      <c r="AB350" s="417"/>
    </row>
    <row r="351" spans="1:28" ht="25.5" outlineLevel="1" x14ac:dyDescent="0.2">
      <c r="A351" s="72"/>
      <c r="B351" s="417"/>
      <c r="C351" s="417"/>
      <c r="D351" s="417"/>
      <c r="E351" s="279"/>
      <c r="F351" s="280"/>
      <c r="G351" s="281"/>
      <c r="H351" s="50"/>
      <c r="I351" s="51" t="str">
        <f>Translations!$B$664</f>
        <v>default or latest value</v>
      </c>
      <c r="J351" s="51" t="str">
        <f>Translations!$B$536</f>
        <v>Unit</v>
      </c>
      <c r="K351" s="51" t="str">
        <f>Translations!$B$537</f>
        <v>source ref</v>
      </c>
      <c r="L351" s="51" t="str">
        <f>Translations!$B$538</f>
        <v>analysis ref</v>
      </c>
      <c r="M351" s="51" t="str">
        <f>Translations!$B$665</f>
        <v>date of latest analysis</v>
      </c>
      <c r="N351" s="51" t="str">
        <f>Translations!$B$540</f>
        <v>Analysis frequency</v>
      </c>
      <c r="O351" s="417"/>
      <c r="P351" s="72"/>
      <c r="Q351" s="72"/>
      <c r="R351" s="72"/>
      <c r="S351" s="72"/>
      <c r="T351" s="72"/>
      <c r="U351" s="72"/>
      <c r="V351" s="72"/>
      <c r="W351" s="72"/>
      <c r="X351" s="417"/>
      <c r="Y351" s="417"/>
      <c r="Z351" s="417"/>
      <c r="AA351" s="417"/>
      <c r="AB351" s="417"/>
    </row>
    <row r="352" spans="1:28" outlineLevel="1" x14ac:dyDescent="0.2">
      <c r="A352" s="72"/>
      <c r="B352" s="417"/>
      <c r="C352" s="417"/>
      <c r="D352" s="417"/>
      <c r="E352" s="282" t="str">
        <f>Translations!$B$668</f>
        <v>Collection efficiency</v>
      </c>
      <c r="F352" s="283"/>
      <c r="G352" s="284"/>
      <c r="H352" s="50"/>
      <c r="I352" s="197"/>
      <c r="J352" s="197"/>
      <c r="K352" s="270"/>
      <c r="L352" s="271"/>
      <c r="M352" s="271"/>
      <c r="N352" s="272"/>
      <c r="O352" s="417"/>
      <c r="P352" s="72"/>
      <c r="Q352" s="72"/>
      <c r="R352" s="72"/>
      <c r="S352" s="72"/>
      <c r="T352" s="72"/>
      <c r="U352" s="285" t="str">
        <f>U346</f>
        <v/>
      </c>
      <c r="V352" s="285">
        <v>0</v>
      </c>
      <c r="W352" s="92" t="b">
        <f>IF($L$6=EUconst_NotRelevant,TRUE,IF(V352&gt;0,(V352&lt;&gt;U352),IF(U352="",TRUE,FALSE)))</f>
        <v>1</v>
      </c>
      <c r="X352" s="417"/>
      <c r="Y352" s="417"/>
      <c r="Z352" s="417"/>
      <c r="AA352" s="417"/>
      <c r="AB352" s="417"/>
    </row>
    <row r="353" spans="1:28" outlineLevel="1" x14ac:dyDescent="0.2">
      <c r="A353" s="72"/>
      <c r="B353" s="417"/>
      <c r="C353" s="417"/>
      <c r="D353" s="411"/>
      <c r="E353" s="411"/>
      <c r="F353" s="411"/>
      <c r="G353" s="411"/>
      <c r="H353" s="411"/>
      <c r="I353" s="411"/>
      <c r="J353" s="411"/>
      <c r="K353" s="417"/>
      <c r="L353" s="417"/>
      <c r="M353" s="417"/>
      <c r="N353" s="417"/>
      <c r="O353" s="417"/>
      <c r="P353" s="72"/>
      <c r="Q353" s="72"/>
      <c r="R353" s="72"/>
      <c r="S353" s="72"/>
      <c r="T353" s="72"/>
      <c r="U353" s="15"/>
      <c r="V353" s="15"/>
      <c r="W353" s="15"/>
      <c r="X353" s="417"/>
      <c r="Y353" s="417"/>
      <c r="Z353" s="417"/>
      <c r="AA353" s="417"/>
      <c r="AB353" s="417"/>
    </row>
    <row r="354" spans="1:28" ht="15" outlineLevel="1" x14ac:dyDescent="0.2">
      <c r="A354" s="72"/>
      <c r="B354" s="417"/>
      <c r="C354" s="417"/>
      <c r="D354" s="1040" t="str">
        <f>Translations!$B$44</f>
        <v>Comments</v>
      </c>
      <c r="E354" s="1040"/>
      <c r="F354" s="1040"/>
      <c r="G354" s="1040"/>
      <c r="H354" s="1040"/>
      <c r="I354" s="1040"/>
      <c r="J354" s="1040"/>
      <c r="K354" s="1040"/>
      <c r="L354" s="1040"/>
      <c r="M354" s="1040"/>
      <c r="N354" s="1040"/>
      <c r="O354" s="417"/>
      <c r="P354" s="72"/>
      <c r="Q354" s="72"/>
      <c r="R354" s="72"/>
      <c r="S354" s="72"/>
      <c r="T354" s="72"/>
      <c r="U354" s="15"/>
      <c r="V354" s="15"/>
      <c r="W354" s="15"/>
      <c r="X354" s="417"/>
      <c r="Y354" s="417"/>
      <c r="Z354" s="417"/>
      <c r="AA354" s="417"/>
      <c r="AB354" s="417"/>
    </row>
    <row r="355" spans="1:28" s="11" customFormat="1" ht="12.75" customHeight="1" outlineLevel="1" x14ac:dyDescent="0.2">
      <c r="A355" s="15"/>
      <c r="D355" s="13" t="s">
        <v>853</v>
      </c>
      <c r="E355" s="924" t="str">
        <f>Translations!$B$546</f>
        <v>Comments:</v>
      </c>
      <c r="F355" s="924"/>
      <c r="G355" s="924"/>
      <c r="H355" s="924"/>
      <c r="I355" s="924"/>
      <c r="J355" s="924"/>
      <c r="K355" s="924"/>
      <c r="L355" s="924"/>
      <c r="M355" s="924"/>
      <c r="N355" s="924"/>
      <c r="O355" s="417"/>
      <c r="P355" s="15"/>
      <c r="Q355" s="15"/>
      <c r="R355" s="15"/>
      <c r="S355" s="15"/>
      <c r="T355" s="15"/>
      <c r="U355" s="15"/>
      <c r="V355" s="15"/>
      <c r="W355" s="15"/>
    </row>
    <row r="356" spans="1:28" s="11" customFormat="1" ht="5.0999999999999996" customHeight="1" outlineLevel="1" x14ac:dyDescent="0.2">
      <c r="A356" s="15"/>
      <c r="D356" s="13"/>
      <c r="E356" s="273"/>
      <c r="O356" s="417"/>
      <c r="P356" s="15"/>
      <c r="Q356" s="15"/>
      <c r="R356" s="15"/>
      <c r="S356" s="15"/>
      <c r="T356" s="15"/>
      <c r="U356" s="15"/>
      <c r="V356" s="15"/>
      <c r="W356" s="15"/>
    </row>
    <row r="357" spans="1:28" s="11" customFormat="1" ht="12.75" customHeight="1" outlineLevel="1" x14ac:dyDescent="0.2">
      <c r="A357" s="15"/>
      <c r="D357" s="13"/>
      <c r="E357" s="1164"/>
      <c r="F357" s="1165"/>
      <c r="G357" s="1165"/>
      <c r="H357" s="1165"/>
      <c r="I357" s="1165"/>
      <c r="J357" s="1165"/>
      <c r="K357" s="1165"/>
      <c r="L357" s="1165"/>
      <c r="M357" s="1165"/>
      <c r="N357" s="1166"/>
      <c r="O357" s="417"/>
      <c r="P357" s="15"/>
      <c r="Q357" s="15"/>
      <c r="R357" s="15"/>
      <c r="S357" s="15"/>
      <c r="T357" s="15"/>
      <c r="U357" s="285" t="str">
        <f>U352</f>
        <v/>
      </c>
      <c r="V357" s="285">
        <v>0</v>
      </c>
      <c r="W357" s="92" t="b">
        <f>IF($L$6=EUconst_NotRelevant,TRUE,IF(V357&gt;0,(V357&lt;&gt;U357),IF(U357="",TRUE,FALSE)))</f>
        <v>1</v>
      </c>
    </row>
    <row r="358" spans="1:28" s="11" customFormat="1" ht="12.75" customHeight="1" outlineLevel="1" x14ac:dyDescent="0.2">
      <c r="A358" s="15"/>
      <c r="D358" s="13"/>
      <c r="E358" s="1170"/>
      <c r="F358" s="1171"/>
      <c r="G358" s="1171"/>
      <c r="H358" s="1171"/>
      <c r="I358" s="1171"/>
      <c r="J358" s="1171"/>
      <c r="K358" s="1171"/>
      <c r="L358" s="1171"/>
      <c r="M358" s="1171"/>
      <c r="N358" s="1172"/>
      <c r="O358" s="417"/>
      <c r="P358" s="15"/>
      <c r="Q358" s="15"/>
      <c r="R358" s="15"/>
      <c r="S358" s="15"/>
      <c r="T358" s="15"/>
      <c r="U358" s="285" t="str">
        <f>U357</f>
        <v/>
      </c>
      <c r="V358" s="285">
        <v>0</v>
      </c>
      <c r="W358" s="92" t="b">
        <f>IF($L$6=EUconst_NotRelevant,TRUE,IF(V358&gt;0,(V358&lt;&gt;U358),IF(U358="",TRUE,FALSE)))</f>
        <v>1</v>
      </c>
    </row>
    <row r="359" spans="1:28" s="11" customFormat="1" ht="12.75" customHeight="1" outlineLevel="1" x14ac:dyDescent="0.2">
      <c r="A359" s="15"/>
      <c r="D359" s="13"/>
      <c r="E359" s="1167"/>
      <c r="F359" s="1168"/>
      <c r="G359" s="1168"/>
      <c r="H359" s="1168"/>
      <c r="I359" s="1168"/>
      <c r="J359" s="1168"/>
      <c r="K359" s="1168"/>
      <c r="L359" s="1168"/>
      <c r="M359" s="1168"/>
      <c r="N359" s="1169"/>
      <c r="O359" s="417"/>
      <c r="P359" s="15"/>
      <c r="Q359" s="15"/>
      <c r="R359" s="15"/>
      <c r="S359" s="15"/>
      <c r="T359" s="15"/>
      <c r="U359" s="285" t="str">
        <f>U358</f>
        <v/>
      </c>
      <c r="V359" s="285">
        <v>0</v>
      </c>
      <c r="W359" s="92" t="b">
        <f>IF($L$6=EUconst_NotRelevant,TRUE,IF(V359&gt;0,(V359&lt;&gt;U359),IF(U359="",TRUE,FALSE)))</f>
        <v>1</v>
      </c>
    </row>
    <row r="360" spans="1:28" s="11" customFormat="1" outlineLevel="1" x14ac:dyDescent="0.2">
      <c r="A360" s="15"/>
      <c r="D360" s="13"/>
      <c r="O360" s="417"/>
      <c r="P360" s="15"/>
      <c r="Q360" s="15"/>
      <c r="R360" s="15"/>
      <c r="S360" s="15"/>
      <c r="T360" s="15"/>
      <c r="U360" s="15"/>
      <c r="V360" s="15"/>
      <c r="W360" s="15"/>
    </row>
    <row r="361" spans="1:28" s="11" customFormat="1" ht="12.75" customHeight="1" outlineLevel="1" x14ac:dyDescent="0.2">
      <c r="A361" s="15"/>
      <c r="D361" s="13" t="s">
        <v>854</v>
      </c>
      <c r="E361" s="924" t="str">
        <f>Translations!$B$548</f>
        <v>Justification if required tiers are not applied:</v>
      </c>
      <c r="F361" s="924"/>
      <c r="G361" s="924"/>
      <c r="H361" s="924"/>
      <c r="I361" s="924"/>
      <c r="J361" s="924"/>
      <c r="K361" s="924"/>
      <c r="L361" s="924"/>
      <c r="M361" s="924"/>
      <c r="N361" s="924"/>
      <c r="O361" s="417"/>
      <c r="P361" s="15"/>
      <c r="Q361" s="15"/>
      <c r="R361" s="15"/>
      <c r="S361" s="15"/>
      <c r="T361" s="15"/>
      <c r="U361" s="15"/>
      <c r="V361" s="15"/>
      <c r="W361" s="15"/>
    </row>
    <row r="362" spans="1:28" ht="5.0999999999999996" customHeight="1" outlineLevel="1" x14ac:dyDescent="0.2">
      <c r="A362" s="72"/>
      <c r="E362" s="67"/>
      <c r="F362" s="67"/>
      <c r="G362" s="67"/>
      <c r="H362" s="67"/>
      <c r="I362" s="67"/>
      <c r="J362" s="67"/>
      <c r="K362" s="67"/>
      <c r="L362" s="67"/>
      <c r="M362" s="67"/>
      <c r="N362" s="113"/>
      <c r="O362" s="417"/>
      <c r="P362" s="114"/>
      <c r="Q362" s="72"/>
      <c r="R362" s="72"/>
      <c r="S362" s="72"/>
      <c r="T362" s="72"/>
      <c r="U362" s="72"/>
      <c r="V362" s="72"/>
      <c r="W362" s="72"/>
    </row>
    <row r="363" spans="1:28" s="11" customFormat="1" ht="12.75" customHeight="1" outlineLevel="1" x14ac:dyDescent="0.2">
      <c r="A363" s="15"/>
      <c r="D363" s="13"/>
      <c r="E363" s="1164"/>
      <c r="F363" s="1165"/>
      <c r="G363" s="1165"/>
      <c r="H363" s="1165"/>
      <c r="I363" s="1165"/>
      <c r="J363" s="1165"/>
      <c r="K363" s="1165"/>
      <c r="L363" s="1165"/>
      <c r="M363" s="1165"/>
      <c r="N363" s="1166"/>
      <c r="O363" s="417"/>
      <c r="P363" s="15"/>
      <c r="Q363" s="15"/>
      <c r="R363" s="15"/>
      <c r="S363" s="15"/>
      <c r="T363" s="15"/>
      <c r="U363" s="285" t="str">
        <f>U359</f>
        <v/>
      </c>
      <c r="V363" s="285">
        <v>0</v>
      </c>
      <c r="W363" s="92" t="b">
        <f>IF($L$6=EUconst_NotRelevant,TRUE,IF(V363&gt;0,(V363&lt;&gt;U363),IF(U363="",TRUE,FALSE)))</f>
        <v>1</v>
      </c>
    </row>
    <row r="364" spans="1:28" s="11" customFormat="1" ht="12.75" customHeight="1" outlineLevel="1" x14ac:dyDescent="0.2">
      <c r="A364" s="15"/>
      <c r="D364" s="13"/>
      <c r="E364" s="1170"/>
      <c r="F364" s="1171"/>
      <c r="G364" s="1171"/>
      <c r="H364" s="1171"/>
      <c r="I364" s="1171"/>
      <c r="J364" s="1171"/>
      <c r="K364" s="1171"/>
      <c r="L364" s="1171"/>
      <c r="M364" s="1171"/>
      <c r="N364" s="1172"/>
      <c r="O364" s="417"/>
      <c r="P364" s="15"/>
      <c r="Q364" s="15"/>
      <c r="R364" s="15"/>
      <c r="S364" s="15"/>
      <c r="T364" s="15"/>
      <c r="U364" s="285" t="str">
        <f>U363</f>
        <v/>
      </c>
      <c r="V364" s="285">
        <v>0</v>
      </c>
      <c r="W364" s="92" t="b">
        <f>IF($L$6=EUconst_NotRelevant,TRUE,IF(V364&gt;0,(V364&lt;&gt;U364),IF(U364="",TRUE,FALSE)))</f>
        <v>1</v>
      </c>
    </row>
    <row r="365" spans="1:28" s="11" customFormat="1" ht="12.75" customHeight="1" outlineLevel="1" x14ac:dyDescent="0.2">
      <c r="A365" s="15"/>
      <c r="D365" s="13"/>
      <c r="E365" s="1167"/>
      <c r="F365" s="1168"/>
      <c r="G365" s="1168"/>
      <c r="H365" s="1168"/>
      <c r="I365" s="1168"/>
      <c r="J365" s="1168"/>
      <c r="K365" s="1168"/>
      <c r="L365" s="1168"/>
      <c r="M365" s="1168"/>
      <c r="N365" s="1169"/>
      <c r="O365" s="417"/>
      <c r="P365" s="15"/>
      <c r="Q365" s="15"/>
      <c r="R365" s="15"/>
      <c r="S365" s="15"/>
      <c r="T365" s="15"/>
      <c r="U365" s="285" t="str">
        <f>U364</f>
        <v/>
      </c>
      <c r="V365" s="285">
        <v>0</v>
      </c>
      <c r="W365" s="92" t="b">
        <f>IF($L$6=EUconst_NotRelevant,TRUE,IF(V365&gt;0,(V365&lt;&gt;U365),IF(U365="",TRUE,FALSE)))</f>
        <v>1</v>
      </c>
    </row>
    <row r="366" spans="1:28" ht="12.75" customHeight="1" thickBot="1" x14ac:dyDescent="0.25">
      <c r="A366" s="17"/>
      <c r="B366" s="11"/>
      <c r="C366" s="54"/>
      <c r="D366" s="55"/>
      <c r="E366" s="56"/>
      <c r="F366" s="54"/>
      <c r="G366" s="57"/>
      <c r="H366" s="57"/>
      <c r="I366" s="57"/>
      <c r="J366" s="57"/>
      <c r="K366" s="57"/>
      <c r="L366" s="57"/>
      <c r="M366" s="57"/>
      <c r="N366" s="57"/>
      <c r="O366" s="417"/>
      <c r="P366" s="15"/>
      <c r="Q366" s="72"/>
      <c r="R366" s="72"/>
      <c r="S366" s="75"/>
      <c r="T366" s="72"/>
      <c r="U366" s="72"/>
      <c r="V366" s="72"/>
      <c r="W366" s="72"/>
    </row>
    <row r="367" spans="1:28" ht="13.5" thickBot="1" x14ac:dyDescent="0.25">
      <c r="A367" s="72" t="s">
        <v>118</v>
      </c>
      <c r="B367" s="417"/>
      <c r="C367" s="417"/>
      <c r="D367" s="411"/>
      <c r="E367" s="411"/>
      <c r="F367" s="411"/>
      <c r="G367" s="411"/>
      <c r="H367" s="411"/>
      <c r="I367" s="411"/>
      <c r="J367" s="411"/>
      <c r="K367" s="417"/>
      <c r="L367" s="417"/>
      <c r="M367" s="417"/>
      <c r="N367" s="417"/>
      <c r="O367" s="417"/>
      <c r="P367" s="72"/>
      <c r="Q367" s="72"/>
      <c r="R367" s="72"/>
      <c r="S367" s="72"/>
      <c r="T367" s="72"/>
      <c r="U367" s="72"/>
      <c r="V367" s="72"/>
      <c r="W367" s="72"/>
      <c r="X367" s="417"/>
      <c r="Y367" s="417"/>
      <c r="Z367" s="417"/>
      <c r="AA367" s="417"/>
      <c r="AB367" s="417"/>
    </row>
    <row r="368" spans="1:28" ht="15.75" thickBot="1" x14ac:dyDescent="0.25">
      <c r="A368" s="72"/>
      <c r="B368" s="417"/>
      <c r="C368" s="267" t="str">
        <f>INDEX($D$50:$D$55,Q368)</f>
        <v/>
      </c>
      <c r="D368" s="1040" t="str">
        <f>CONCATENATE(Euconst_SourceStream," ", Q368,":")</f>
        <v>Source Stream 5:</v>
      </c>
      <c r="E368" s="1040"/>
      <c r="F368" s="1040"/>
      <c r="G368" s="1066"/>
      <c r="H368" s="1067" t="str">
        <f>IF(INDEX($E$50:$E$55,Q368)="","",INDEX($E$50:$E$55,Q368))</f>
        <v/>
      </c>
      <c r="I368" s="1067"/>
      <c r="J368" s="1067"/>
      <c r="K368" s="1067"/>
      <c r="L368" s="1068"/>
      <c r="M368" s="1069" t="str">
        <f>IF(S368=TRUE,IF(U368="",T368,U368),"")</f>
        <v/>
      </c>
      <c r="N368" s="1070"/>
      <c r="O368" s="417"/>
      <c r="P368" s="72"/>
      <c r="Q368" s="33">
        <f>Q296+1</f>
        <v>5</v>
      </c>
      <c r="R368" s="37"/>
      <c r="S368" s="40" t="b">
        <f>IF(INDEX(C_InstallationDescription!$M:$M,MATCH(Q370,C_InstallationDescription!$Q:$Q,0))="",FALSE,TRUE)</f>
        <v>0</v>
      </c>
      <c r="T368" s="92" t="str">
        <f>IF(S368=TRUE,INDEX(C_InstallationDescription!$M:$M,MATCH(Q370,C_InstallationDescription!$Q:$Q,0)),"")</f>
        <v/>
      </c>
      <c r="U368" s="40" t="str">
        <f>IF(S368=TRUE,IF(ISBLANK(INDEX(C_InstallationDescription!$N:$N,MATCH(Q370,C_InstallationDescription!$Q:$Q,0))),"",INDEX(C_InstallationDescription!$N:$N,MATCH(Q370,C_InstallationDescription!$Q:$Q,0))),"")</f>
        <v/>
      </c>
      <c r="V368" s="285" t="str">
        <f>IF(ISNUMBER(INDEX(CNTR_ListPFCmethods,Q368)),INDEX(CNTR_ListPFCmethods,Q368),"")</f>
        <v/>
      </c>
      <c r="W368" s="72"/>
      <c r="X368" s="417"/>
      <c r="Y368" s="417"/>
      <c r="Z368" s="417"/>
      <c r="AA368" s="417"/>
      <c r="AB368" s="417"/>
    </row>
    <row r="369" spans="1:28" ht="5.0999999999999996" customHeight="1" x14ac:dyDescent="0.2">
      <c r="A369" s="72"/>
      <c r="C369" s="13"/>
      <c r="D369" s="257"/>
      <c r="E369" s="257"/>
      <c r="F369" s="257"/>
      <c r="G369" s="257"/>
      <c r="H369" s="276"/>
      <c r="I369" s="276"/>
      <c r="J369" s="276"/>
      <c r="K369" s="276"/>
      <c r="L369" s="276"/>
      <c r="M369" s="277"/>
      <c r="N369" s="277"/>
      <c r="P369" s="72"/>
      <c r="Q369" s="12"/>
      <c r="R369" s="23"/>
      <c r="S369" s="23"/>
      <c r="T369" s="23"/>
      <c r="U369" s="23"/>
      <c r="V369" s="72"/>
      <c r="W369" s="72"/>
      <c r="X369" s="417"/>
      <c r="Y369" s="417"/>
      <c r="Z369" s="417"/>
      <c r="AA369" s="417"/>
      <c r="AB369" s="417"/>
    </row>
    <row r="370" spans="1:28" s="24" customFormat="1" ht="12.75" customHeight="1" x14ac:dyDescent="0.2">
      <c r="A370" s="72"/>
      <c r="B370" s="8"/>
      <c r="C370" s="8"/>
      <c r="D370" s="13"/>
      <c r="E370" s="924" t="str">
        <f>Translations!$B$437</f>
        <v>Source stream type:</v>
      </c>
      <c r="F370" s="924"/>
      <c r="G370" s="925"/>
      <c r="H370" s="1071" t="str">
        <f>IF(INDEX($H$50:$H$55,Q368)="","",INDEX($H$50:$H$55,Q368))</f>
        <v/>
      </c>
      <c r="I370" s="1072"/>
      <c r="J370" s="1072"/>
      <c r="K370" s="1072"/>
      <c r="L370" s="1073"/>
      <c r="O370" s="7"/>
      <c r="P370" s="17"/>
      <c r="Q370" s="39" t="str">
        <f>EUconst_CNTR_SourceCategory&amp;C368</f>
        <v>SourceCategory_</v>
      </c>
      <c r="R370" s="23"/>
      <c r="S370" s="23"/>
      <c r="T370" s="23"/>
      <c r="U370" s="23"/>
      <c r="V370" s="23"/>
      <c r="W370" s="23"/>
    </row>
    <row r="371" spans="1:28" s="24" customFormat="1" outlineLevel="1" x14ac:dyDescent="0.2">
      <c r="A371" s="29"/>
      <c r="B371" s="8"/>
      <c r="C371" s="8"/>
      <c r="D371" s="11"/>
      <c r="E371" s="924" t="str">
        <f>Translations!$B$438</f>
        <v>Method applicable according to MRR:</v>
      </c>
      <c r="F371" s="924"/>
      <c r="G371" s="925"/>
      <c r="H371" s="1062" t="str">
        <f>IF(H370="","",INDEX(EUwideConstants!$F$265:$F$325,MATCH(H370,EUConst_TierActivityListNames,0)))</f>
        <v/>
      </c>
      <c r="I371" s="1062"/>
      <c r="J371" s="1062"/>
      <c r="K371" s="1062"/>
      <c r="L371" s="1062"/>
      <c r="M371" s="2"/>
      <c r="N371" s="2"/>
      <c r="O371" s="7"/>
      <c r="P371" s="17"/>
      <c r="Q371" s="12"/>
      <c r="R371" s="23"/>
      <c r="S371" s="23"/>
      <c r="T371" s="23"/>
      <c r="U371" s="23"/>
      <c r="V371" s="23"/>
      <c r="W371" s="23"/>
    </row>
    <row r="372" spans="1:28" s="24" customFormat="1" ht="25.5" customHeight="1" outlineLevel="1" x14ac:dyDescent="0.2">
      <c r="A372" s="29"/>
      <c r="D372" s="38"/>
      <c r="E372" s="924" t="str">
        <f>Translations!$B$439</f>
        <v>Parameter to which uncertainty applies:</v>
      </c>
      <c r="F372" s="924"/>
      <c r="G372" s="925"/>
      <c r="H372" s="1175" t="str">
        <f>IF(H370="","",INDEX(EUwideConstants!$E$265:$E$325,MATCH(H370,EUConst_TierActivityListNames,0)))</f>
        <v/>
      </c>
      <c r="I372" s="1176"/>
      <c r="J372" s="1176"/>
      <c r="K372" s="1176"/>
      <c r="L372" s="1177"/>
      <c r="P372" s="17"/>
      <c r="Q372" s="12"/>
      <c r="R372" s="23"/>
      <c r="S372" s="23"/>
      <c r="T372" s="23"/>
      <c r="U372" s="23"/>
      <c r="V372" s="23"/>
      <c r="W372" s="23"/>
    </row>
    <row r="373" spans="1:28" s="24" customFormat="1" ht="5.0999999999999996" customHeight="1" outlineLevel="1" x14ac:dyDescent="0.2">
      <c r="A373" s="29"/>
      <c r="D373" s="38"/>
      <c r="E373" s="129"/>
      <c r="F373" s="129"/>
      <c r="G373" s="129"/>
      <c r="H373" s="134"/>
      <c r="I373" s="134"/>
      <c r="J373" s="134"/>
      <c r="K373" s="134"/>
      <c r="L373" s="134"/>
      <c r="P373" s="17"/>
      <c r="Q373" s="12"/>
      <c r="R373" s="23"/>
      <c r="S373" s="23"/>
      <c r="T373" s="23"/>
      <c r="U373" s="23"/>
      <c r="V373" s="23"/>
      <c r="W373" s="23"/>
    </row>
    <row r="374" spans="1:28" s="11" customFormat="1" ht="15" outlineLevel="1" x14ac:dyDescent="0.2">
      <c r="A374" s="15"/>
      <c r="C374" s="13"/>
      <c r="D374" s="1040" t="str">
        <f>Translations!$B$446</f>
        <v>Automatic guidance on applicable tiers:</v>
      </c>
      <c r="E374" s="1040"/>
      <c r="F374" s="1040"/>
      <c r="G374" s="1040"/>
      <c r="H374" s="1040"/>
      <c r="I374" s="1040"/>
      <c r="J374" s="1040"/>
      <c r="K374" s="1040"/>
      <c r="L374" s="1040"/>
      <c r="M374" s="1040"/>
      <c r="N374" s="1040"/>
      <c r="O374" s="417"/>
      <c r="P374" s="15"/>
      <c r="Q374" s="15"/>
      <c r="R374" s="15"/>
      <c r="S374" s="15"/>
      <c r="T374" s="15"/>
      <c r="U374" s="15"/>
      <c r="V374" s="15"/>
      <c r="W374" s="15"/>
    </row>
    <row r="375" spans="1:28" s="11" customFormat="1" ht="5.0999999999999996" customHeight="1" outlineLevel="1" x14ac:dyDescent="0.2">
      <c r="A375" s="15"/>
      <c r="C375" s="13"/>
      <c r="D375" s="257"/>
      <c r="E375" s="257"/>
      <c r="F375" s="257"/>
      <c r="G375" s="257"/>
      <c r="H375" s="257"/>
      <c r="I375" s="257"/>
      <c r="J375" s="257"/>
      <c r="K375" s="257"/>
      <c r="L375" s="257"/>
      <c r="M375" s="257"/>
      <c r="N375" s="257"/>
      <c r="O375" s="417"/>
      <c r="P375" s="15"/>
      <c r="Q375" s="15"/>
      <c r="R375" s="15"/>
      <c r="S375" s="15"/>
      <c r="T375" s="15"/>
      <c r="U375" s="15"/>
      <c r="V375" s="15"/>
      <c r="W375" s="15"/>
    </row>
    <row r="376" spans="1:28" s="11" customFormat="1" ht="51" customHeight="1" outlineLevel="1" x14ac:dyDescent="0.2">
      <c r="A376" s="15"/>
      <c r="C376" s="13"/>
      <c r="E376" s="1063" t="str">
        <f>IF(H368="","",INDEX(EUconst_SmallEmiSouStreamMsg,MATCH(Q376,EUconst_SmallEmiSouStream,0)))</f>
        <v/>
      </c>
      <c r="F376" s="1064"/>
      <c r="G376" s="1064"/>
      <c r="H376" s="1064"/>
      <c r="I376" s="1064"/>
      <c r="J376" s="1064"/>
      <c r="K376" s="1064"/>
      <c r="L376" s="1064"/>
      <c r="M376" s="1064"/>
      <c r="N376" s="1065"/>
      <c r="O376" s="417"/>
      <c r="P376" s="15"/>
      <c r="Q376" s="275" t="str">
        <f>IF(ISBLANK(CNTR_SmallEmitter),IF(CNTR_SmallEmitter=TRUE,EUconst_CNTR_SmallEmitter,EUconst_CNTR_NoSmallEmitter),EUconst_CNTR_NoSmallEmitter) &amp; IF((CNTR_Category)="","C",CNTR_Category) &amp; "_" &amp; IF(M368="",1,MATCH(M368,SourceCategory,0))</f>
        <v>NoSmallEmitter_C_1</v>
      </c>
      <c r="R376" s="15"/>
      <c r="S376" s="15"/>
      <c r="T376" s="15"/>
      <c r="U376" s="15"/>
      <c r="V376" s="15"/>
      <c r="W376" s="15"/>
    </row>
    <row r="377" spans="1:28" ht="5.0999999999999996" customHeight="1" outlineLevel="1" x14ac:dyDescent="0.2">
      <c r="A377" s="72"/>
      <c r="B377" s="417"/>
      <c r="C377" s="417"/>
      <c r="D377" s="411"/>
      <c r="E377" s="411"/>
      <c r="F377" s="411"/>
      <c r="G377" s="411"/>
      <c r="H377" s="411"/>
      <c r="I377" s="411"/>
      <c r="J377" s="411"/>
      <c r="K377" s="417"/>
      <c r="L377" s="417"/>
      <c r="M377" s="417"/>
      <c r="N377" s="417"/>
      <c r="O377" s="417"/>
      <c r="P377" s="72"/>
      <c r="Q377" s="72"/>
      <c r="R377" s="72"/>
      <c r="S377" s="72"/>
      <c r="T377" s="72"/>
      <c r="U377" s="72"/>
      <c r="V377" s="72"/>
      <c r="W377" s="72"/>
      <c r="X377" s="417"/>
      <c r="Y377" s="417"/>
      <c r="Z377" s="417"/>
      <c r="AA377" s="417"/>
      <c r="AB377" s="417"/>
    </row>
    <row r="378" spans="1:28" ht="15" customHeight="1" outlineLevel="1" x14ac:dyDescent="0.2">
      <c r="A378" s="72"/>
      <c r="B378" s="417"/>
      <c r="C378" s="278"/>
      <c r="D378" s="1040" t="str">
        <f>Translations!$B$652</f>
        <v>Activity Data</v>
      </c>
      <c r="E378" s="1040"/>
      <c r="F378" s="1040"/>
      <c r="G378" s="1040"/>
      <c r="H378" s="1040"/>
      <c r="I378" s="1040"/>
      <c r="J378" s="1040"/>
      <c r="K378" s="1040"/>
      <c r="L378" s="1040"/>
      <c r="M378" s="1040"/>
      <c r="N378" s="1040"/>
      <c r="O378" s="417"/>
      <c r="P378" s="72"/>
      <c r="Q378" s="72"/>
      <c r="R378" s="72"/>
      <c r="S378" s="72"/>
      <c r="T378" s="72"/>
      <c r="U378" s="72"/>
      <c r="V378" s="72"/>
      <c r="W378" s="72"/>
      <c r="X378" s="417"/>
      <c r="Y378" s="417"/>
      <c r="Z378" s="417"/>
      <c r="AA378" s="417"/>
      <c r="AB378" s="417"/>
    </row>
    <row r="379" spans="1:28" ht="5.0999999999999996" customHeight="1" outlineLevel="1" x14ac:dyDescent="0.2">
      <c r="A379" s="72"/>
      <c r="B379" s="417"/>
      <c r="C379" s="278"/>
      <c r="D379" s="257"/>
      <c r="E379" s="257"/>
      <c r="F379" s="257"/>
      <c r="G379" s="257"/>
      <c r="H379" s="257"/>
      <c r="I379" s="257"/>
      <c r="J379" s="257"/>
      <c r="K379" s="257"/>
      <c r="L379" s="257"/>
      <c r="M379" s="257"/>
      <c r="N379" s="257"/>
      <c r="O379" s="417"/>
      <c r="P379" s="72"/>
      <c r="Q379" s="72"/>
      <c r="R379" s="72"/>
      <c r="S379" s="72"/>
      <c r="T379" s="72"/>
      <c r="U379" s="72"/>
      <c r="V379" s="72"/>
      <c r="W379" s="72"/>
      <c r="X379" s="417"/>
      <c r="Y379" s="417"/>
      <c r="Z379" s="417"/>
      <c r="AA379" s="417"/>
      <c r="AB379" s="417"/>
    </row>
    <row r="380" spans="1:28" outlineLevel="1" x14ac:dyDescent="0.2">
      <c r="A380" s="72"/>
      <c r="B380" s="417"/>
      <c r="C380" s="337"/>
      <c r="D380" s="337" t="str">
        <f>Translations!$B$653</f>
        <v>Primary aluminium production:</v>
      </c>
      <c r="E380" s="411"/>
      <c r="F380" s="411"/>
      <c r="G380" s="411"/>
      <c r="H380" s="411"/>
      <c r="I380" s="411"/>
      <c r="J380" s="411"/>
      <c r="K380" s="417"/>
      <c r="L380" s="417"/>
      <c r="M380" s="417"/>
      <c r="N380" s="417"/>
      <c r="O380" s="417"/>
      <c r="P380" s="72"/>
      <c r="Q380" s="72"/>
      <c r="R380" s="72"/>
      <c r="S380" s="72"/>
      <c r="T380" s="72"/>
      <c r="U380" s="72" t="s">
        <v>1509</v>
      </c>
      <c r="V380" s="72" t="s">
        <v>1506</v>
      </c>
      <c r="W380" s="72" t="s">
        <v>281</v>
      </c>
      <c r="X380" s="417"/>
      <c r="Y380" s="417"/>
      <c r="Z380" s="417"/>
      <c r="AA380" s="417"/>
      <c r="AB380" s="417"/>
    </row>
    <row r="381" spans="1:28" outlineLevel="1" x14ac:dyDescent="0.2">
      <c r="A381" s="72"/>
      <c r="B381" s="417"/>
      <c r="C381" s="417"/>
      <c r="D381" s="13" t="s">
        <v>1020</v>
      </c>
      <c r="E381" s="14" t="str">
        <f>Translations!$B$477</f>
        <v>Activity data tier level required:</v>
      </c>
      <c r="F381" s="11"/>
      <c r="G381" s="11"/>
      <c r="H381" s="268" t="str">
        <f>IF(H370="","",IF(CNTR_Category="A",INDEX(EUwideConstants!$G:$G,MATCH(Q381,EUwideConstants!$S:$S,0)),INDEX(EUwideConstants!$P:$P,MATCH(Q381,EUwideConstants!$S:$S,0))))</f>
        <v/>
      </c>
      <c r="I381" s="1163" t="str">
        <f>IF(H381="","",IF(S381=0,EUconst_NA,IF(ISERROR(S381),"",EUconst_MsgTierActivityLevel &amp; " " &amp;S381)))</f>
        <v/>
      </c>
      <c r="J381" s="929"/>
      <c r="K381" s="929"/>
      <c r="L381" s="929"/>
      <c r="M381" s="929"/>
      <c r="N381" s="887"/>
      <c r="O381" s="417"/>
      <c r="P381" s="72"/>
      <c r="Q381" s="92" t="str">
        <f>EUconst_CNTR_ActivityData&amp;H370</f>
        <v>ActivityData_</v>
      </c>
      <c r="R381" s="29"/>
      <c r="S381" s="32" t="str">
        <f>IF(H381="","",IF(H381=EUconst_NA,"",INDEX(EUwideConstants!$H:$O,MATCH(Q381,EUwideConstants!$S:$S,0),MATCH(H381,CNTR_TierList,0))))</f>
        <v/>
      </c>
      <c r="T381" s="72"/>
      <c r="U381" s="285" t="str">
        <f>V368</f>
        <v/>
      </c>
      <c r="V381" s="285">
        <v>0</v>
      </c>
      <c r="W381" s="92" t="b">
        <f>IF($L$6=EUconst_NotRelevant,TRUE,IF(V381&gt;0,(V381&lt;&gt;U381),IF(U381="",TRUE,FALSE)))</f>
        <v>1</v>
      </c>
      <c r="X381" s="417"/>
      <c r="Y381" s="417"/>
      <c r="Z381" s="417"/>
      <c r="AA381" s="417"/>
      <c r="AB381" s="417"/>
    </row>
    <row r="382" spans="1:28" outlineLevel="1" x14ac:dyDescent="0.2">
      <c r="A382" s="72"/>
      <c r="B382" s="417"/>
      <c r="C382" s="417"/>
      <c r="D382" s="13" t="s">
        <v>554</v>
      </c>
      <c r="E382" s="14" t="str">
        <f>Translations!$B$478</f>
        <v>Activity data tier used:</v>
      </c>
      <c r="F382" s="11"/>
      <c r="G382" s="11"/>
      <c r="H382" s="197"/>
      <c r="I382" s="1163" t="str">
        <f>IF(OR(ISBLANK(H382),H382=EUconst_NoTier),"",IF(S382=0,EUconst_NA,IF(ISERROR(S382),"",EUconst_MsgTierActivityLevel &amp; " " &amp;S382)))</f>
        <v/>
      </c>
      <c r="J382" s="929"/>
      <c r="K382" s="929"/>
      <c r="L382" s="929"/>
      <c r="M382" s="929"/>
      <c r="N382" s="887"/>
      <c r="O382" s="417"/>
      <c r="P382" s="72"/>
      <c r="Q382" s="92" t="str">
        <f>EUconst_CNTR_ActivityData&amp;H370</f>
        <v>ActivityData_</v>
      </c>
      <c r="R382" s="29"/>
      <c r="S382" s="32" t="str">
        <f>IF(ISBLANK(H382),"",IF(H382=EUconst_NA,"",INDEX(EUwideConstants!$H:$O,MATCH(Q382,EUwideConstants!$S:$S,0),MATCH(H382,CNTR_TierList,0))))</f>
        <v/>
      </c>
      <c r="T382" s="72"/>
      <c r="U382" s="285" t="str">
        <f>U381</f>
        <v/>
      </c>
      <c r="V382" s="285">
        <v>0</v>
      </c>
      <c r="W382" s="92" t="b">
        <f>IF($L$6=EUconst_NotRelevant,TRUE,IF(V382&gt;0,(V382&lt;&gt;U382),IF(U382="",TRUE,FALSE)))</f>
        <v>1</v>
      </c>
      <c r="X382" s="417"/>
      <c r="Y382" s="417"/>
      <c r="Z382" s="417"/>
      <c r="AA382" s="417"/>
      <c r="AB382" s="417"/>
    </row>
    <row r="383" spans="1:28" outlineLevel="1" x14ac:dyDescent="0.2">
      <c r="A383" s="72"/>
      <c r="B383" s="417"/>
      <c r="C383" s="417"/>
      <c r="D383" s="13" t="s">
        <v>1022</v>
      </c>
      <c r="E383" s="14" t="str">
        <f>Translations!$B$479</f>
        <v>Uncertainty achieved:</v>
      </c>
      <c r="F383" s="11"/>
      <c r="G383" s="11"/>
      <c r="H383" s="269"/>
      <c r="I383" s="14" t="str">
        <f>Translations!$B$480</f>
        <v>Comment:</v>
      </c>
      <c r="J383" s="1162"/>
      <c r="K383" s="1140"/>
      <c r="L383" s="1140"/>
      <c r="M383" s="1140"/>
      <c r="N383" s="1141"/>
      <c r="O383" s="417"/>
      <c r="P383" s="72"/>
      <c r="Q383" s="72"/>
      <c r="R383" s="72"/>
      <c r="S383" s="72"/>
      <c r="T383" s="72"/>
      <c r="U383" s="285" t="str">
        <f>U382</f>
        <v/>
      </c>
      <c r="V383" s="285">
        <v>0</v>
      </c>
      <c r="W383" s="92" t="b">
        <f>IF($L$6=EUconst_NotRelevant,TRUE,IF(V383&gt;0,(V383&lt;&gt;U383),IF(U383="",TRUE,FALSE)))</f>
        <v>1</v>
      </c>
      <c r="X383" s="417"/>
      <c r="Y383" s="417"/>
      <c r="Z383" s="417"/>
      <c r="AA383" s="417"/>
      <c r="AB383" s="417"/>
    </row>
    <row r="384" spans="1:28" ht="5.0999999999999996" customHeight="1" outlineLevel="1" x14ac:dyDescent="0.2">
      <c r="A384" s="72"/>
      <c r="B384" s="417"/>
      <c r="C384" s="417"/>
      <c r="D384" s="417"/>
      <c r="E384" s="411"/>
      <c r="F384" s="411"/>
      <c r="G384" s="411"/>
      <c r="H384" s="411"/>
      <c r="I384" s="411"/>
      <c r="J384" s="411"/>
      <c r="K384" s="411"/>
      <c r="L384" s="417"/>
      <c r="M384" s="417"/>
      <c r="N384" s="417"/>
      <c r="O384" s="417"/>
      <c r="P384" s="72"/>
      <c r="Q384" s="72"/>
      <c r="R384" s="72"/>
      <c r="S384" s="72"/>
      <c r="T384" s="72"/>
      <c r="U384" s="72"/>
      <c r="V384" s="72"/>
      <c r="W384" s="72"/>
      <c r="X384" s="417"/>
      <c r="Y384" s="417"/>
      <c r="Z384" s="417"/>
      <c r="AA384" s="417"/>
      <c r="AB384" s="417"/>
    </row>
    <row r="385" spans="1:28" outlineLevel="1" x14ac:dyDescent="0.2">
      <c r="A385" s="72"/>
      <c r="B385" s="417"/>
      <c r="C385" s="417"/>
      <c r="D385" s="337" t="str">
        <f>Translations!$B$654</f>
        <v>Method A: number of Anode effects per cell-day</v>
      </c>
      <c r="E385" s="411"/>
      <c r="F385" s="411"/>
      <c r="G385" s="411"/>
      <c r="H385" s="411"/>
      <c r="I385" s="411"/>
      <c r="J385" s="411"/>
      <c r="K385" s="411"/>
      <c r="L385" s="417"/>
      <c r="M385" s="417"/>
      <c r="N385" s="417"/>
      <c r="O385" s="417"/>
      <c r="P385" s="72"/>
      <c r="Q385" s="72"/>
      <c r="R385" s="72"/>
      <c r="S385" s="72"/>
      <c r="T385" s="72"/>
      <c r="U385" s="72"/>
      <c r="V385" s="72"/>
      <c r="W385" s="72"/>
      <c r="X385" s="417"/>
      <c r="Y385" s="417"/>
      <c r="Z385" s="417"/>
      <c r="AA385" s="417"/>
      <c r="AB385" s="417"/>
    </row>
    <row r="386" spans="1:28" outlineLevel="1" x14ac:dyDescent="0.2">
      <c r="A386" s="72"/>
      <c r="B386" s="417"/>
      <c r="C386" s="417"/>
      <c r="D386" s="13" t="s">
        <v>1023</v>
      </c>
      <c r="E386" s="14" t="str">
        <f>Translations!$B$477</f>
        <v>Activity data tier level required:</v>
      </c>
      <c r="F386" s="11"/>
      <c r="G386" s="11"/>
      <c r="H386" s="268" t="str">
        <f>IF(W386,"",H381)</f>
        <v/>
      </c>
      <c r="I386" s="1163" t="str">
        <f>IF(W386,"",I381)</f>
        <v/>
      </c>
      <c r="J386" s="929"/>
      <c r="K386" s="929"/>
      <c r="L386" s="929"/>
      <c r="M386" s="929"/>
      <c r="N386" s="887"/>
      <c r="O386" s="417"/>
      <c r="P386" s="72"/>
      <c r="Q386" s="72"/>
      <c r="R386" s="29"/>
      <c r="S386" s="23"/>
      <c r="T386" s="72"/>
      <c r="U386" s="285" t="str">
        <f>U383</f>
        <v/>
      </c>
      <c r="V386" s="285">
        <v>1</v>
      </c>
      <c r="W386" s="92" t="b">
        <f>IF($L$6=EUconst_NotRelevant,TRUE,IF(V386&gt;0,(V386&lt;&gt;U386),IF(U386="",TRUE,FALSE)))</f>
        <v>1</v>
      </c>
      <c r="X386" s="417"/>
      <c r="Y386" s="417"/>
      <c r="Z386" s="417"/>
      <c r="AA386" s="417"/>
      <c r="AB386" s="417"/>
    </row>
    <row r="387" spans="1:28" outlineLevel="1" x14ac:dyDescent="0.2">
      <c r="A387" s="72"/>
      <c r="B387" s="417"/>
      <c r="C387" s="417"/>
      <c r="D387" s="13" t="s">
        <v>1019</v>
      </c>
      <c r="E387" s="14" t="str">
        <f>Translations!$B$478</f>
        <v>Activity data tier used:</v>
      </c>
      <c r="F387" s="11"/>
      <c r="G387" s="11"/>
      <c r="H387" s="197"/>
      <c r="I387" s="1163" t="str">
        <f>IF(OR(ISBLANK(H387),H387=EUconst_NoTier),"",IF(S387=0,EUconst_NA,IF(ISERROR(S387),"",EUconst_MsgTierActivityLevel &amp; " " &amp;S387)))</f>
        <v/>
      </c>
      <c r="J387" s="929"/>
      <c r="K387" s="929"/>
      <c r="L387" s="929"/>
      <c r="M387" s="929"/>
      <c r="N387" s="887"/>
      <c r="O387" s="417"/>
      <c r="P387" s="72"/>
      <c r="Q387" s="92" t="str">
        <f>EUconst_CNTR_ActivityData&amp;H370</f>
        <v>ActivityData_</v>
      </c>
      <c r="R387" s="29"/>
      <c r="S387" s="32" t="str">
        <f>IF(ISBLANK(H387),"",IF(H387=EUconst_NA,"",INDEX(EUwideConstants!$H:$O,MATCH(Q387,EUwideConstants!$S:$S,0),MATCH(H387,CNTR_TierList,0))))</f>
        <v/>
      </c>
      <c r="T387" s="72"/>
      <c r="U387" s="285" t="str">
        <f>U386</f>
        <v/>
      </c>
      <c r="V387" s="285">
        <v>1</v>
      </c>
      <c r="W387" s="92" t="b">
        <f>IF($L$6=EUconst_NotRelevant,TRUE,IF(V387&gt;0,(V387&lt;&gt;U387),IF(U387="",TRUE,FALSE)))</f>
        <v>1</v>
      </c>
      <c r="X387" s="417"/>
      <c r="Y387" s="417"/>
      <c r="Z387" s="417"/>
      <c r="AA387" s="417"/>
      <c r="AB387" s="417"/>
    </row>
    <row r="388" spans="1:28" outlineLevel="1" x14ac:dyDescent="0.2">
      <c r="A388" s="72"/>
      <c r="B388" s="417"/>
      <c r="C388" s="417"/>
      <c r="D388" s="13" t="s">
        <v>1349</v>
      </c>
      <c r="E388" s="14" t="str">
        <f>Translations!$B$479</f>
        <v>Uncertainty achieved:</v>
      </c>
      <c r="F388" s="11"/>
      <c r="G388" s="11"/>
      <c r="H388" s="269"/>
      <c r="I388" s="14" t="str">
        <f>Translations!$B$480</f>
        <v>Comment:</v>
      </c>
      <c r="J388" s="1162"/>
      <c r="K388" s="1140"/>
      <c r="L388" s="1140"/>
      <c r="M388" s="1140"/>
      <c r="N388" s="1141"/>
      <c r="O388" s="417"/>
      <c r="P388" s="72"/>
      <c r="Q388" s="72"/>
      <c r="R388" s="72"/>
      <c r="S388" s="72"/>
      <c r="T388" s="72"/>
      <c r="U388" s="285" t="str">
        <f>U387</f>
        <v/>
      </c>
      <c r="V388" s="285">
        <v>1</v>
      </c>
      <c r="W388" s="92" t="b">
        <f>IF($L$6=EUconst_NotRelevant,TRUE,IF(V388&gt;0,(V388&lt;&gt;U388),IF(U388="",TRUE,FALSE)))</f>
        <v>1</v>
      </c>
      <c r="X388" s="417"/>
      <c r="Y388" s="417"/>
      <c r="Z388" s="417"/>
      <c r="AA388" s="417"/>
      <c r="AB388" s="417"/>
    </row>
    <row r="389" spans="1:28" ht="5.0999999999999996" customHeight="1" outlineLevel="1" x14ac:dyDescent="0.2">
      <c r="A389" s="72"/>
      <c r="B389" s="417"/>
      <c r="C389" s="417"/>
      <c r="D389" s="417"/>
      <c r="E389" s="411"/>
      <c r="F389" s="411"/>
      <c r="G389" s="411"/>
      <c r="H389" s="411"/>
      <c r="I389" s="411"/>
      <c r="J389" s="411"/>
      <c r="K389" s="411"/>
      <c r="L389" s="417"/>
      <c r="M389" s="417"/>
      <c r="N389" s="417"/>
      <c r="O389" s="417"/>
      <c r="P389" s="72"/>
      <c r="Q389" s="72"/>
      <c r="R389" s="72"/>
      <c r="S389" s="72"/>
      <c r="T389" s="72"/>
      <c r="U389" s="72"/>
      <c r="V389" s="72"/>
      <c r="W389" s="72"/>
      <c r="X389" s="417"/>
      <c r="Y389" s="417"/>
      <c r="Z389" s="417"/>
      <c r="AA389" s="417"/>
      <c r="AB389" s="417"/>
    </row>
    <row r="390" spans="1:28" outlineLevel="1" x14ac:dyDescent="0.2">
      <c r="A390" s="72"/>
      <c r="B390" s="417"/>
      <c r="C390" s="417"/>
      <c r="D390" s="337" t="str">
        <f>Translations!$B$655</f>
        <v>Method A: average anode effect minutes per occurrence</v>
      </c>
      <c r="E390" s="411"/>
      <c r="F390" s="411"/>
      <c r="G390" s="411"/>
      <c r="H390" s="411"/>
      <c r="I390" s="411"/>
      <c r="J390" s="411"/>
      <c r="K390" s="411"/>
      <c r="L390" s="417"/>
      <c r="M390" s="417"/>
      <c r="N390" s="417"/>
      <c r="O390" s="417"/>
      <c r="P390" s="72"/>
      <c r="Q390" s="72"/>
      <c r="R390" s="72"/>
      <c r="S390" s="72"/>
      <c r="T390" s="72"/>
      <c r="U390" s="72"/>
      <c r="V390" s="72"/>
      <c r="W390" s="72"/>
      <c r="X390" s="417"/>
      <c r="Y390" s="417"/>
      <c r="Z390" s="417"/>
      <c r="AA390" s="417"/>
      <c r="AB390" s="417"/>
    </row>
    <row r="391" spans="1:28" outlineLevel="1" x14ac:dyDescent="0.2">
      <c r="A391" s="72"/>
      <c r="B391" s="417"/>
      <c r="C391" s="417"/>
      <c r="D391" s="13" t="s">
        <v>1351</v>
      </c>
      <c r="E391" s="14" t="str">
        <f>Translations!$B$477</f>
        <v>Activity data tier level required:</v>
      </c>
      <c r="F391" s="11"/>
      <c r="G391" s="11"/>
      <c r="H391" s="268" t="str">
        <f>IF(W391,"",H381)</f>
        <v/>
      </c>
      <c r="I391" s="1163" t="str">
        <f>IF(W391,"",I381)</f>
        <v/>
      </c>
      <c r="J391" s="929"/>
      <c r="K391" s="929"/>
      <c r="L391" s="929"/>
      <c r="M391" s="929"/>
      <c r="N391" s="887"/>
      <c r="O391" s="417"/>
      <c r="P391" s="72"/>
      <c r="Q391" s="72"/>
      <c r="R391" s="29"/>
      <c r="S391" s="23"/>
      <c r="T391" s="72"/>
      <c r="U391" s="285" t="str">
        <f>U388</f>
        <v/>
      </c>
      <c r="V391" s="285">
        <v>1</v>
      </c>
      <c r="W391" s="92" t="b">
        <f>IF($L$6=EUconst_NotRelevant,TRUE,IF(V391&gt;0,(V391&lt;&gt;U391),IF(U391="",TRUE,FALSE)))</f>
        <v>1</v>
      </c>
      <c r="X391" s="417"/>
      <c r="Y391" s="417"/>
      <c r="Z391" s="417"/>
      <c r="AA391" s="417"/>
      <c r="AB391" s="417"/>
    </row>
    <row r="392" spans="1:28" outlineLevel="1" x14ac:dyDescent="0.2">
      <c r="A392" s="72"/>
      <c r="B392" s="417"/>
      <c r="C392" s="417"/>
      <c r="D392" s="13" t="s">
        <v>1352</v>
      </c>
      <c r="E392" s="14" t="str">
        <f>Translations!$B$478</f>
        <v>Activity data tier used:</v>
      </c>
      <c r="F392" s="11"/>
      <c r="G392" s="11"/>
      <c r="H392" s="197"/>
      <c r="I392" s="1163" t="str">
        <f>IF(OR(ISBLANK(H392),H392=EUconst_NoTier),"",IF(S392=0,EUconst_NA,IF(ISERROR(S392),"",EUconst_MsgTierActivityLevel &amp; " " &amp;S392)))</f>
        <v/>
      </c>
      <c r="J392" s="929"/>
      <c r="K392" s="929"/>
      <c r="L392" s="929"/>
      <c r="M392" s="929"/>
      <c r="N392" s="887"/>
      <c r="O392" s="417"/>
      <c r="P392" s="72"/>
      <c r="Q392" s="92" t="str">
        <f>EUconst_CNTR_ActivityData&amp;H370</f>
        <v>ActivityData_</v>
      </c>
      <c r="R392" s="29"/>
      <c r="S392" s="32" t="str">
        <f>IF(ISBLANK(H392),"",IF(H392=EUconst_NA,"",INDEX(EUwideConstants!$H:$O,MATCH(Q392,EUwideConstants!$S:$S,0),MATCH(H392,CNTR_TierList,0))))</f>
        <v/>
      </c>
      <c r="T392" s="72"/>
      <c r="U392" s="285" t="str">
        <f>U391</f>
        <v/>
      </c>
      <c r="V392" s="285">
        <v>1</v>
      </c>
      <c r="W392" s="92" t="b">
        <f>IF($L$6=EUconst_NotRelevant,TRUE,IF(V392&gt;0,(V392&lt;&gt;U392),IF(U392="",TRUE,FALSE)))</f>
        <v>1</v>
      </c>
      <c r="X392" s="417"/>
      <c r="Y392" s="417"/>
      <c r="Z392" s="417"/>
      <c r="AA392" s="417"/>
      <c r="AB392" s="417"/>
    </row>
    <row r="393" spans="1:28" outlineLevel="1" x14ac:dyDescent="0.2">
      <c r="A393" s="72"/>
      <c r="B393" s="417"/>
      <c r="C393" s="417"/>
      <c r="D393" s="13" t="s">
        <v>1516</v>
      </c>
      <c r="E393" s="14" t="str">
        <f>Translations!$B$479</f>
        <v>Uncertainty achieved:</v>
      </c>
      <c r="F393" s="11"/>
      <c r="G393" s="11"/>
      <c r="H393" s="269"/>
      <c r="I393" s="14" t="str">
        <f>Translations!$B$480</f>
        <v>Comment:</v>
      </c>
      <c r="J393" s="1162"/>
      <c r="K393" s="1140"/>
      <c r="L393" s="1140"/>
      <c r="M393" s="1140"/>
      <c r="N393" s="1141"/>
      <c r="O393" s="417"/>
      <c r="P393" s="72"/>
      <c r="Q393" s="72"/>
      <c r="R393" s="72"/>
      <c r="S393" s="72"/>
      <c r="T393" s="72"/>
      <c r="U393" s="285" t="str">
        <f>U392</f>
        <v/>
      </c>
      <c r="V393" s="285">
        <v>1</v>
      </c>
      <c r="W393" s="92" t="b">
        <f>IF($L$6=EUconst_NotRelevant,TRUE,IF(V393&gt;0,(V393&lt;&gt;U393),IF(U393="",TRUE,FALSE)))</f>
        <v>1</v>
      </c>
      <c r="X393" s="417"/>
      <c r="Y393" s="417"/>
      <c r="Z393" s="417"/>
      <c r="AA393" s="417"/>
      <c r="AB393" s="417"/>
    </row>
    <row r="394" spans="1:28" ht="5.0999999999999996" customHeight="1" outlineLevel="1" x14ac:dyDescent="0.2">
      <c r="A394" s="72"/>
      <c r="B394" s="417"/>
      <c r="C394" s="417"/>
      <c r="D394" s="417"/>
      <c r="E394" s="411"/>
      <c r="F394" s="411"/>
      <c r="G394" s="411"/>
      <c r="H394" s="411"/>
      <c r="I394" s="411"/>
      <c r="J394" s="411"/>
      <c r="K394" s="411"/>
      <c r="L394" s="417"/>
      <c r="M394" s="417"/>
      <c r="N394" s="417"/>
      <c r="O394" s="417"/>
      <c r="P394" s="72"/>
      <c r="Q394" s="72"/>
      <c r="R394" s="72"/>
      <c r="S394" s="72"/>
      <c r="T394" s="72"/>
      <c r="U394" s="72"/>
      <c r="V394" s="72"/>
      <c r="W394" s="72"/>
      <c r="X394" s="417"/>
      <c r="Y394" s="417"/>
      <c r="Z394" s="417"/>
      <c r="AA394" s="417"/>
      <c r="AB394" s="417"/>
    </row>
    <row r="395" spans="1:28" outlineLevel="1" x14ac:dyDescent="0.2">
      <c r="A395" s="72"/>
      <c r="B395" s="417"/>
      <c r="C395" s="417"/>
      <c r="D395" s="337" t="str">
        <f>Translations!$B$656</f>
        <v>Method B: anode effect overvoltage per cell</v>
      </c>
      <c r="E395" s="411"/>
      <c r="F395" s="411"/>
      <c r="G395" s="411"/>
      <c r="H395" s="411"/>
      <c r="I395" s="411"/>
      <c r="J395" s="411"/>
      <c r="K395" s="411"/>
      <c r="L395" s="417"/>
      <c r="M395" s="417"/>
      <c r="N395" s="417"/>
      <c r="O395" s="417"/>
      <c r="P395" s="72"/>
      <c r="Q395" s="72"/>
      <c r="R395" s="72"/>
      <c r="S395" s="72"/>
      <c r="T395" s="72"/>
      <c r="U395" s="72"/>
      <c r="V395" s="72"/>
      <c r="W395" s="72"/>
      <c r="X395" s="417"/>
      <c r="Y395" s="417"/>
      <c r="Z395" s="417"/>
      <c r="AA395" s="417"/>
      <c r="AB395" s="417"/>
    </row>
    <row r="396" spans="1:28" outlineLevel="1" x14ac:dyDescent="0.2">
      <c r="A396" s="72"/>
      <c r="B396" s="417"/>
      <c r="C396" s="417"/>
      <c r="D396" s="13" t="s">
        <v>351</v>
      </c>
      <c r="E396" s="14" t="str">
        <f>Translations!$B$477</f>
        <v>Activity data tier level required:</v>
      </c>
      <c r="F396" s="11"/>
      <c r="G396" s="11"/>
      <c r="H396" s="268" t="str">
        <f>IF(W396,"",H381)</f>
        <v/>
      </c>
      <c r="I396" s="1163" t="str">
        <f>IF(W396,"",I381)</f>
        <v/>
      </c>
      <c r="J396" s="929"/>
      <c r="K396" s="929"/>
      <c r="L396" s="929"/>
      <c r="M396" s="929"/>
      <c r="N396" s="887"/>
      <c r="O396" s="417"/>
      <c r="P396" s="72"/>
      <c r="Q396" s="72"/>
      <c r="R396" s="29"/>
      <c r="S396" s="23"/>
      <c r="T396" s="72"/>
      <c r="U396" s="285" t="str">
        <f>U393</f>
        <v/>
      </c>
      <c r="V396" s="285">
        <v>2</v>
      </c>
      <c r="W396" s="92" t="b">
        <f>IF($L$6=EUconst_NotRelevant,TRUE,IF(V396&gt;0,(V396&lt;&gt;U396),IF(U396="",TRUE,FALSE)))</f>
        <v>1</v>
      </c>
      <c r="X396" s="417"/>
      <c r="Y396" s="417"/>
      <c r="Z396" s="417"/>
      <c r="AA396" s="417"/>
      <c r="AB396" s="417"/>
    </row>
    <row r="397" spans="1:28" outlineLevel="1" x14ac:dyDescent="0.2">
      <c r="A397" s="72"/>
      <c r="B397" s="417"/>
      <c r="C397" s="417"/>
      <c r="D397" s="13" t="s">
        <v>353</v>
      </c>
      <c r="E397" s="14" t="str">
        <f>Translations!$B$478</f>
        <v>Activity data tier used:</v>
      </c>
      <c r="F397" s="11"/>
      <c r="G397" s="11"/>
      <c r="H397" s="197"/>
      <c r="I397" s="1163" t="str">
        <f>IF(OR(ISBLANK(H397),H397=EUconst_NoTier),"",IF(S397=0,EUconst_NA,IF(ISERROR(S397),"",EUconst_MsgTierActivityLevel &amp; " " &amp;S397)))</f>
        <v/>
      </c>
      <c r="J397" s="929"/>
      <c r="K397" s="929"/>
      <c r="L397" s="929"/>
      <c r="M397" s="929"/>
      <c r="N397" s="887"/>
      <c r="O397" s="417"/>
      <c r="P397" s="72"/>
      <c r="Q397" s="92" t="str">
        <f>EUconst_CNTR_ActivityData&amp;H370</f>
        <v>ActivityData_</v>
      </c>
      <c r="R397" s="29"/>
      <c r="S397" s="32" t="str">
        <f>IF(ISBLANK(H397),"",IF(H397=EUconst_NA,"",INDEX(EUwideConstants!$H:$O,MATCH(Q397,EUwideConstants!$S:$S,0),MATCH(H397,CNTR_TierList,0))))</f>
        <v/>
      </c>
      <c r="T397" s="72"/>
      <c r="U397" s="285" t="str">
        <f>U396</f>
        <v/>
      </c>
      <c r="V397" s="285">
        <v>2</v>
      </c>
      <c r="W397" s="92" t="b">
        <f>IF($L$6=EUconst_NotRelevant,TRUE,IF(V397&gt;0,(V397&lt;&gt;U397),IF(U397="",TRUE,FALSE)))</f>
        <v>1</v>
      </c>
      <c r="X397" s="417"/>
      <c r="Y397" s="417"/>
      <c r="Z397" s="417"/>
      <c r="AA397" s="417"/>
      <c r="AB397" s="417"/>
    </row>
    <row r="398" spans="1:28" outlineLevel="1" x14ac:dyDescent="0.2">
      <c r="A398" s="72"/>
      <c r="B398" s="417"/>
      <c r="C398" s="417"/>
      <c r="D398" s="13" t="s">
        <v>354</v>
      </c>
      <c r="E398" s="14" t="str">
        <f>Translations!$B$479</f>
        <v>Uncertainty achieved:</v>
      </c>
      <c r="F398" s="11"/>
      <c r="G398" s="11"/>
      <c r="H398" s="269"/>
      <c r="I398" s="14" t="str">
        <f>Translations!$B$480</f>
        <v>Comment:</v>
      </c>
      <c r="J398" s="1162"/>
      <c r="K398" s="1140"/>
      <c r="L398" s="1140"/>
      <c r="M398" s="1140"/>
      <c r="N398" s="1141"/>
      <c r="O398" s="417"/>
      <c r="P398" s="72"/>
      <c r="Q398" s="72"/>
      <c r="R398" s="72"/>
      <c r="S398" s="72"/>
      <c r="T398" s="72"/>
      <c r="U398" s="285" t="str">
        <f>U397</f>
        <v/>
      </c>
      <c r="V398" s="285">
        <v>2</v>
      </c>
      <c r="W398" s="92" t="b">
        <f>IF($L$6=EUconst_NotRelevant,TRUE,IF(V398&gt;0,(V398&lt;&gt;U398),IF(U398="",TRUE,FALSE)))</f>
        <v>1</v>
      </c>
      <c r="X398" s="417"/>
      <c r="Y398" s="417"/>
      <c r="Z398" s="417"/>
      <c r="AA398" s="417"/>
      <c r="AB398" s="417"/>
    </row>
    <row r="399" spans="1:28" ht="5.0999999999999996" customHeight="1" outlineLevel="1" x14ac:dyDescent="0.2">
      <c r="A399" s="72"/>
      <c r="B399" s="417"/>
      <c r="C399" s="417"/>
      <c r="D399" s="417"/>
      <c r="E399" s="411"/>
      <c r="F399" s="411"/>
      <c r="G399" s="411"/>
      <c r="H399" s="411"/>
      <c r="I399" s="411"/>
      <c r="J399" s="411"/>
      <c r="K399" s="411"/>
      <c r="L399" s="417"/>
      <c r="M399" s="417"/>
      <c r="N399" s="417"/>
      <c r="O399" s="417"/>
      <c r="P399" s="72"/>
      <c r="Q399" s="72"/>
      <c r="R399" s="72"/>
      <c r="S399" s="72"/>
      <c r="T399" s="72"/>
      <c r="U399" s="72"/>
      <c r="V399" s="72"/>
      <c r="W399" s="72"/>
      <c r="X399" s="417"/>
      <c r="Y399" s="417"/>
      <c r="Z399" s="417"/>
      <c r="AA399" s="417"/>
      <c r="AB399" s="417"/>
    </row>
    <row r="400" spans="1:28" outlineLevel="1" x14ac:dyDescent="0.2">
      <c r="A400" s="72"/>
      <c r="B400" s="417"/>
      <c r="C400" s="417"/>
      <c r="D400" s="337" t="str">
        <f>Translations!$B$657</f>
        <v>Method B: Current efficiency</v>
      </c>
      <c r="E400" s="411"/>
      <c r="F400" s="411"/>
      <c r="G400" s="411"/>
      <c r="H400" s="411"/>
      <c r="I400" s="411"/>
      <c r="J400" s="411"/>
      <c r="K400" s="411"/>
      <c r="L400" s="417"/>
      <c r="M400" s="417"/>
      <c r="N400" s="417"/>
      <c r="O400" s="417"/>
      <c r="P400" s="72"/>
      <c r="Q400" s="72"/>
      <c r="R400" s="72"/>
      <c r="S400" s="72"/>
      <c r="T400" s="72"/>
      <c r="U400" s="72"/>
      <c r="V400" s="72"/>
      <c r="W400" s="72"/>
      <c r="X400" s="417"/>
      <c r="Y400" s="417"/>
      <c r="Z400" s="417"/>
      <c r="AA400" s="417"/>
      <c r="AB400" s="417"/>
    </row>
    <row r="401" spans="1:28" ht="12.75" customHeight="1" outlineLevel="1" x14ac:dyDescent="0.2">
      <c r="A401" s="72"/>
      <c r="B401" s="417"/>
      <c r="C401" s="417"/>
      <c r="D401" s="13" t="s">
        <v>355</v>
      </c>
      <c r="E401" s="14" t="str">
        <f>Translations!$B$477</f>
        <v>Activity data tier level required:</v>
      </c>
      <c r="F401" s="11"/>
      <c r="G401" s="11"/>
      <c r="H401" s="268" t="str">
        <f>IF(W401,"",H381)</f>
        <v/>
      </c>
      <c r="I401" s="1163" t="str">
        <f>IF(W401,"",I381)</f>
        <v/>
      </c>
      <c r="J401" s="929"/>
      <c r="K401" s="929"/>
      <c r="L401" s="929"/>
      <c r="M401" s="929"/>
      <c r="N401" s="887"/>
      <c r="O401" s="417"/>
      <c r="P401" s="72"/>
      <c r="Q401" s="72"/>
      <c r="R401" s="29"/>
      <c r="S401" s="23"/>
      <c r="T401" s="72"/>
      <c r="U401" s="285" t="str">
        <f>U398</f>
        <v/>
      </c>
      <c r="V401" s="285">
        <v>2</v>
      </c>
      <c r="W401" s="92" t="b">
        <f>IF($L$6=EUconst_NotRelevant,TRUE,IF(V401&gt;0,(V401&lt;&gt;U401),IF(U401="",TRUE,FALSE)))</f>
        <v>1</v>
      </c>
      <c r="X401" s="417"/>
      <c r="Y401" s="417"/>
      <c r="Z401" s="417"/>
      <c r="AA401" s="417"/>
      <c r="AB401" s="417"/>
    </row>
    <row r="402" spans="1:28" outlineLevel="1" x14ac:dyDescent="0.2">
      <c r="A402" s="72"/>
      <c r="B402" s="417"/>
      <c r="C402" s="417"/>
      <c r="D402" s="13" t="s">
        <v>555</v>
      </c>
      <c r="E402" s="14" t="str">
        <f>Translations!$B$478</f>
        <v>Activity data tier used:</v>
      </c>
      <c r="F402" s="11"/>
      <c r="G402" s="11"/>
      <c r="H402" s="197"/>
      <c r="I402" s="1163" t="str">
        <f>IF(OR(ISBLANK(H402),H402=EUconst_NoTier),"",IF(S402=0,EUconst_NA,IF(ISERROR(S402),"",EUconst_MsgTierActivityLevel &amp; " " &amp;S402)))</f>
        <v/>
      </c>
      <c r="J402" s="929"/>
      <c r="K402" s="929"/>
      <c r="L402" s="929"/>
      <c r="M402" s="929"/>
      <c r="N402" s="887"/>
      <c r="O402" s="417"/>
      <c r="P402" s="72"/>
      <c r="Q402" s="92" t="str">
        <f>EUconst_CNTR_ActivityData&amp;H370</f>
        <v>ActivityData_</v>
      </c>
      <c r="R402" s="29"/>
      <c r="S402" s="32" t="str">
        <f>IF(ISBLANK(H402),"",IF(H402=EUconst_NA,"",INDEX(EUwideConstants!$H:$O,MATCH(Q402,EUwideConstants!$S:$S,0),MATCH(H402,CNTR_TierList,0))))</f>
        <v/>
      </c>
      <c r="T402" s="72"/>
      <c r="U402" s="285" t="str">
        <f>U401</f>
        <v/>
      </c>
      <c r="V402" s="285">
        <v>2</v>
      </c>
      <c r="W402" s="92" t="b">
        <f>IF($L$6=EUconst_NotRelevant,TRUE,IF(V402&gt;0,(V402&lt;&gt;U402),IF(U402="",TRUE,FALSE)))</f>
        <v>1</v>
      </c>
      <c r="X402" s="417"/>
      <c r="Y402" s="417"/>
      <c r="Z402" s="417"/>
      <c r="AA402" s="417"/>
      <c r="AB402" s="417"/>
    </row>
    <row r="403" spans="1:28" outlineLevel="1" x14ac:dyDescent="0.2">
      <c r="A403" s="72"/>
      <c r="B403" s="417"/>
      <c r="C403" s="417"/>
      <c r="D403" s="13" t="s">
        <v>550</v>
      </c>
      <c r="E403" s="14" t="str">
        <f>Translations!$B$479</f>
        <v>Uncertainty achieved:</v>
      </c>
      <c r="F403" s="11"/>
      <c r="G403" s="11"/>
      <c r="H403" s="269"/>
      <c r="I403" s="14" t="str">
        <f>Translations!$B$480</f>
        <v>Comment:</v>
      </c>
      <c r="J403" s="1162"/>
      <c r="K403" s="1140"/>
      <c r="L403" s="1140"/>
      <c r="M403" s="1140"/>
      <c r="N403" s="1141"/>
      <c r="O403" s="417"/>
      <c r="P403" s="72"/>
      <c r="Q403" s="72"/>
      <c r="R403" s="72"/>
      <c r="S403" s="72"/>
      <c r="T403" s="72"/>
      <c r="U403" s="285" t="str">
        <f>U402</f>
        <v/>
      </c>
      <c r="V403" s="285">
        <v>2</v>
      </c>
      <c r="W403" s="92" t="b">
        <f>IF($L$6=EUconst_NotRelevant,TRUE,IF(V403&gt;0,(V403&lt;&gt;U403),IF(U403="",TRUE,FALSE)))</f>
        <v>1</v>
      </c>
      <c r="X403" s="417"/>
      <c r="Y403" s="417"/>
      <c r="Z403" s="417"/>
      <c r="AA403" s="417"/>
      <c r="AB403" s="417"/>
    </row>
    <row r="404" spans="1:28" outlineLevel="1" x14ac:dyDescent="0.2">
      <c r="A404" s="72"/>
      <c r="B404" s="417"/>
      <c r="C404" s="417"/>
      <c r="D404" s="417"/>
      <c r="E404" s="411"/>
      <c r="F404" s="411"/>
      <c r="G404" s="411"/>
      <c r="H404" s="411"/>
      <c r="I404" s="411"/>
      <c r="J404" s="411"/>
      <c r="K404" s="411"/>
      <c r="L404" s="417"/>
      <c r="M404" s="417"/>
      <c r="N404" s="417"/>
      <c r="O404" s="417"/>
      <c r="P404" s="72"/>
      <c r="Q404" s="72"/>
      <c r="R404" s="72"/>
      <c r="S404" s="72"/>
      <c r="T404" s="72"/>
      <c r="U404" s="72"/>
      <c r="V404" s="72"/>
      <c r="W404" s="72"/>
      <c r="X404" s="417"/>
      <c r="Y404" s="417"/>
      <c r="Z404" s="417"/>
      <c r="AA404" s="417"/>
      <c r="AB404" s="417"/>
    </row>
    <row r="405" spans="1:28" ht="15" customHeight="1" outlineLevel="1" x14ac:dyDescent="0.2">
      <c r="A405" s="72"/>
      <c r="B405" s="417"/>
      <c r="C405" s="417"/>
      <c r="D405" s="1040" t="str">
        <f>Translations!$B$658</f>
        <v>Calculation factors</v>
      </c>
      <c r="E405" s="1040"/>
      <c r="F405" s="1040"/>
      <c r="G405" s="1040"/>
      <c r="H405" s="1040"/>
      <c r="I405" s="1040"/>
      <c r="J405" s="1040"/>
      <c r="K405" s="1040"/>
      <c r="L405" s="1040"/>
      <c r="M405" s="1040"/>
      <c r="N405" s="1040"/>
      <c r="O405" s="417"/>
      <c r="P405" s="72"/>
      <c r="Q405" s="72"/>
      <c r="R405" s="72"/>
      <c r="S405" s="72"/>
      <c r="T405" s="72"/>
      <c r="U405" s="72"/>
      <c r="V405" s="72"/>
      <c r="W405" s="72"/>
      <c r="X405" s="417"/>
      <c r="Y405" s="417"/>
      <c r="Z405" s="417"/>
      <c r="AA405" s="417"/>
      <c r="AB405" s="417"/>
    </row>
    <row r="406" spans="1:28" ht="15" outlineLevel="1" x14ac:dyDescent="0.2">
      <c r="A406" s="72"/>
      <c r="B406" s="417"/>
      <c r="C406" s="417"/>
      <c r="D406" s="307" t="s">
        <v>841</v>
      </c>
      <c r="E406" s="337" t="str">
        <f>Translations!$B$659</f>
        <v>Tiers applied</v>
      </c>
      <c r="F406" s="257"/>
      <c r="G406" s="257"/>
      <c r="H406" s="411"/>
      <c r="I406" s="411"/>
      <c r="J406" s="411"/>
      <c r="K406" s="411"/>
      <c r="L406" s="417"/>
      <c r="M406" s="417"/>
      <c r="N406" s="417"/>
      <c r="O406" s="417"/>
      <c r="P406" s="72"/>
      <c r="Q406" s="72"/>
      <c r="R406" s="72"/>
      <c r="S406" s="72"/>
      <c r="T406" s="72"/>
      <c r="U406" s="72"/>
      <c r="V406" s="72"/>
      <c r="W406" s="72"/>
      <c r="X406" s="417"/>
      <c r="Y406" s="417"/>
      <c r="Z406" s="417"/>
      <c r="AA406" s="417"/>
      <c r="AB406" s="417"/>
    </row>
    <row r="407" spans="1:28" ht="5.0999999999999996" customHeight="1" outlineLevel="1" x14ac:dyDescent="0.2">
      <c r="A407" s="72"/>
      <c r="B407" s="417"/>
      <c r="C407" s="417"/>
      <c r="D407" s="417"/>
      <c r="E407" s="411"/>
      <c r="F407" s="411"/>
      <c r="G407" s="411"/>
      <c r="H407" s="411"/>
      <c r="I407" s="411"/>
      <c r="J407" s="411"/>
      <c r="K407" s="411"/>
      <c r="L407" s="417"/>
      <c r="M407" s="417"/>
      <c r="N407" s="417"/>
      <c r="O407" s="417"/>
      <c r="P407" s="72"/>
      <c r="Q407" s="72"/>
      <c r="R407" s="72"/>
      <c r="S407" s="72"/>
      <c r="T407" s="72"/>
      <c r="U407" s="72"/>
      <c r="V407" s="72"/>
      <c r="W407" s="72"/>
      <c r="X407" s="417"/>
      <c r="Y407" s="417"/>
      <c r="Z407" s="417"/>
      <c r="AA407" s="417"/>
      <c r="AB407" s="417"/>
    </row>
    <row r="408" spans="1:28" outlineLevel="1" x14ac:dyDescent="0.2">
      <c r="A408" s="72"/>
      <c r="B408" s="417"/>
      <c r="C408" s="417"/>
      <c r="D408" s="417"/>
      <c r="E408" s="279" t="str">
        <f>Translations!$B$516</f>
        <v>calculation factor</v>
      </c>
      <c r="F408" s="280"/>
      <c r="G408" s="281"/>
      <c r="H408" s="50" t="str">
        <f>Translations!$B$517</f>
        <v>required tier</v>
      </c>
      <c r="I408" s="50" t="str">
        <f>Translations!$B$518</f>
        <v>applied tier</v>
      </c>
      <c r="J408" s="1159" t="str">
        <f>Translations!$B$519</f>
        <v>full text for applied tier</v>
      </c>
      <c r="K408" s="1160"/>
      <c r="L408" s="1160"/>
      <c r="M408" s="1160"/>
      <c r="N408" s="1161"/>
      <c r="O408" s="417"/>
      <c r="P408" s="72"/>
      <c r="Q408" s="72"/>
      <c r="R408" s="72"/>
      <c r="S408" s="15" t="s">
        <v>1038</v>
      </c>
      <c r="T408" s="72"/>
      <c r="U408" s="72"/>
      <c r="V408" s="72"/>
      <c r="W408" s="72"/>
      <c r="X408" s="417"/>
      <c r="Y408" s="417"/>
      <c r="Z408" s="417"/>
      <c r="AA408" s="417"/>
      <c r="AB408" s="417"/>
    </row>
    <row r="409" spans="1:28" outlineLevel="1" x14ac:dyDescent="0.2">
      <c r="A409" s="72"/>
      <c r="B409" s="417"/>
      <c r="C409" s="417"/>
      <c r="D409" s="46" t="s">
        <v>1030</v>
      </c>
      <c r="E409" s="282" t="str">
        <f>Translations!$B$660</f>
        <v>SEF(CF4) Slope emission factor</v>
      </c>
      <c r="F409" s="283"/>
      <c r="G409" s="284"/>
      <c r="H409" s="268" t="str">
        <f>IF(H370="","",IF(W409=FALSE,IF(CNTR_Category="A",INDEX(EUwideConstants!$G:$G,MATCH(Q409,EUwideConstants!$S:$S,0)),INDEX(EUwideConstants!$P:$P,MATCH(Q409,EUwideConstants!$S:$S,0))),""))</f>
        <v/>
      </c>
      <c r="I409" s="197"/>
      <c r="J409" s="1163" t="str">
        <f>IF(OR(ISBLANK(I409),I409=EUconst_NoTier),"",IF(S409=0,EUconst_NotApplicable,IF(ISERROR(S409),"",S409)))</f>
        <v/>
      </c>
      <c r="K409" s="929"/>
      <c r="L409" s="929"/>
      <c r="M409" s="929"/>
      <c r="N409" s="887"/>
      <c r="O409" s="417"/>
      <c r="P409" s="72"/>
      <c r="Q409" s="92" t="str">
        <f>EUconst_CNTR_EF&amp;H370</f>
        <v>EF_</v>
      </c>
      <c r="R409" s="72"/>
      <c r="S409" s="31" t="str">
        <f>IF(ISBLANK(I409),"",IF(I409=EUconst_NA,"",INDEX(EUwideConstants!$H:$O,MATCH(Q409,EUwideConstants!$S:$S,0),MATCH(I409,CNTR_TierList,0))))</f>
        <v/>
      </c>
      <c r="T409" s="72"/>
      <c r="U409" s="285" t="str">
        <f>U403</f>
        <v/>
      </c>
      <c r="V409" s="285">
        <v>1</v>
      </c>
      <c r="W409" s="92" t="b">
        <f>IF($L$6=EUconst_NotRelevant,TRUE,IF(V409&gt;0,(V409&lt;&gt;U409),IF(U409="",TRUE,FALSE)))</f>
        <v>1</v>
      </c>
      <c r="X409" s="417"/>
      <c r="Y409" s="417"/>
      <c r="Z409" s="417"/>
      <c r="AA409" s="417"/>
      <c r="AB409" s="417"/>
    </row>
    <row r="410" spans="1:28" outlineLevel="1" x14ac:dyDescent="0.2">
      <c r="A410" s="72"/>
      <c r="B410" s="417"/>
      <c r="C410" s="417"/>
      <c r="D410" s="46" t="s">
        <v>1031</v>
      </c>
      <c r="E410" s="282" t="str">
        <f>Translations!$B$661</f>
        <v>OVC (Overvoltage coefficient)</v>
      </c>
      <c r="F410" s="283"/>
      <c r="G410" s="284"/>
      <c r="H410" s="268" t="str">
        <f>IF(H371="","",IF(W410=FALSE,IF(CNTR_Category="A",INDEX(EUwideConstants!$G:$G,MATCH(Q410,EUwideConstants!$S:$S,0)),INDEX(EUwideConstants!$P:$P,MATCH(Q410,EUwideConstants!$S:$S,0))),""))</f>
        <v/>
      </c>
      <c r="I410" s="197"/>
      <c r="J410" s="1163" t="str">
        <f>IF(OR(ISBLANK(I410),I410=EUconst_NoTier),"",IF(S410=0,EUconst_NotApplicable,IF(ISERROR(S410),"",S410)))</f>
        <v/>
      </c>
      <c r="K410" s="929"/>
      <c r="L410" s="929"/>
      <c r="M410" s="929"/>
      <c r="N410" s="887"/>
      <c r="O410" s="417"/>
      <c r="P410" s="72"/>
      <c r="Q410" s="92" t="str">
        <f>EUconst_CNTR_EF&amp;H370</f>
        <v>EF_</v>
      </c>
      <c r="R410" s="72"/>
      <c r="S410" s="31" t="str">
        <f>IF(ISBLANK(I410),"",IF(I410=EUconst_NA,"",INDEX(EUwideConstants!$H:$O,MATCH(Q410,EUwideConstants!$S:$S,0),MATCH(I410,CNTR_TierList,0))))</f>
        <v/>
      </c>
      <c r="T410" s="72"/>
      <c r="U410" s="285" t="str">
        <f>U409</f>
        <v/>
      </c>
      <c r="V410" s="285">
        <v>2</v>
      </c>
      <c r="W410" s="92" t="b">
        <f>IF($L$6=EUconst_NotRelevant,TRUE,IF(V410&gt;0,(V410&lt;&gt;U410),IF(U410="",TRUE,FALSE)))</f>
        <v>1</v>
      </c>
      <c r="X410" s="417"/>
      <c r="Y410" s="417"/>
      <c r="Z410" s="417"/>
      <c r="AA410" s="417"/>
      <c r="AB410" s="417"/>
    </row>
    <row r="411" spans="1:28" outlineLevel="1" x14ac:dyDescent="0.2">
      <c r="A411" s="72"/>
      <c r="B411" s="417"/>
      <c r="C411" s="417"/>
      <c r="D411" s="46" t="s">
        <v>1468</v>
      </c>
      <c r="E411" s="282" t="str">
        <f>Translations!$B$662</f>
        <v>F(C2F6) Weight fraction of C2F6</v>
      </c>
      <c r="F411" s="283"/>
      <c r="G411" s="284"/>
      <c r="H411" s="268" t="str">
        <f>IF(H372="","",IF(W411=FALSE,IF(CNTR_Category="A",INDEX(EUwideConstants!$G:$G,MATCH(Q411,EUwideConstants!$S:$S,0)),INDEX(EUwideConstants!$P:$P,MATCH(Q411,EUwideConstants!$S:$S,0))),""))</f>
        <v/>
      </c>
      <c r="I411" s="197"/>
      <c r="J411" s="1163" t="str">
        <f>IF(OR(ISBLANK(I411),I411=EUconst_NoTier),"",IF(S411=0,EUconst_NotApplicable,IF(ISERROR(S411),"",S411)))</f>
        <v/>
      </c>
      <c r="K411" s="929"/>
      <c r="L411" s="929"/>
      <c r="M411" s="929"/>
      <c r="N411" s="887"/>
      <c r="O411" s="417"/>
      <c r="P411" s="72"/>
      <c r="Q411" s="92" t="str">
        <f>EUconst_CNTR_EF&amp;H370</f>
        <v>EF_</v>
      </c>
      <c r="R411" s="72"/>
      <c r="S411" s="31" t="str">
        <f>IF(ISBLANK(I411),"",IF(I411=EUconst_NA,"",INDEX(EUwideConstants!$H:$O,MATCH(Q411,EUwideConstants!$S:$S,0),MATCH(I411,CNTR_TierList,0))))</f>
        <v/>
      </c>
      <c r="T411" s="72"/>
      <c r="U411" s="285" t="str">
        <f>U410</f>
        <v/>
      </c>
      <c r="V411" s="285">
        <v>0</v>
      </c>
      <c r="W411" s="92" t="b">
        <f>IF($L$6=EUconst_NotRelevant,TRUE,IF(V411&gt;0,(V411&lt;&gt;U411),IF(U411="",TRUE,FALSE)))</f>
        <v>1</v>
      </c>
      <c r="X411" s="417"/>
      <c r="Y411" s="417"/>
      <c r="Z411" s="417"/>
      <c r="AA411" s="417"/>
      <c r="AB411" s="417"/>
    </row>
    <row r="412" spans="1:28" outlineLevel="1" x14ac:dyDescent="0.2">
      <c r="A412" s="72"/>
      <c r="B412" s="417"/>
      <c r="C412" s="417"/>
      <c r="D412" s="417"/>
      <c r="E412" s="411"/>
      <c r="F412" s="411"/>
      <c r="G412" s="411"/>
      <c r="H412" s="411"/>
      <c r="I412" s="411"/>
      <c r="J412" s="411"/>
      <c r="K412" s="411"/>
      <c r="L412" s="417"/>
      <c r="M412" s="417"/>
      <c r="N412" s="417"/>
      <c r="O412" s="417"/>
      <c r="P412" s="72"/>
      <c r="Q412" s="72"/>
      <c r="R412" s="72"/>
      <c r="S412" s="72"/>
      <c r="T412" s="72"/>
      <c r="U412" s="72"/>
      <c r="V412" s="72"/>
      <c r="W412" s="72"/>
      <c r="X412" s="417"/>
      <c r="Y412" s="417"/>
      <c r="Z412" s="417"/>
      <c r="AA412" s="417"/>
      <c r="AB412" s="417"/>
    </row>
    <row r="413" spans="1:28" ht="15" outlineLevel="1" x14ac:dyDescent="0.2">
      <c r="A413" s="72"/>
      <c r="B413" s="417"/>
      <c r="C413" s="417"/>
      <c r="D413" s="307" t="s">
        <v>846</v>
      </c>
      <c r="E413" s="337" t="str">
        <f>Translations!$B$663</f>
        <v>Tier details</v>
      </c>
      <c r="F413" s="257"/>
      <c r="G413" s="257"/>
      <c r="H413" s="411"/>
      <c r="I413" s="411"/>
      <c r="J413" s="411"/>
      <c r="K413" s="411"/>
      <c r="L413" s="417"/>
      <c r="M413" s="417"/>
      <c r="N413" s="417"/>
      <c r="O413" s="417"/>
      <c r="P413" s="72"/>
      <c r="Q413" s="72"/>
      <c r="R413" s="72"/>
      <c r="S413" s="72"/>
      <c r="T413" s="72"/>
      <c r="U413" s="72"/>
      <c r="V413" s="72"/>
      <c r="W413" s="72"/>
      <c r="X413" s="417"/>
      <c r="Y413" s="417"/>
      <c r="Z413" s="417"/>
      <c r="AA413" s="417"/>
      <c r="AB413" s="417"/>
    </row>
    <row r="414" spans="1:28" ht="5.0999999999999996" customHeight="1" outlineLevel="1" x14ac:dyDescent="0.2">
      <c r="A414" s="72"/>
      <c r="B414" s="417"/>
      <c r="C414" s="417"/>
      <c r="D414" s="417"/>
      <c r="E414" s="411"/>
      <c r="F414" s="411"/>
      <c r="G414" s="411"/>
      <c r="H414" s="411"/>
      <c r="I414" s="411"/>
      <c r="J414" s="411"/>
      <c r="K414" s="411"/>
      <c r="L414" s="417"/>
      <c r="M414" s="417"/>
      <c r="N414" s="417"/>
      <c r="O414" s="417"/>
      <c r="P414" s="72"/>
      <c r="Q414" s="72"/>
      <c r="R414" s="72"/>
      <c r="S414" s="72"/>
      <c r="T414" s="72"/>
      <c r="U414" s="72"/>
      <c r="V414" s="72"/>
      <c r="W414" s="72"/>
      <c r="X414" s="417"/>
      <c r="Y414" s="417"/>
      <c r="Z414" s="417"/>
      <c r="AA414" s="417"/>
      <c r="AB414" s="417"/>
    </row>
    <row r="415" spans="1:28" ht="25.5" outlineLevel="1" x14ac:dyDescent="0.2">
      <c r="A415" s="72"/>
      <c r="B415" s="417"/>
      <c r="C415" s="417"/>
      <c r="D415" s="417"/>
      <c r="E415" s="279" t="str">
        <f>Translations!$B$516</f>
        <v>calculation factor</v>
      </c>
      <c r="F415" s="280"/>
      <c r="G415" s="281"/>
      <c r="H415" s="50" t="str">
        <f>I408</f>
        <v>applied tier</v>
      </c>
      <c r="I415" s="51" t="str">
        <f>Translations!$B$664</f>
        <v>default or latest value</v>
      </c>
      <c r="J415" s="51" t="str">
        <f>Translations!$B$536</f>
        <v>Unit</v>
      </c>
      <c r="K415" s="51" t="str">
        <f>Translations!$B$537</f>
        <v>source ref</v>
      </c>
      <c r="L415" s="51" t="str">
        <f>Translations!$B$538</f>
        <v>analysis ref</v>
      </c>
      <c r="M415" s="51" t="str">
        <f>Translations!$B$665</f>
        <v>date of latest analysis</v>
      </c>
      <c r="N415" s="51" t="str">
        <f>Translations!$B$540</f>
        <v>Analysis frequency</v>
      </c>
      <c r="O415" s="417"/>
      <c r="P415" s="72"/>
      <c r="Q415" s="72"/>
      <c r="R415" s="72"/>
      <c r="S415" s="52" t="s">
        <v>384</v>
      </c>
      <c r="T415" s="72"/>
      <c r="U415" s="72"/>
      <c r="V415" s="72"/>
      <c r="W415" s="72"/>
      <c r="X415" s="417"/>
      <c r="Y415" s="417"/>
      <c r="Z415" s="417"/>
      <c r="AA415" s="417"/>
      <c r="AB415" s="417"/>
    </row>
    <row r="416" spans="1:28" outlineLevel="1" x14ac:dyDescent="0.2">
      <c r="A416" s="72"/>
      <c r="B416" s="417"/>
      <c r="C416" s="417"/>
      <c r="D416" s="46" t="s">
        <v>1030</v>
      </c>
      <c r="E416" s="282" t="str">
        <f>E409</f>
        <v>SEF(CF4) Slope emission factor</v>
      </c>
      <c r="F416" s="283"/>
      <c r="G416" s="284"/>
      <c r="H416" s="268" t="str">
        <f>IF(OR(ISBLANK(I409),I409=EUconst_NA),"",I409)</f>
        <v/>
      </c>
      <c r="I416" s="197"/>
      <c r="J416" s="197"/>
      <c r="K416" s="270"/>
      <c r="L416" s="271"/>
      <c r="M416" s="271"/>
      <c r="N416" s="272"/>
      <c r="O416" s="417"/>
      <c r="P416" s="72"/>
      <c r="Q416" s="92" t="str">
        <f>Q409</f>
        <v>EF_</v>
      </c>
      <c r="R416" s="72"/>
      <c r="S416" s="63" t="str">
        <f>IF(H416="","",IF(I409=EUconst_NA,"",INDEX(EUwideConstants!$AL:$AP,MATCH(Q409,EUwideConstants!$S:$S,0),MATCH(I409,CNTR_TierList,0))))</f>
        <v/>
      </c>
      <c r="T416" s="72"/>
      <c r="U416" s="285" t="str">
        <f>U411</f>
        <v/>
      </c>
      <c r="V416" s="285">
        <v>1</v>
      </c>
      <c r="W416" s="92" t="b">
        <f>IF($L$6=EUconst_NotRelevant,TRUE,IF(V416&gt;0,(V416&lt;&gt;U416),IF(U416="",TRUE,FALSE)))</f>
        <v>1</v>
      </c>
      <c r="X416" s="417"/>
      <c r="Y416" s="417"/>
      <c r="Z416" s="417"/>
      <c r="AA416" s="417"/>
      <c r="AB416" s="417"/>
    </row>
    <row r="417" spans="1:28" outlineLevel="1" x14ac:dyDescent="0.2">
      <c r="A417" s="72"/>
      <c r="B417" s="417"/>
      <c r="C417" s="417"/>
      <c r="D417" s="46" t="s">
        <v>1031</v>
      </c>
      <c r="E417" s="282" t="str">
        <f>E410</f>
        <v>OVC (Overvoltage coefficient)</v>
      </c>
      <c r="F417" s="283"/>
      <c r="G417" s="284"/>
      <c r="H417" s="268" t="str">
        <f>IF(OR(ISBLANK(I410),I410=EUconst_NA),"",I410)</f>
        <v/>
      </c>
      <c r="I417" s="197"/>
      <c r="J417" s="197"/>
      <c r="K417" s="270"/>
      <c r="L417" s="271"/>
      <c r="M417" s="271"/>
      <c r="N417" s="272"/>
      <c r="O417" s="417"/>
      <c r="P417" s="72"/>
      <c r="Q417" s="92" t="str">
        <f>Q410</f>
        <v>EF_</v>
      </c>
      <c r="R417" s="72"/>
      <c r="S417" s="63" t="str">
        <f>IF(H417="","",IF(I410=EUconst_NA,"",INDEX(EUwideConstants!$AL:$AP,MATCH(Q410,EUwideConstants!$S:$S,0),MATCH(I410,CNTR_TierList,0))))</f>
        <v/>
      </c>
      <c r="T417" s="72"/>
      <c r="U417" s="285" t="str">
        <f>U416</f>
        <v/>
      </c>
      <c r="V417" s="285">
        <v>2</v>
      </c>
      <c r="W417" s="92" t="b">
        <f>IF($L$6=EUconst_NotRelevant,TRUE,IF(V417&gt;0,(V417&lt;&gt;U417),IF(U417="",TRUE,FALSE)))</f>
        <v>1</v>
      </c>
      <c r="X417" s="417"/>
      <c r="Y417" s="417"/>
      <c r="Z417" s="417"/>
      <c r="AA417" s="417"/>
      <c r="AB417" s="417"/>
    </row>
    <row r="418" spans="1:28" outlineLevel="1" x14ac:dyDescent="0.2">
      <c r="A418" s="72"/>
      <c r="B418" s="417"/>
      <c r="C418" s="417"/>
      <c r="D418" s="46" t="s">
        <v>1468</v>
      </c>
      <c r="E418" s="282" t="str">
        <f>E411</f>
        <v>F(C2F6) Weight fraction of C2F6</v>
      </c>
      <c r="F418" s="283"/>
      <c r="G418" s="284"/>
      <c r="H418" s="268" t="str">
        <f>IF(OR(ISBLANK(I411),I411=EUconst_NA),"",I411)</f>
        <v/>
      </c>
      <c r="I418" s="197"/>
      <c r="J418" s="197"/>
      <c r="K418" s="270"/>
      <c r="L418" s="271"/>
      <c r="M418" s="271"/>
      <c r="N418" s="272"/>
      <c r="O418" s="417"/>
      <c r="P418" s="72"/>
      <c r="Q418" s="92" t="str">
        <f>Q411</f>
        <v>EF_</v>
      </c>
      <c r="R418" s="72"/>
      <c r="S418" s="63" t="str">
        <f>IF(H418="","",IF(I411=EUconst_NA,"",INDEX(EUwideConstants!$AL:$AP,MATCH(Q411,EUwideConstants!$S:$S,0),MATCH(I411,CNTR_TierList,0))))</f>
        <v/>
      </c>
      <c r="T418" s="72"/>
      <c r="U418" s="285" t="str">
        <f>U417</f>
        <v/>
      </c>
      <c r="V418" s="285">
        <v>0</v>
      </c>
      <c r="W418" s="92" t="b">
        <f>IF($L$6=EUconst_NotRelevant,TRUE,IF(V418&gt;0,(V418&lt;&gt;U418),IF(U418="",TRUE,FALSE)))</f>
        <v>1</v>
      </c>
      <c r="X418" s="417"/>
      <c r="Y418" s="417"/>
      <c r="Z418" s="417"/>
      <c r="AA418" s="417"/>
      <c r="AB418" s="417"/>
    </row>
    <row r="419" spans="1:28" outlineLevel="1" x14ac:dyDescent="0.2">
      <c r="A419" s="72"/>
      <c r="B419" s="417"/>
      <c r="C419" s="417"/>
      <c r="D419" s="417"/>
      <c r="E419" s="411"/>
      <c r="F419" s="411"/>
      <c r="G419" s="411"/>
      <c r="H419" s="411"/>
      <c r="I419" s="411"/>
      <c r="J419" s="411"/>
      <c r="K419" s="411"/>
      <c r="L419" s="417"/>
      <c r="M419" s="417"/>
      <c r="N419" s="417"/>
      <c r="O419" s="417"/>
      <c r="P419" s="72"/>
      <c r="Q419" s="72"/>
      <c r="R419" s="72"/>
      <c r="S419" s="72"/>
      <c r="T419" s="72"/>
      <c r="U419" s="72"/>
      <c r="V419" s="72"/>
      <c r="W419" s="72"/>
      <c r="X419" s="417"/>
      <c r="Y419" s="417"/>
      <c r="Z419" s="417"/>
      <c r="AA419" s="417"/>
      <c r="AB419" s="417"/>
    </row>
    <row r="420" spans="1:28" ht="15" customHeight="1" outlineLevel="1" x14ac:dyDescent="0.2">
      <c r="A420" s="72"/>
      <c r="B420" s="417"/>
      <c r="C420" s="417"/>
      <c r="D420" s="1040" t="str">
        <f>Translations!$B$666</f>
        <v>Collection efficiency for accounting for fugitive emissions</v>
      </c>
      <c r="E420" s="1040"/>
      <c r="F420" s="1040"/>
      <c r="G420" s="1040"/>
      <c r="H420" s="1040"/>
      <c r="I420" s="1040"/>
      <c r="J420" s="1040"/>
      <c r="K420" s="1040"/>
      <c r="L420" s="1040"/>
      <c r="M420" s="1040"/>
      <c r="N420" s="1040"/>
      <c r="O420" s="417"/>
      <c r="P420" s="72"/>
      <c r="Q420" s="72"/>
      <c r="R420" s="72"/>
      <c r="S420" s="72"/>
      <c r="T420" s="72"/>
      <c r="U420" s="72"/>
      <c r="V420" s="72"/>
      <c r="W420" s="72"/>
      <c r="X420" s="417"/>
      <c r="Y420" s="417"/>
      <c r="Z420" s="417"/>
      <c r="AA420" s="417"/>
      <c r="AB420" s="417"/>
    </row>
    <row r="421" spans="1:28" ht="15" outlineLevel="1" x14ac:dyDescent="0.2">
      <c r="A421" s="72"/>
      <c r="B421" s="417"/>
      <c r="C421" s="417"/>
      <c r="D421" s="307" t="s">
        <v>851</v>
      </c>
      <c r="E421" s="337" t="str">
        <f>Translations!$B$667</f>
        <v>Determination of the collection efficiency</v>
      </c>
      <c r="F421" s="257"/>
      <c r="G421" s="257"/>
      <c r="H421" s="411"/>
      <c r="I421" s="411"/>
      <c r="J421" s="411"/>
      <c r="K421" s="411"/>
      <c r="L421" s="417"/>
      <c r="M421" s="417"/>
      <c r="N421" s="417"/>
      <c r="O421" s="417"/>
      <c r="P421" s="72"/>
      <c r="Q421" s="72"/>
      <c r="R421" s="72"/>
      <c r="S421" s="72"/>
      <c r="T421" s="72"/>
      <c r="U421" s="72"/>
      <c r="V421" s="72"/>
      <c r="W421" s="72"/>
      <c r="X421" s="417"/>
      <c r="Y421" s="417"/>
      <c r="Z421" s="417"/>
      <c r="AA421" s="417"/>
      <c r="AB421" s="417"/>
    </row>
    <row r="422" spans="1:28" ht="5.0999999999999996" customHeight="1" outlineLevel="1" x14ac:dyDescent="0.2">
      <c r="A422" s="72"/>
      <c r="B422" s="417"/>
      <c r="C422" s="417"/>
      <c r="D422" s="417"/>
      <c r="E422" s="411"/>
      <c r="F422" s="411"/>
      <c r="G422" s="411"/>
      <c r="H422" s="411"/>
      <c r="I422" s="411"/>
      <c r="J422" s="411"/>
      <c r="K422" s="411"/>
      <c r="L422" s="417"/>
      <c r="M422" s="417"/>
      <c r="N422" s="417"/>
      <c r="O422" s="417"/>
      <c r="P422" s="72"/>
      <c r="Q422" s="72"/>
      <c r="R422" s="72"/>
      <c r="S422" s="72"/>
      <c r="T422" s="72"/>
      <c r="U422" s="72"/>
      <c r="V422" s="72"/>
      <c r="W422" s="72"/>
      <c r="X422" s="417"/>
      <c r="Y422" s="417"/>
      <c r="Z422" s="417"/>
      <c r="AA422" s="417"/>
      <c r="AB422" s="417"/>
    </row>
    <row r="423" spans="1:28" ht="25.5" outlineLevel="1" x14ac:dyDescent="0.2">
      <c r="A423" s="72"/>
      <c r="B423" s="417"/>
      <c r="C423" s="417"/>
      <c r="D423" s="417"/>
      <c r="E423" s="279"/>
      <c r="F423" s="280"/>
      <c r="G423" s="281"/>
      <c r="H423" s="50"/>
      <c r="I423" s="51" t="str">
        <f>Translations!$B$664</f>
        <v>default or latest value</v>
      </c>
      <c r="J423" s="51" t="str">
        <f>Translations!$B$536</f>
        <v>Unit</v>
      </c>
      <c r="K423" s="51" t="str">
        <f>Translations!$B$537</f>
        <v>source ref</v>
      </c>
      <c r="L423" s="51" t="str">
        <f>Translations!$B$538</f>
        <v>analysis ref</v>
      </c>
      <c r="M423" s="51" t="str">
        <f>Translations!$B$665</f>
        <v>date of latest analysis</v>
      </c>
      <c r="N423" s="51" t="str">
        <f>Translations!$B$540</f>
        <v>Analysis frequency</v>
      </c>
      <c r="O423" s="417"/>
      <c r="P423" s="72"/>
      <c r="Q423" s="72"/>
      <c r="R423" s="72"/>
      <c r="S423" s="72"/>
      <c r="T423" s="72"/>
      <c r="U423" s="72"/>
      <c r="V423" s="72"/>
      <c r="W423" s="72"/>
      <c r="X423" s="417"/>
      <c r="Y423" s="417"/>
      <c r="Z423" s="417"/>
      <c r="AA423" s="417"/>
      <c r="AB423" s="417"/>
    </row>
    <row r="424" spans="1:28" outlineLevel="1" x14ac:dyDescent="0.2">
      <c r="A424" s="72"/>
      <c r="B424" s="417"/>
      <c r="C424" s="417"/>
      <c r="D424" s="417"/>
      <c r="E424" s="282" t="str">
        <f>Translations!$B$668</f>
        <v>Collection efficiency</v>
      </c>
      <c r="F424" s="283"/>
      <c r="G424" s="284"/>
      <c r="H424" s="50"/>
      <c r="I424" s="197"/>
      <c r="J424" s="197"/>
      <c r="K424" s="270"/>
      <c r="L424" s="271"/>
      <c r="M424" s="271"/>
      <c r="N424" s="272"/>
      <c r="O424" s="417"/>
      <c r="P424" s="72"/>
      <c r="Q424" s="72"/>
      <c r="R424" s="72"/>
      <c r="S424" s="72"/>
      <c r="T424" s="72"/>
      <c r="U424" s="285" t="str">
        <f>U418</f>
        <v/>
      </c>
      <c r="V424" s="285">
        <v>0</v>
      </c>
      <c r="W424" s="92" t="b">
        <f>IF($L$6=EUconst_NotRelevant,TRUE,IF(V424&gt;0,(V424&lt;&gt;U424),IF(U424="",TRUE,FALSE)))</f>
        <v>1</v>
      </c>
      <c r="X424" s="417"/>
      <c r="Y424" s="417"/>
      <c r="Z424" s="417"/>
      <c r="AA424" s="417"/>
      <c r="AB424" s="417"/>
    </row>
    <row r="425" spans="1:28" outlineLevel="1" x14ac:dyDescent="0.2">
      <c r="A425" s="72"/>
      <c r="B425" s="417"/>
      <c r="C425" s="417"/>
      <c r="D425" s="411"/>
      <c r="E425" s="411"/>
      <c r="F425" s="411"/>
      <c r="G425" s="411"/>
      <c r="H425" s="411"/>
      <c r="I425" s="411"/>
      <c r="J425" s="411"/>
      <c r="K425" s="417"/>
      <c r="L425" s="417"/>
      <c r="M425" s="417"/>
      <c r="N425" s="417"/>
      <c r="O425" s="417"/>
      <c r="P425" s="72"/>
      <c r="Q425" s="72"/>
      <c r="R425" s="72"/>
      <c r="S425" s="72"/>
      <c r="T425" s="72"/>
      <c r="U425" s="15"/>
      <c r="V425" s="15"/>
      <c r="W425" s="15"/>
      <c r="X425" s="417"/>
      <c r="Y425" s="417"/>
      <c r="Z425" s="417"/>
      <c r="AA425" s="417"/>
      <c r="AB425" s="417"/>
    </row>
    <row r="426" spans="1:28" ht="15" outlineLevel="1" x14ac:dyDescent="0.2">
      <c r="A426" s="72"/>
      <c r="B426" s="417"/>
      <c r="C426" s="417"/>
      <c r="D426" s="1040" t="str">
        <f>Translations!$B$44</f>
        <v>Comments</v>
      </c>
      <c r="E426" s="1040"/>
      <c r="F426" s="1040"/>
      <c r="G426" s="1040"/>
      <c r="H426" s="1040"/>
      <c r="I426" s="1040"/>
      <c r="J426" s="1040"/>
      <c r="K426" s="1040"/>
      <c r="L426" s="1040"/>
      <c r="M426" s="1040"/>
      <c r="N426" s="1040"/>
      <c r="O426" s="417"/>
      <c r="P426" s="72"/>
      <c r="Q426" s="72"/>
      <c r="R426" s="72"/>
      <c r="S426" s="72"/>
      <c r="T426" s="72"/>
      <c r="U426" s="15"/>
      <c r="V426" s="15"/>
      <c r="W426" s="15"/>
      <c r="X426" s="417"/>
      <c r="Y426" s="417"/>
      <c r="Z426" s="417"/>
      <c r="AA426" s="417"/>
      <c r="AB426" s="417"/>
    </row>
    <row r="427" spans="1:28" s="11" customFormat="1" ht="12.75" customHeight="1" outlineLevel="1" x14ac:dyDescent="0.2">
      <c r="A427" s="15"/>
      <c r="D427" s="13" t="s">
        <v>853</v>
      </c>
      <c r="E427" s="924" t="str">
        <f>Translations!$B$546</f>
        <v>Comments:</v>
      </c>
      <c r="F427" s="924"/>
      <c r="G427" s="924"/>
      <c r="H427" s="924"/>
      <c r="I427" s="924"/>
      <c r="J427" s="924"/>
      <c r="K427" s="924"/>
      <c r="L427" s="924"/>
      <c r="M427" s="924"/>
      <c r="N427" s="924"/>
      <c r="O427" s="417"/>
      <c r="P427" s="15"/>
      <c r="Q427" s="15"/>
      <c r="R427" s="15"/>
      <c r="S427" s="15"/>
      <c r="T427" s="15"/>
      <c r="U427" s="15"/>
      <c r="V427" s="15"/>
      <c r="W427" s="15"/>
    </row>
    <row r="428" spans="1:28" s="11" customFormat="1" ht="5.0999999999999996" customHeight="1" outlineLevel="1" x14ac:dyDescent="0.2">
      <c r="A428" s="15"/>
      <c r="D428" s="13"/>
      <c r="E428" s="273"/>
      <c r="O428" s="417"/>
      <c r="P428" s="15"/>
      <c r="Q428" s="15"/>
      <c r="R428" s="15"/>
      <c r="S428" s="15"/>
      <c r="T428" s="15"/>
      <c r="U428" s="15"/>
      <c r="V428" s="15"/>
      <c r="W428" s="15"/>
    </row>
    <row r="429" spans="1:28" s="11" customFormat="1" ht="12.75" customHeight="1" outlineLevel="1" x14ac:dyDescent="0.2">
      <c r="A429" s="15"/>
      <c r="D429" s="13"/>
      <c r="E429" s="1164"/>
      <c r="F429" s="1165"/>
      <c r="G429" s="1165"/>
      <c r="H429" s="1165"/>
      <c r="I429" s="1165"/>
      <c r="J429" s="1165"/>
      <c r="K429" s="1165"/>
      <c r="L429" s="1165"/>
      <c r="M429" s="1165"/>
      <c r="N429" s="1166"/>
      <c r="O429" s="417"/>
      <c r="P429" s="15"/>
      <c r="Q429" s="15"/>
      <c r="R429" s="15"/>
      <c r="S429" s="15"/>
      <c r="T429" s="15"/>
      <c r="U429" s="285" t="str">
        <f>U424</f>
        <v/>
      </c>
      <c r="V429" s="285">
        <v>0</v>
      </c>
      <c r="W429" s="92" t="b">
        <f>IF($L$6=EUconst_NotRelevant,TRUE,IF(V429&gt;0,(V429&lt;&gt;U429),IF(U429="",TRUE,FALSE)))</f>
        <v>1</v>
      </c>
    </row>
    <row r="430" spans="1:28" s="11" customFormat="1" ht="12.75" customHeight="1" outlineLevel="1" x14ac:dyDescent="0.2">
      <c r="A430" s="15"/>
      <c r="D430" s="13"/>
      <c r="E430" s="1170"/>
      <c r="F430" s="1171"/>
      <c r="G430" s="1171"/>
      <c r="H430" s="1171"/>
      <c r="I430" s="1171"/>
      <c r="J430" s="1171"/>
      <c r="K430" s="1171"/>
      <c r="L430" s="1171"/>
      <c r="M430" s="1171"/>
      <c r="N430" s="1172"/>
      <c r="O430" s="417"/>
      <c r="P430" s="15"/>
      <c r="Q430" s="15"/>
      <c r="R430" s="15"/>
      <c r="S430" s="15"/>
      <c r="T430" s="15"/>
      <c r="U430" s="285" t="str">
        <f>U429</f>
        <v/>
      </c>
      <c r="V430" s="285">
        <v>0</v>
      </c>
      <c r="W430" s="92" t="b">
        <f>IF($L$6=EUconst_NotRelevant,TRUE,IF(V430&gt;0,(V430&lt;&gt;U430),IF(U430="",TRUE,FALSE)))</f>
        <v>1</v>
      </c>
    </row>
    <row r="431" spans="1:28" s="11" customFormat="1" ht="12.75" customHeight="1" outlineLevel="1" x14ac:dyDescent="0.2">
      <c r="A431" s="15"/>
      <c r="D431" s="13"/>
      <c r="E431" s="1167"/>
      <c r="F431" s="1168"/>
      <c r="G431" s="1168"/>
      <c r="H431" s="1168"/>
      <c r="I431" s="1168"/>
      <c r="J431" s="1168"/>
      <c r="K431" s="1168"/>
      <c r="L431" s="1168"/>
      <c r="M431" s="1168"/>
      <c r="N431" s="1169"/>
      <c r="O431" s="417"/>
      <c r="P431" s="15"/>
      <c r="Q431" s="15"/>
      <c r="R431" s="15"/>
      <c r="S431" s="15"/>
      <c r="T431" s="15"/>
      <c r="U431" s="285" t="str">
        <f>U430</f>
        <v/>
      </c>
      <c r="V431" s="285">
        <v>0</v>
      </c>
      <c r="W431" s="92" t="b">
        <f>IF($L$6=EUconst_NotRelevant,TRUE,IF(V431&gt;0,(V431&lt;&gt;U431),IF(U431="",TRUE,FALSE)))</f>
        <v>1</v>
      </c>
    </row>
    <row r="432" spans="1:28" s="11" customFormat="1" outlineLevel="1" x14ac:dyDescent="0.2">
      <c r="A432" s="15"/>
      <c r="D432" s="13"/>
      <c r="O432" s="417"/>
      <c r="P432" s="15"/>
      <c r="Q432" s="15"/>
      <c r="R432" s="15"/>
      <c r="S432" s="15"/>
      <c r="T432" s="15"/>
      <c r="U432" s="15"/>
      <c r="V432" s="15"/>
      <c r="W432" s="15"/>
    </row>
    <row r="433" spans="1:28" s="11" customFormat="1" ht="12.75" customHeight="1" outlineLevel="1" x14ac:dyDescent="0.2">
      <c r="A433" s="15"/>
      <c r="D433" s="13" t="s">
        <v>854</v>
      </c>
      <c r="E433" s="924" t="str">
        <f>Translations!$B$548</f>
        <v>Justification if required tiers are not applied:</v>
      </c>
      <c r="F433" s="924"/>
      <c r="G433" s="924"/>
      <c r="H433" s="924"/>
      <c r="I433" s="924"/>
      <c r="J433" s="924"/>
      <c r="K433" s="924"/>
      <c r="L433" s="924"/>
      <c r="M433" s="924"/>
      <c r="N433" s="924"/>
      <c r="O433" s="417"/>
      <c r="P433" s="15"/>
      <c r="Q433" s="15"/>
      <c r="R433" s="15"/>
      <c r="S433" s="15"/>
      <c r="T433" s="15"/>
      <c r="U433" s="15"/>
      <c r="V433" s="15"/>
      <c r="W433" s="15"/>
    </row>
    <row r="434" spans="1:28" ht="5.0999999999999996" customHeight="1" outlineLevel="1" x14ac:dyDescent="0.2">
      <c r="A434" s="72"/>
      <c r="E434" s="67"/>
      <c r="F434" s="67"/>
      <c r="G434" s="67"/>
      <c r="H434" s="67"/>
      <c r="I434" s="67"/>
      <c r="J434" s="67"/>
      <c r="K434" s="67"/>
      <c r="L434" s="67"/>
      <c r="M434" s="67"/>
      <c r="N434" s="113"/>
      <c r="O434" s="417"/>
      <c r="P434" s="114"/>
      <c r="Q434" s="72"/>
      <c r="R434" s="72"/>
      <c r="S434" s="72"/>
      <c r="T434" s="72"/>
      <c r="U434" s="72"/>
      <c r="V434" s="72"/>
      <c r="W434" s="72"/>
    </row>
    <row r="435" spans="1:28" s="11" customFormat="1" ht="12.75" customHeight="1" outlineLevel="1" x14ac:dyDescent="0.2">
      <c r="A435" s="15"/>
      <c r="D435" s="13"/>
      <c r="E435" s="1164"/>
      <c r="F435" s="1165"/>
      <c r="G435" s="1165"/>
      <c r="H435" s="1165"/>
      <c r="I435" s="1165"/>
      <c r="J435" s="1165"/>
      <c r="K435" s="1165"/>
      <c r="L435" s="1165"/>
      <c r="M435" s="1165"/>
      <c r="N435" s="1166"/>
      <c r="O435" s="417"/>
      <c r="P435" s="15"/>
      <c r="Q435" s="15"/>
      <c r="R435" s="15"/>
      <c r="S435" s="15"/>
      <c r="T435" s="15"/>
      <c r="U435" s="285" t="str">
        <f>U431</f>
        <v/>
      </c>
      <c r="V435" s="285">
        <v>0</v>
      </c>
      <c r="W435" s="92" t="b">
        <f>IF($L$6=EUconst_NotRelevant,TRUE,IF(V435&gt;0,(V435&lt;&gt;U435),IF(U435="",TRUE,FALSE)))</f>
        <v>1</v>
      </c>
    </row>
    <row r="436" spans="1:28" s="11" customFormat="1" ht="12.75" customHeight="1" outlineLevel="1" x14ac:dyDescent="0.2">
      <c r="A436" s="15"/>
      <c r="D436" s="13"/>
      <c r="E436" s="1170"/>
      <c r="F436" s="1171"/>
      <c r="G436" s="1171"/>
      <c r="H436" s="1171"/>
      <c r="I436" s="1171"/>
      <c r="J436" s="1171"/>
      <c r="K436" s="1171"/>
      <c r="L436" s="1171"/>
      <c r="M436" s="1171"/>
      <c r="N436" s="1172"/>
      <c r="O436" s="417"/>
      <c r="P436" s="15"/>
      <c r="Q436" s="15"/>
      <c r="R436" s="15"/>
      <c r="S436" s="15"/>
      <c r="T436" s="15"/>
      <c r="U436" s="285" t="str">
        <f>U435</f>
        <v/>
      </c>
      <c r="V436" s="285">
        <v>0</v>
      </c>
      <c r="W436" s="92" t="b">
        <f>IF($L$6=EUconst_NotRelevant,TRUE,IF(V436&gt;0,(V436&lt;&gt;U436),IF(U436="",TRUE,FALSE)))</f>
        <v>1</v>
      </c>
    </row>
    <row r="437" spans="1:28" s="11" customFormat="1" ht="12.75" customHeight="1" outlineLevel="1" x14ac:dyDescent="0.2">
      <c r="A437" s="15"/>
      <c r="D437" s="13"/>
      <c r="E437" s="1167"/>
      <c r="F437" s="1168"/>
      <c r="G437" s="1168"/>
      <c r="H437" s="1168"/>
      <c r="I437" s="1168"/>
      <c r="J437" s="1168"/>
      <c r="K437" s="1168"/>
      <c r="L437" s="1168"/>
      <c r="M437" s="1168"/>
      <c r="N437" s="1169"/>
      <c r="O437" s="417"/>
      <c r="P437" s="15"/>
      <c r="Q437" s="15"/>
      <c r="R437" s="15"/>
      <c r="S437" s="15"/>
      <c r="T437" s="15"/>
      <c r="U437" s="285" t="str">
        <f>U436</f>
        <v/>
      </c>
      <c r="V437" s="285">
        <v>0</v>
      </c>
      <c r="W437" s="92" t="b">
        <f>IF($L$6=EUconst_NotRelevant,TRUE,IF(V437&gt;0,(V437&lt;&gt;U437),IF(U437="",TRUE,FALSE)))</f>
        <v>1</v>
      </c>
    </row>
    <row r="438" spans="1:28" ht="12.75" customHeight="1" thickBot="1" x14ac:dyDescent="0.25">
      <c r="A438" s="17"/>
      <c r="B438" s="11"/>
      <c r="C438" s="54"/>
      <c r="D438" s="55"/>
      <c r="E438" s="56"/>
      <c r="F438" s="54"/>
      <c r="G438" s="57"/>
      <c r="H438" s="57"/>
      <c r="I438" s="57"/>
      <c r="J438" s="57"/>
      <c r="K438" s="57"/>
      <c r="L438" s="57"/>
      <c r="M438" s="57"/>
      <c r="N438" s="57"/>
      <c r="O438" s="417"/>
      <c r="P438" s="15"/>
      <c r="Q438" s="72"/>
      <c r="R438" s="72"/>
      <c r="S438" s="75"/>
      <c r="T438" s="72"/>
      <c r="U438" s="72"/>
      <c r="V438" s="72"/>
      <c r="W438" s="72"/>
    </row>
    <row r="439" spans="1:28" x14ac:dyDescent="0.2">
      <c r="A439" s="72" t="s">
        <v>118</v>
      </c>
      <c r="B439" s="417"/>
      <c r="C439" s="417"/>
      <c r="D439" s="411"/>
      <c r="E439" s="411"/>
      <c r="F439" s="411"/>
      <c r="G439" s="411"/>
      <c r="H439" s="411"/>
      <c r="I439" s="411"/>
      <c r="J439" s="411"/>
      <c r="K439" s="417"/>
      <c r="L439" s="417"/>
      <c r="M439" s="417"/>
      <c r="N439" s="417"/>
      <c r="O439" s="417"/>
      <c r="P439" s="72"/>
      <c r="Q439" s="72"/>
      <c r="R439" s="72"/>
      <c r="S439" s="72"/>
      <c r="T439" s="72"/>
      <c r="U439" s="72"/>
      <c r="V439" s="72"/>
      <c r="W439" s="72"/>
      <c r="X439" s="417"/>
      <c r="Y439" s="417"/>
      <c r="Z439" s="417"/>
      <c r="AA439" s="417"/>
      <c r="AB439" s="417"/>
    </row>
    <row r="440" spans="1:28" x14ac:dyDescent="0.2">
      <c r="A440" s="72"/>
      <c r="B440" s="417"/>
      <c r="C440" s="417"/>
      <c r="D440" s="411"/>
      <c r="E440" s="411"/>
      <c r="F440" s="411"/>
      <c r="G440" s="411"/>
      <c r="H440" s="411"/>
      <c r="I440" s="411"/>
      <c r="J440" s="411"/>
      <c r="K440" s="417"/>
      <c r="L440" s="417"/>
      <c r="M440" s="417"/>
      <c r="N440" s="417"/>
      <c r="O440" s="417"/>
      <c r="P440" s="72"/>
      <c r="Q440" s="72"/>
      <c r="R440" s="72"/>
      <c r="S440" s="72"/>
      <c r="T440" s="72"/>
      <c r="U440" s="72"/>
      <c r="V440" s="72"/>
      <c r="W440" s="72"/>
      <c r="X440" s="417"/>
      <c r="Y440" s="417"/>
      <c r="Z440" s="417"/>
      <c r="AA440" s="417"/>
      <c r="AB440" s="417"/>
    </row>
    <row r="441" spans="1:28" ht="15.75" x14ac:dyDescent="0.2">
      <c r="A441" s="72"/>
      <c r="B441" s="417"/>
      <c r="C441" s="53">
        <v>16</v>
      </c>
      <c r="D441" s="884" t="str">
        <f>Translations!$B$31</f>
        <v>Management and written procedures for PFC monitoring</v>
      </c>
      <c r="E441" s="884"/>
      <c r="F441" s="884"/>
      <c r="G441" s="884"/>
      <c r="H441" s="884"/>
      <c r="I441" s="884"/>
      <c r="J441" s="884"/>
      <c r="K441" s="884"/>
      <c r="L441" s="884"/>
      <c r="M441" s="884"/>
      <c r="N441" s="884"/>
      <c r="O441" s="417"/>
      <c r="P441" s="72"/>
      <c r="Q441" s="72"/>
      <c r="R441" s="72"/>
      <c r="S441" s="72"/>
      <c r="T441" s="72"/>
      <c r="U441" s="72"/>
      <c r="V441" s="72"/>
      <c r="W441" s="72"/>
      <c r="X441" s="417"/>
      <c r="Y441" s="417"/>
      <c r="Z441" s="417"/>
      <c r="AA441" s="417"/>
      <c r="AB441" s="417"/>
    </row>
    <row r="442" spans="1:28" x14ac:dyDescent="0.2">
      <c r="A442" s="72"/>
      <c r="B442" s="417"/>
      <c r="C442" s="417"/>
      <c r="D442" s="411"/>
      <c r="E442" s="411"/>
      <c r="F442" s="411"/>
      <c r="G442" s="411"/>
      <c r="H442" s="411"/>
      <c r="I442" s="411"/>
      <c r="J442" s="411"/>
      <c r="K442" s="417"/>
      <c r="L442" s="417"/>
      <c r="M442" s="417"/>
      <c r="N442" s="417"/>
      <c r="O442" s="417"/>
      <c r="P442" s="72"/>
      <c r="Q442" s="72"/>
      <c r="R442" s="72"/>
      <c r="S442" s="72"/>
      <c r="T442" s="72"/>
      <c r="U442" s="72"/>
      <c r="V442" s="72"/>
      <c r="W442" s="72"/>
      <c r="X442" s="417"/>
      <c r="Y442" s="417"/>
      <c r="Z442" s="417"/>
      <c r="AA442" s="417"/>
      <c r="AB442" s="417"/>
    </row>
    <row r="443" spans="1:28" ht="25.5" customHeight="1" x14ac:dyDescent="0.2">
      <c r="A443" s="72"/>
      <c r="B443" s="417"/>
      <c r="C443" s="417"/>
      <c r="D443" s="13" t="s">
        <v>1018</v>
      </c>
      <c r="E443" s="924" t="str">
        <f>Translations!$B$670</f>
        <v>Where a tier 2 emission factor is applied, please provide details about the written procedure setting out the schedule for repetitions of the measurements to be carried out in accordance with Section 8 of Annex IV of the MRR (emission factors and collection efficiency).</v>
      </c>
      <c r="F443" s="924"/>
      <c r="G443" s="924"/>
      <c r="H443" s="924"/>
      <c r="I443" s="924"/>
      <c r="J443" s="924"/>
      <c r="K443" s="924"/>
      <c r="L443" s="924"/>
      <c r="M443" s="924"/>
      <c r="N443" s="924"/>
      <c r="O443" s="417"/>
      <c r="P443" s="72"/>
      <c r="Q443" s="72"/>
      <c r="R443" s="72"/>
      <c r="S443" s="72"/>
      <c r="T443" s="72"/>
      <c r="U443" s="72"/>
      <c r="V443" s="72"/>
      <c r="W443" s="72"/>
      <c r="X443" s="417"/>
      <c r="Y443" s="417"/>
      <c r="Z443" s="417"/>
      <c r="AA443" s="417"/>
      <c r="AB443" s="417"/>
    </row>
    <row r="444" spans="1:28" ht="4.9000000000000004" customHeight="1" x14ac:dyDescent="0.2">
      <c r="A444" s="72"/>
      <c r="B444" s="417"/>
      <c r="C444" s="417"/>
      <c r="D444" s="417"/>
      <c r="E444" s="411"/>
      <c r="F444" s="411"/>
      <c r="G444" s="411"/>
      <c r="H444" s="411"/>
      <c r="I444" s="411"/>
      <c r="J444" s="411"/>
      <c r="K444" s="417"/>
      <c r="L444" s="417"/>
      <c r="M444" s="417"/>
      <c r="N444" s="417"/>
      <c r="O444" s="417"/>
      <c r="P444" s="72"/>
      <c r="Q444" s="72"/>
      <c r="R444" s="72"/>
      <c r="S444" s="72"/>
      <c r="T444" s="72"/>
      <c r="U444" s="72"/>
      <c r="V444" s="72"/>
      <c r="W444" s="72"/>
      <c r="X444" s="417"/>
      <c r="Y444" s="417"/>
      <c r="Z444" s="417"/>
      <c r="AA444" s="417"/>
      <c r="AB444" s="417"/>
    </row>
    <row r="445" spans="1:28" ht="12.75" customHeight="1" x14ac:dyDescent="0.2">
      <c r="A445" s="72"/>
      <c r="B445" s="417"/>
      <c r="C445" s="417"/>
      <c r="D445" s="417"/>
      <c r="E445" s="950" t="str">
        <f>Translations!$B$405</f>
        <v>Title of procedure</v>
      </c>
      <c r="F445" s="951"/>
      <c r="G445" s="902"/>
      <c r="H445" s="851"/>
      <c r="I445" s="851"/>
      <c r="J445" s="851"/>
      <c r="K445" s="851"/>
      <c r="L445" s="851"/>
      <c r="M445" s="851"/>
      <c r="N445" s="852"/>
      <c r="O445" s="417"/>
      <c r="P445" s="72"/>
      <c r="Q445" s="72"/>
      <c r="R445" s="72"/>
      <c r="S445" s="72"/>
      <c r="T445" s="72"/>
      <c r="U445" s="72"/>
      <c r="V445" s="72"/>
      <c r="W445" s="72"/>
      <c r="X445" s="417"/>
      <c r="Y445" s="417"/>
      <c r="Z445" s="417"/>
      <c r="AA445" s="417"/>
      <c r="AB445" s="417"/>
    </row>
    <row r="446" spans="1:28" ht="12.75" customHeight="1" x14ac:dyDescent="0.2">
      <c r="A446" s="72"/>
      <c r="B446" s="417"/>
      <c r="C446" s="417"/>
      <c r="D446" s="417"/>
      <c r="E446" s="950" t="str">
        <f>Translations!$B$407</f>
        <v>Reference for procedure</v>
      </c>
      <c r="F446" s="951"/>
      <c r="G446" s="902"/>
      <c r="H446" s="851"/>
      <c r="I446" s="851"/>
      <c r="J446" s="851"/>
      <c r="K446" s="851"/>
      <c r="L446" s="851"/>
      <c r="M446" s="851"/>
      <c r="N446" s="852"/>
      <c r="O446" s="417"/>
      <c r="P446" s="72"/>
      <c r="Q446" s="72"/>
      <c r="R446" s="72"/>
      <c r="S446" s="72"/>
      <c r="T446" s="72"/>
      <c r="U446" s="72"/>
      <c r="V446" s="72"/>
      <c r="W446" s="72"/>
      <c r="X446" s="417"/>
      <c r="Y446" s="417"/>
      <c r="Z446" s="417"/>
      <c r="AA446" s="417"/>
      <c r="AB446" s="417"/>
    </row>
    <row r="447" spans="1:28" ht="12.75" customHeight="1" x14ac:dyDescent="0.2">
      <c r="A447" s="72"/>
      <c r="B447" s="417"/>
      <c r="C447" s="417"/>
      <c r="D447" s="417"/>
      <c r="E447" s="950" t="str">
        <f>Translations!$B$409</f>
        <v>Diagram reference (where applicable)</v>
      </c>
      <c r="F447" s="951"/>
      <c r="G447" s="902"/>
      <c r="H447" s="851"/>
      <c r="I447" s="851"/>
      <c r="J447" s="851"/>
      <c r="K447" s="851"/>
      <c r="L447" s="851"/>
      <c r="M447" s="851"/>
      <c r="N447" s="852"/>
      <c r="O447" s="417"/>
      <c r="P447" s="72"/>
      <c r="Q447" s="72"/>
      <c r="R447" s="72"/>
      <c r="S447" s="72"/>
      <c r="T447" s="72"/>
      <c r="U447" s="72"/>
      <c r="V447" s="72"/>
      <c r="W447" s="72"/>
      <c r="X447" s="417"/>
      <c r="Y447" s="417"/>
      <c r="Z447" s="417"/>
      <c r="AA447" s="417"/>
      <c r="AB447" s="417"/>
    </row>
    <row r="448" spans="1:28" ht="25.5" customHeight="1" x14ac:dyDescent="0.2">
      <c r="A448" s="72"/>
      <c r="B448" s="417"/>
      <c r="C448" s="417"/>
      <c r="D448" s="417"/>
      <c r="E448" s="952" t="str">
        <f>Translations!$B$411</f>
        <v xml:space="preserve">Brief description of procedure    </v>
      </c>
      <c r="F448" s="953"/>
      <c r="G448" s="954"/>
      <c r="H448" s="955"/>
      <c r="I448" s="955"/>
      <c r="J448" s="955"/>
      <c r="K448" s="955"/>
      <c r="L448" s="955"/>
      <c r="M448" s="955"/>
      <c r="N448" s="956"/>
      <c r="O448" s="417"/>
      <c r="P448" s="72"/>
      <c r="Q448" s="72"/>
      <c r="R448" s="72"/>
      <c r="S448" s="72"/>
      <c r="T448" s="72"/>
      <c r="U448" s="72"/>
      <c r="V448" s="72"/>
      <c r="W448" s="72"/>
      <c r="X448" s="417"/>
      <c r="Y448" s="417"/>
      <c r="Z448" s="417"/>
      <c r="AA448" s="417"/>
      <c r="AB448" s="417"/>
    </row>
    <row r="449" spans="1:28" ht="25.5" customHeight="1" x14ac:dyDescent="0.2">
      <c r="A449" s="72"/>
      <c r="B449" s="417"/>
      <c r="C449" s="417"/>
      <c r="D449" s="417"/>
      <c r="E449" s="590"/>
      <c r="F449" s="591"/>
      <c r="G449" s="957"/>
      <c r="H449" s="958"/>
      <c r="I449" s="958"/>
      <c r="J449" s="958"/>
      <c r="K449" s="958"/>
      <c r="L449" s="958"/>
      <c r="M449" s="958"/>
      <c r="N449" s="959"/>
      <c r="O449" s="417"/>
      <c r="P449" s="72"/>
      <c r="Q449" s="72"/>
      <c r="R449" s="72"/>
      <c r="S449" s="72"/>
      <c r="T449" s="72"/>
      <c r="U449" s="72"/>
      <c r="V449" s="72"/>
      <c r="W449" s="72"/>
      <c r="X449" s="417"/>
      <c r="Y449" s="417"/>
      <c r="Z449" s="417"/>
      <c r="AA449" s="417"/>
      <c r="AB449" s="417"/>
    </row>
    <row r="450" spans="1:28" ht="25.5" customHeight="1" x14ac:dyDescent="0.2">
      <c r="A450" s="72"/>
      <c r="B450" s="417"/>
      <c r="C450" s="417"/>
      <c r="D450" s="417"/>
      <c r="E450" s="592"/>
      <c r="F450" s="593"/>
      <c r="G450" s="960"/>
      <c r="H450" s="961"/>
      <c r="I450" s="961"/>
      <c r="J450" s="961"/>
      <c r="K450" s="961"/>
      <c r="L450" s="961"/>
      <c r="M450" s="961"/>
      <c r="N450" s="962"/>
      <c r="O450" s="417"/>
      <c r="P450" s="72"/>
      <c r="Q450" s="72"/>
      <c r="R450" s="72"/>
      <c r="S450" s="72"/>
      <c r="T450" s="72"/>
      <c r="U450" s="72"/>
      <c r="V450" s="72"/>
      <c r="W450" s="72"/>
      <c r="X450" s="417"/>
      <c r="Y450" s="417"/>
      <c r="Z450" s="417"/>
      <c r="AA450" s="417"/>
      <c r="AB450" s="417"/>
    </row>
    <row r="451" spans="1:28" ht="38.25" customHeight="1" x14ac:dyDescent="0.2">
      <c r="A451" s="72"/>
      <c r="B451" s="417"/>
      <c r="C451" s="417"/>
      <c r="D451" s="417"/>
      <c r="E451" s="950" t="str">
        <f>Translations!$B$414</f>
        <v>Post or department responsible for the procedure and for any data generated</v>
      </c>
      <c r="F451" s="951"/>
      <c r="G451" s="902"/>
      <c r="H451" s="903"/>
      <c r="I451" s="903"/>
      <c r="J451" s="903"/>
      <c r="K451" s="903"/>
      <c r="L451" s="903"/>
      <c r="M451" s="903"/>
      <c r="N451" s="904"/>
      <c r="O451" s="417"/>
      <c r="P451" s="72"/>
      <c r="Q451" s="72"/>
      <c r="R451" s="72"/>
      <c r="S451" s="72"/>
      <c r="T451" s="72"/>
      <c r="U451" s="72"/>
      <c r="V451" s="72"/>
      <c r="W451" s="72"/>
      <c r="X451" s="417"/>
      <c r="Y451" s="417"/>
      <c r="Z451" s="417"/>
      <c r="AA451" s="417"/>
      <c r="AB451" s="417"/>
    </row>
    <row r="452" spans="1:28" ht="12.75" customHeight="1" x14ac:dyDescent="0.2">
      <c r="A452" s="72"/>
      <c r="B452" s="417"/>
      <c r="C452" s="417"/>
      <c r="D452" s="417"/>
      <c r="E452" s="950" t="str">
        <f>Translations!$B$416</f>
        <v>Location where records are kept</v>
      </c>
      <c r="F452" s="951"/>
      <c r="G452" s="902"/>
      <c r="H452" s="851"/>
      <c r="I452" s="851"/>
      <c r="J452" s="851"/>
      <c r="K452" s="851"/>
      <c r="L452" s="851"/>
      <c r="M452" s="851"/>
      <c r="N452" s="852"/>
      <c r="O452" s="417"/>
      <c r="P452" s="72"/>
      <c r="Q452" s="72"/>
      <c r="R452" s="72"/>
      <c r="S452" s="72"/>
      <c r="T452" s="72"/>
      <c r="U452" s="72"/>
      <c r="V452" s="72"/>
      <c r="W452" s="72"/>
      <c r="X452" s="417"/>
      <c r="Y452" s="417"/>
      <c r="Z452" s="417"/>
      <c r="AA452" s="417"/>
      <c r="AB452" s="417"/>
    </row>
    <row r="453" spans="1:28" ht="25.5" customHeight="1" x14ac:dyDescent="0.2">
      <c r="A453" s="72"/>
      <c r="B453" s="417"/>
      <c r="C453" s="417"/>
      <c r="D453" s="417"/>
      <c r="E453" s="950" t="str">
        <f>Translations!$B$418</f>
        <v>Name of IT system used (where applicable).</v>
      </c>
      <c r="F453" s="951"/>
      <c r="G453" s="902"/>
      <c r="H453" s="851"/>
      <c r="I453" s="851"/>
      <c r="J453" s="851"/>
      <c r="K453" s="851"/>
      <c r="L453" s="851"/>
      <c r="M453" s="851"/>
      <c r="N453" s="852"/>
      <c r="O453" s="417"/>
      <c r="P453" s="72"/>
      <c r="Q453" s="72"/>
      <c r="R453" s="72"/>
      <c r="S453" s="72"/>
      <c r="T453" s="72"/>
      <c r="U453" s="72"/>
      <c r="V453" s="72"/>
      <c r="W453" s="72"/>
      <c r="X453" s="417"/>
      <c r="Y453" s="417"/>
      <c r="Z453" s="417"/>
      <c r="AA453" s="417"/>
      <c r="AB453" s="417"/>
    </row>
    <row r="454" spans="1:28" ht="25.5" customHeight="1" x14ac:dyDescent="0.2">
      <c r="A454" s="72"/>
      <c r="B454" s="417"/>
      <c r="C454" s="417"/>
      <c r="D454" s="417"/>
      <c r="E454" s="950" t="str">
        <f>Translations!$B$420</f>
        <v>List of EN or other standards applied (where relevant)</v>
      </c>
      <c r="F454" s="951"/>
      <c r="G454" s="902"/>
      <c r="H454" s="851"/>
      <c r="I454" s="851"/>
      <c r="J454" s="851"/>
      <c r="K454" s="851"/>
      <c r="L454" s="851"/>
      <c r="M454" s="851"/>
      <c r="N454" s="852"/>
      <c r="O454" s="417"/>
      <c r="P454" s="72"/>
      <c r="Q454" s="72"/>
      <c r="R454" s="72"/>
      <c r="S454" s="72"/>
      <c r="T454" s="72"/>
      <c r="U454" s="72"/>
      <c r="V454" s="72"/>
      <c r="W454" s="72"/>
      <c r="X454" s="417"/>
      <c r="Y454" s="417"/>
      <c r="Z454" s="417"/>
      <c r="AA454" s="417"/>
      <c r="AB454" s="417"/>
    </row>
    <row r="455" spans="1:28" x14ac:dyDescent="0.2">
      <c r="A455" s="72"/>
      <c r="B455" s="417"/>
      <c r="C455" s="417"/>
      <c r="D455" s="417"/>
      <c r="E455" s="417"/>
      <c r="F455" s="417"/>
      <c r="G455" s="417"/>
      <c r="H455" s="417"/>
      <c r="I455" s="417"/>
      <c r="J455" s="417"/>
      <c r="K455" s="417"/>
      <c r="L455" s="417"/>
      <c r="M455" s="417"/>
      <c r="N455" s="417"/>
      <c r="O455" s="417"/>
      <c r="P455" s="72"/>
      <c r="Q455" s="72"/>
      <c r="R455" s="72"/>
      <c r="S455" s="72"/>
      <c r="T455" s="72"/>
      <c r="U455" s="72"/>
      <c r="V455" s="72"/>
      <c r="W455" s="72"/>
      <c r="X455" s="417"/>
      <c r="Y455" s="417"/>
      <c r="Z455" s="417"/>
      <c r="AA455" s="417"/>
      <c r="AB455" s="417"/>
    </row>
    <row r="456" spans="1:28" ht="27.75" customHeight="1" x14ac:dyDescent="0.2">
      <c r="A456" s="72"/>
      <c r="B456" s="417"/>
      <c r="C456" s="417"/>
      <c r="D456" s="13" t="s">
        <v>1020</v>
      </c>
      <c r="E456" s="924" t="str">
        <f>Translations!$B$671</f>
        <v xml:space="preserve">Where a tier 2 emission factor is applied, please provide details about the protocol describing the written procedure used to determine the installation specific emission factors for CF4 and C2F6. </v>
      </c>
      <c r="F456" s="924"/>
      <c r="G456" s="924"/>
      <c r="H456" s="924"/>
      <c r="I456" s="924"/>
      <c r="J456" s="924"/>
      <c r="K456" s="924"/>
      <c r="L456" s="924"/>
      <c r="M456" s="924"/>
      <c r="N456" s="924"/>
      <c r="O456" s="417"/>
      <c r="P456" s="72"/>
      <c r="Q456" s="72"/>
      <c r="R456" s="72"/>
      <c r="S456" s="72"/>
      <c r="T456" s="72"/>
      <c r="U456" s="72"/>
      <c r="V456" s="72"/>
      <c r="W456" s="72"/>
      <c r="X456" s="417"/>
      <c r="Y456" s="417"/>
      <c r="Z456" s="417"/>
      <c r="AA456" s="417"/>
      <c r="AB456" s="417"/>
    </row>
    <row r="457" spans="1:28" ht="12.75" customHeight="1" x14ac:dyDescent="0.2">
      <c r="A457" s="72"/>
      <c r="B457" s="417"/>
      <c r="C457" s="417"/>
      <c r="D457" s="417"/>
      <c r="E457" s="869" t="str">
        <f>Translations!$B$672</f>
        <v>Note: the procedure should also show that the measurements have been and will be carried out for a sufficiently long time for measured values to converge, but at least for 72 hours.</v>
      </c>
      <c r="F457" s="869"/>
      <c r="G457" s="869"/>
      <c r="H457" s="869"/>
      <c r="I457" s="869"/>
      <c r="J457" s="869"/>
      <c r="K457" s="869"/>
      <c r="L457" s="869"/>
      <c r="M457" s="869"/>
      <c r="N457" s="869"/>
      <c r="O457" s="417"/>
      <c r="P457" s="72"/>
      <c r="Q457" s="72"/>
      <c r="R457" s="72"/>
      <c r="S457" s="72"/>
      <c r="T457" s="72"/>
      <c r="U457" s="72"/>
      <c r="V457" s="72"/>
      <c r="W457" s="72"/>
      <c r="X457" s="417"/>
      <c r="Y457" s="417"/>
      <c r="Z457" s="417"/>
      <c r="AA457" s="417"/>
      <c r="AB457" s="417"/>
    </row>
    <row r="458" spans="1:28" ht="4.9000000000000004" customHeight="1" x14ac:dyDescent="0.2">
      <c r="A458" s="72"/>
      <c r="B458" s="417"/>
      <c r="C458" s="417"/>
      <c r="D458" s="417"/>
      <c r="E458" s="411"/>
      <c r="F458" s="411"/>
      <c r="G458" s="411"/>
      <c r="H458" s="411"/>
      <c r="I458" s="411"/>
      <c r="J458" s="411"/>
      <c r="K458" s="417"/>
      <c r="L458" s="417"/>
      <c r="M458" s="417"/>
      <c r="N458" s="417"/>
      <c r="O458" s="417"/>
      <c r="P458" s="72"/>
      <c r="Q458" s="72"/>
      <c r="R458" s="72"/>
      <c r="S458" s="72"/>
      <c r="T458" s="72"/>
      <c r="U458" s="72"/>
      <c r="V458" s="72"/>
      <c r="W458" s="72"/>
      <c r="X458" s="417"/>
      <c r="Y458" s="417"/>
      <c r="Z458" s="417"/>
      <c r="AA458" s="417"/>
      <c r="AB458" s="417"/>
    </row>
    <row r="459" spans="1:28" ht="12.75" customHeight="1" x14ac:dyDescent="0.2">
      <c r="A459" s="72"/>
      <c r="B459" s="417"/>
      <c r="C459" s="417"/>
      <c r="D459" s="417"/>
      <c r="E459" s="950" t="str">
        <f>Translations!$B$405</f>
        <v>Title of procedure</v>
      </c>
      <c r="F459" s="951"/>
      <c r="G459" s="902"/>
      <c r="H459" s="851"/>
      <c r="I459" s="851"/>
      <c r="J459" s="851"/>
      <c r="K459" s="851"/>
      <c r="L459" s="851"/>
      <c r="M459" s="851"/>
      <c r="N459" s="852"/>
      <c r="O459" s="417"/>
      <c r="P459" s="72"/>
      <c r="Q459" s="72"/>
      <c r="R459" s="72"/>
      <c r="S459" s="72"/>
      <c r="T459" s="72"/>
      <c r="U459" s="72"/>
      <c r="V459" s="72"/>
      <c r="W459" s="72"/>
      <c r="X459" s="417"/>
      <c r="Y459" s="417"/>
      <c r="Z459" s="417"/>
      <c r="AA459" s="417"/>
      <c r="AB459" s="417"/>
    </row>
    <row r="460" spans="1:28" ht="12.75" customHeight="1" x14ac:dyDescent="0.2">
      <c r="A460" s="72"/>
      <c r="B460" s="417"/>
      <c r="C460" s="417"/>
      <c r="D460" s="417"/>
      <c r="E460" s="950" t="str">
        <f>Translations!$B$407</f>
        <v>Reference for procedure</v>
      </c>
      <c r="F460" s="951"/>
      <c r="G460" s="902"/>
      <c r="H460" s="851"/>
      <c r="I460" s="851"/>
      <c r="J460" s="851"/>
      <c r="K460" s="851"/>
      <c r="L460" s="851"/>
      <c r="M460" s="851"/>
      <c r="N460" s="852"/>
      <c r="O460" s="417"/>
      <c r="P460" s="72"/>
      <c r="Q460" s="72"/>
      <c r="R460" s="72"/>
      <c r="S460" s="72"/>
      <c r="T460" s="72"/>
      <c r="U460" s="72"/>
      <c r="V460" s="72"/>
      <c r="W460" s="72"/>
      <c r="X460" s="417"/>
      <c r="Y460" s="417"/>
      <c r="Z460" s="417"/>
      <c r="AA460" s="417"/>
      <c r="AB460" s="417"/>
    </row>
    <row r="461" spans="1:28" ht="12.75" customHeight="1" x14ac:dyDescent="0.2">
      <c r="A461" s="72"/>
      <c r="B461" s="417"/>
      <c r="C461" s="417"/>
      <c r="D461" s="417"/>
      <c r="E461" s="950" t="str">
        <f>Translations!$B$409</f>
        <v>Diagram reference (where applicable)</v>
      </c>
      <c r="F461" s="951"/>
      <c r="G461" s="902"/>
      <c r="H461" s="851"/>
      <c r="I461" s="851"/>
      <c r="J461" s="851"/>
      <c r="K461" s="851"/>
      <c r="L461" s="851"/>
      <c r="M461" s="851"/>
      <c r="N461" s="852"/>
      <c r="O461" s="417"/>
      <c r="P461" s="72"/>
      <c r="Q461" s="72"/>
      <c r="R461" s="72"/>
      <c r="S461" s="72"/>
      <c r="T461" s="72"/>
      <c r="U461" s="72"/>
      <c r="V461" s="72"/>
      <c r="W461" s="72"/>
      <c r="X461" s="417"/>
      <c r="Y461" s="417"/>
      <c r="Z461" s="417"/>
      <c r="AA461" s="417"/>
      <c r="AB461" s="417"/>
    </row>
    <row r="462" spans="1:28" ht="25.5" customHeight="1" x14ac:dyDescent="0.2">
      <c r="A462" s="72"/>
      <c r="B462" s="417"/>
      <c r="C462" s="417"/>
      <c r="D462" s="417"/>
      <c r="E462" s="952" t="str">
        <f>Translations!$B$411</f>
        <v xml:space="preserve">Brief description of procedure    </v>
      </c>
      <c r="F462" s="953"/>
      <c r="G462" s="954"/>
      <c r="H462" s="955"/>
      <c r="I462" s="955"/>
      <c r="J462" s="955"/>
      <c r="K462" s="955"/>
      <c r="L462" s="955"/>
      <c r="M462" s="955"/>
      <c r="N462" s="956"/>
      <c r="O462" s="417"/>
      <c r="P462" s="72"/>
      <c r="Q462" s="72"/>
      <c r="R462" s="72"/>
      <c r="S462" s="72"/>
      <c r="T462" s="72"/>
      <c r="U462" s="72"/>
      <c r="V462" s="72"/>
      <c r="W462" s="72"/>
      <c r="X462" s="417"/>
      <c r="Y462" s="417"/>
      <c r="Z462" s="417"/>
      <c r="AA462" s="417"/>
      <c r="AB462" s="417"/>
    </row>
    <row r="463" spans="1:28" ht="25.5" customHeight="1" x14ac:dyDescent="0.2">
      <c r="A463" s="72"/>
      <c r="B463" s="417"/>
      <c r="C463" s="417"/>
      <c r="D463" s="417"/>
      <c r="E463" s="590"/>
      <c r="F463" s="591"/>
      <c r="G463" s="957"/>
      <c r="H463" s="958"/>
      <c r="I463" s="958"/>
      <c r="J463" s="958"/>
      <c r="K463" s="958"/>
      <c r="L463" s="958"/>
      <c r="M463" s="958"/>
      <c r="N463" s="959"/>
      <c r="O463" s="417"/>
      <c r="P463" s="72"/>
      <c r="Q463" s="72"/>
      <c r="R463" s="72"/>
      <c r="S463" s="72"/>
      <c r="T463" s="72"/>
      <c r="U463" s="72"/>
      <c r="V463" s="72"/>
      <c r="W463" s="72"/>
      <c r="X463" s="417"/>
      <c r="Y463" s="417"/>
      <c r="Z463" s="417"/>
      <c r="AA463" s="417"/>
      <c r="AB463" s="417"/>
    </row>
    <row r="464" spans="1:28" ht="25.5" customHeight="1" x14ac:dyDescent="0.2">
      <c r="A464" s="72"/>
      <c r="B464" s="417"/>
      <c r="C464" s="417"/>
      <c r="D464" s="417"/>
      <c r="E464" s="592"/>
      <c r="F464" s="593"/>
      <c r="G464" s="960"/>
      <c r="H464" s="961"/>
      <c r="I464" s="961"/>
      <c r="J464" s="961"/>
      <c r="K464" s="961"/>
      <c r="L464" s="961"/>
      <c r="M464" s="961"/>
      <c r="N464" s="962"/>
      <c r="O464" s="417"/>
      <c r="P464" s="72"/>
      <c r="Q464" s="72"/>
      <c r="R464" s="72"/>
      <c r="S464" s="72"/>
      <c r="T464" s="72"/>
      <c r="U464" s="72"/>
      <c r="V464" s="72"/>
      <c r="W464" s="72"/>
      <c r="X464" s="417"/>
      <c r="Y464" s="417"/>
      <c r="Z464" s="417"/>
      <c r="AA464" s="417"/>
      <c r="AB464" s="417"/>
    </row>
    <row r="465" spans="1:28" ht="38.25" customHeight="1" x14ac:dyDescent="0.2">
      <c r="A465" s="72"/>
      <c r="B465" s="417"/>
      <c r="C465" s="417"/>
      <c r="D465" s="417"/>
      <c r="E465" s="950" t="str">
        <f>Translations!$B$414</f>
        <v>Post or department responsible for the procedure and for any data generated</v>
      </c>
      <c r="F465" s="951"/>
      <c r="G465" s="902"/>
      <c r="H465" s="903"/>
      <c r="I465" s="903"/>
      <c r="J465" s="903"/>
      <c r="K465" s="903"/>
      <c r="L465" s="903"/>
      <c r="M465" s="903"/>
      <c r="N465" s="904"/>
      <c r="O465" s="417"/>
      <c r="P465" s="72"/>
      <c r="Q465" s="72"/>
      <c r="R465" s="72"/>
      <c r="S465" s="72"/>
      <c r="T465" s="72"/>
      <c r="U465" s="72"/>
      <c r="V465" s="72"/>
      <c r="W465" s="72"/>
      <c r="X465" s="417"/>
      <c r="Y465" s="417"/>
      <c r="Z465" s="417"/>
      <c r="AA465" s="417"/>
      <c r="AB465" s="417"/>
    </row>
    <row r="466" spans="1:28" ht="12.75" customHeight="1" x14ac:dyDescent="0.2">
      <c r="A466" s="72"/>
      <c r="B466" s="417"/>
      <c r="C466" s="417"/>
      <c r="D466" s="417"/>
      <c r="E466" s="950" t="str">
        <f>Translations!$B$416</f>
        <v>Location where records are kept</v>
      </c>
      <c r="F466" s="951"/>
      <c r="G466" s="902"/>
      <c r="H466" s="851"/>
      <c r="I466" s="851"/>
      <c r="J466" s="851"/>
      <c r="K466" s="851"/>
      <c r="L466" s="851"/>
      <c r="M466" s="851"/>
      <c r="N466" s="852"/>
      <c r="O466" s="417"/>
      <c r="P466" s="72"/>
      <c r="Q466" s="72"/>
      <c r="R466" s="72"/>
      <c r="S466" s="72"/>
      <c r="T466" s="72"/>
      <c r="U466" s="72"/>
      <c r="V466" s="72"/>
      <c r="W466" s="72"/>
      <c r="X466" s="417"/>
      <c r="Y466" s="417"/>
      <c r="Z466" s="417"/>
      <c r="AA466" s="417"/>
      <c r="AB466" s="417"/>
    </row>
    <row r="467" spans="1:28" ht="25.5" customHeight="1" x14ac:dyDescent="0.2">
      <c r="A467" s="72"/>
      <c r="B467" s="417"/>
      <c r="C467" s="417"/>
      <c r="D467" s="417"/>
      <c r="E467" s="950" t="str">
        <f>Translations!$B$418</f>
        <v>Name of IT system used (where applicable).</v>
      </c>
      <c r="F467" s="951"/>
      <c r="G467" s="902"/>
      <c r="H467" s="851"/>
      <c r="I467" s="851"/>
      <c r="J467" s="851"/>
      <c r="K467" s="851"/>
      <c r="L467" s="851"/>
      <c r="M467" s="851"/>
      <c r="N467" s="852"/>
      <c r="O467" s="417"/>
      <c r="P467" s="72"/>
      <c r="Q467" s="72"/>
      <c r="R467" s="72"/>
      <c r="S467" s="72"/>
      <c r="T467" s="72"/>
      <c r="U467" s="72"/>
      <c r="V467" s="72"/>
      <c r="W467" s="72"/>
      <c r="X467" s="417"/>
      <c r="Y467" s="417"/>
      <c r="Z467" s="417"/>
      <c r="AA467" s="417"/>
      <c r="AB467" s="417"/>
    </row>
    <row r="468" spans="1:28" ht="25.5" customHeight="1" x14ac:dyDescent="0.2">
      <c r="A468" s="72"/>
      <c r="B468" s="417"/>
      <c r="C468" s="417"/>
      <c r="D468" s="417"/>
      <c r="E468" s="950" t="str">
        <f>Translations!$B$420</f>
        <v>List of EN or other standards applied (where relevant)</v>
      </c>
      <c r="F468" s="951"/>
      <c r="G468" s="902"/>
      <c r="H468" s="851"/>
      <c r="I468" s="851"/>
      <c r="J468" s="851"/>
      <c r="K468" s="851"/>
      <c r="L468" s="851"/>
      <c r="M468" s="851"/>
      <c r="N468" s="852"/>
      <c r="O468" s="417"/>
      <c r="P468" s="72"/>
      <c r="Q468" s="72"/>
      <c r="R468" s="72"/>
      <c r="S468" s="72"/>
      <c r="T468" s="72"/>
      <c r="U468" s="72"/>
      <c r="V468" s="72"/>
      <c r="W468" s="72"/>
      <c r="X468" s="417"/>
      <c r="Y468" s="417"/>
      <c r="Z468" s="417"/>
      <c r="AA468" s="417"/>
      <c r="AB468" s="417"/>
    </row>
    <row r="469" spans="1:28" x14ac:dyDescent="0.2">
      <c r="A469" s="72"/>
      <c r="B469" s="417"/>
      <c r="C469" s="417"/>
      <c r="D469" s="417"/>
      <c r="E469" s="417"/>
      <c r="F469" s="417"/>
      <c r="G469" s="417"/>
      <c r="H469" s="417"/>
      <c r="I469" s="417"/>
      <c r="J469" s="417"/>
      <c r="K469" s="417"/>
      <c r="L469" s="417"/>
      <c r="M469" s="417"/>
      <c r="N469" s="417"/>
      <c r="O469" s="417"/>
      <c r="P469" s="72"/>
      <c r="Q469" s="72"/>
      <c r="R469" s="72"/>
      <c r="S469" s="72"/>
      <c r="T469" s="72"/>
      <c r="U469" s="72"/>
      <c r="V469" s="72"/>
      <c r="W469" s="72"/>
      <c r="X469" s="417"/>
      <c r="Y469" s="417"/>
      <c r="Z469" s="417"/>
      <c r="AA469" s="417"/>
      <c r="AB469" s="417"/>
    </row>
    <row r="470" spans="1:28" ht="32.25" customHeight="1" x14ac:dyDescent="0.2">
      <c r="A470" s="72"/>
      <c r="B470" s="417"/>
      <c r="C470" s="417"/>
      <c r="D470" s="13" t="s">
        <v>554</v>
      </c>
      <c r="E470" s="924" t="str">
        <f>Translations!$B$673</f>
        <v>Please provide details about the written procedure detailing the methodology for determining the collection efficiency for fugitive emissions, where applicable.</v>
      </c>
      <c r="F470" s="924"/>
      <c r="G470" s="924"/>
      <c r="H470" s="924"/>
      <c r="I470" s="924"/>
      <c r="J470" s="924"/>
      <c r="K470" s="924"/>
      <c r="L470" s="924"/>
      <c r="M470" s="924"/>
      <c r="N470" s="924"/>
      <c r="O470" s="417"/>
      <c r="P470" s="72"/>
      <c r="Q470" s="72"/>
      <c r="R470" s="72"/>
      <c r="S470" s="72"/>
      <c r="T470" s="72"/>
      <c r="U470" s="72"/>
      <c r="V470" s="72"/>
      <c r="W470" s="72"/>
      <c r="X470" s="417"/>
      <c r="Y470" s="417"/>
      <c r="Z470" s="417"/>
      <c r="AA470" s="417"/>
      <c r="AB470" s="417"/>
    </row>
    <row r="471" spans="1:28" ht="4.9000000000000004" customHeight="1" x14ac:dyDescent="0.2">
      <c r="A471" s="72"/>
      <c r="B471" s="417"/>
      <c r="C471" s="417"/>
      <c r="D471" s="417"/>
      <c r="E471" s="411"/>
      <c r="F471" s="411"/>
      <c r="G471" s="411"/>
      <c r="H471" s="411"/>
      <c r="I471" s="411"/>
      <c r="J471" s="411"/>
      <c r="K471" s="417"/>
      <c r="L471" s="417"/>
      <c r="M471" s="417"/>
      <c r="N471" s="417"/>
      <c r="O471" s="417"/>
      <c r="P471" s="72"/>
      <c r="Q471" s="72"/>
      <c r="R471" s="72"/>
      <c r="S471" s="72"/>
      <c r="T471" s="72"/>
      <c r="U471" s="72"/>
      <c r="V471" s="72"/>
      <c r="W471" s="72"/>
      <c r="X471" s="417"/>
      <c r="Y471" s="417"/>
      <c r="Z471" s="417"/>
      <c r="AA471" s="417"/>
      <c r="AB471" s="417"/>
    </row>
    <row r="472" spans="1:28" ht="12.75" customHeight="1" x14ac:dyDescent="0.2">
      <c r="A472" s="72"/>
      <c r="B472" s="417"/>
      <c r="C472" s="417"/>
      <c r="D472" s="417"/>
      <c r="E472" s="950" t="str">
        <f>Translations!$B$405</f>
        <v>Title of procedure</v>
      </c>
      <c r="F472" s="951"/>
      <c r="G472" s="902"/>
      <c r="H472" s="851"/>
      <c r="I472" s="851"/>
      <c r="J472" s="851"/>
      <c r="K472" s="851"/>
      <c r="L472" s="851"/>
      <c r="M472" s="851"/>
      <c r="N472" s="852"/>
      <c r="O472" s="417"/>
      <c r="P472" s="72"/>
      <c r="Q472" s="72"/>
      <c r="R472" s="72"/>
      <c r="S472" s="72"/>
      <c r="T472" s="72"/>
      <c r="U472" s="72"/>
      <c r="V472" s="72"/>
      <c r="W472" s="72"/>
      <c r="X472" s="417"/>
      <c r="Y472" s="417"/>
      <c r="Z472" s="417"/>
      <c r="AA472" s="417"/>
      <c r="AB472" s="417"/>
    </row>
    <row r="473" spans="1:28" ht="12.75" customHeight="1" x14ac:dyDescent="0.2">
      <c r="A473" s="72"/>
      <c r="B473" s="417"/>
      <c r="C473" s="417"/>
      <c r="D473" s="417"/>
      <c r="E473" s="950" t="str">
        <f>Translations!$B$407</f>
        <v>Reference for procedure</v>
      </c>
      <c r="F473" s="951"/>
      <c r="G473" s="902"/>
      <c r="H473" s="851"/>
      <c r="I473" s="851"/>
      <c r="J473" s="851"/>
      <c r="K473" s="851"/>
      <c r="L473" s="851"/>
      <c r="M473" s="851"/>
      <c r="N473" s="852"/>
      <c r="O473" s="417"/>
      <c r="P473" s="72"/>
      <c r="Q473" s="72"/>
      <c r="R473" s="72"/>
      <c r="S473" s="72"/>
      <c r="T473" s="72"/>
      <c r="U473" s="72"/>
      <c r="V473" s="72"/>
      <c r="W473" s="72"/>
      <c r="X473" s="417"/>
      <c r="Y473" s="417"/>
      <c r="Z473" s="417"/>
      <c r="AA473" s="417"/>
      <c r="AB473" s="417"/>
    </row>
    <row r="474" spans="1:28" ht="12.75" customHeight="1" x14ac:dyDescent="0.2">
      <c r="A474" s="72"/>
      <c r="B474" s="417"/>
      <c r="C474" s="417"/>
      <c r="D474" s="417"/>
      <c r="E474" s="950" t="str">
        <f>Translations!$B$409</f>
        <v>Diagram reference (where applicable)</v>
      </c>
      <c r="F474" s="951"/>
      <c r="G474" s="902"/>
      <c r="H474" s="851"/>
      <c r="I474" s="851"/>
      <c r="J474" s="851"/>
      <c r="K474" s="851"/>
      <c r="L474" s="851"/>
      <c r="M474" s="851"/>
      <c r="N474" s="852"/>
      <c r="O474" s="417"/>
      <c r="P474" s="72"/>
      <c r="Q474" s="72"/>
      <c r="R474" s="72"/>
      <c r="S474" s="72"/>
      <c r="T474" s="72"/>
      <c r="U474" s="72"/>
      <c r="V474" s="72"/>
      <c r="W474" s="72"/>
      <c r="X474" s="417"/>
      <c r="Y474" s="417"/>
      <c r="Z474" s="417"/>
      <c r="AA474" s="417"/>
      <c r="AB474" s="417"/>
    </row>
    <row r="475" spans="1:28" ht="25.5" customHeight="1" x14ac:dyDescent="0.2">
      <c r="A475" s="72"/>
      <c r="B475" s="417"/>
      <c r="C475" s="417"/>
      <c r="D475" s="417"/>
      <c r="E475" s="952" t="str">
        <f>Translations!$B$411</f>
        <v xml:space="preserve">Brief description of procedure    </v>
      </c>
      <c r="F475" s="953"/>
      <c r="G475" s="954"/>
      <c r="H475" s="955"/>
      <c r="I475" s="955"/>
      <c r="J475" s="955"/>
      <c r="K475" s="955"/>
      <c r="L475" s="955"/>
      <c r="M475" s="955"/>
      <c r="N475" s="956"/>
      <c r="O475" s="417"/>
      <c r="P475" s="72"/>
      <c r="Q475" s="72"/>
      <c r="R475" s="72"/>
      <c r="S475" s="72"/>
      <c r="T475" s="72"/>
      <c r="U475" s="72"/>
      <c r="V475" s="72"/>
      <c r="W475" s="72"/>
      <c r="X475" s="417"/>
      <c r="Y475" s="417"/>
      <c r="Z475" s="417"/>
      <c r="AA475" s="417"/>
      <c r="AB475" s="417"/>
    </row>
    <row r="476" spans="1:28" ht="25.5" customHeight="1" x14ac:dyDescent="0.2">
      <c r="A476" s="72"/>
      <c r="B476" s="417"/>
      <c r="C476" s="417"/>
      <c r="D476" s="417"/>
      <c r="E476" s="590"/>
      <c r="F476" s="591"/>
      <c r="G476" s="957"/>
      <c r="H476" s="958"/>
      <c r="I476" s="958"/>
      <c r="J476" s="958"/>
      <c r="K476" s="958"/>
      <c r="L476" s="958"/>
      <c r="M476" s="958"/>
      <c r="N476" s="959"/>
      <c r="O476" s="417"/>
      <c r="P476" s="72"/>
      <c r="Q476" s="72"/>
      <c r="R476" s="72"/>
      <c r="S476" s="72"/>
      <c r="T476" s="72"/>
      <c r="U476" s="72"/>
      <c r="V476" s="72"/>
      <c r="W476" s="72"/>
      <c r="X476" s="417"/>
      <c r="Y476" s="417"/>
      <c r="Z476" s="417"/>
      <c r="AA476" s="417"/>
      <c r="AB476" s="417"/>
    </row>
    <row r="477" spans="1:28" ht="25.5" customHeight="1" x14ac:dyDescent="0.2">
      <c r="A477" s="72"/>
      <c r="B477" s="417"/>
      <c r="C477" s="417"/>
      <c r="D477" s="417"/>
      <c r="E477" s="592"/>
      <c r="F477" s="593"/>
      <c r="G477" s="960"/>
      <c r="H477" s="961"/>
      <c r="I477" s="961"/>
      <c r="J477" s="961"/>
      <c r="K477" s="961"/>
      <c r="L477" s="961"/>
      <c r="M477" s="961"/>
      <c r="N477" s="962"/>
      <c r="O477" s="417"/>
      <c r="P477" s="72"/>
      <c r="Q477" s="72"/>
      <c r="R477" s="72"/>
      <c r="S477" s="72"/>
      <c r="T477" s="72"/>
      <c r="U477" s="72"/>
      <c r="V477" s="72"/>
      <c r="W477" s="72"/>
      <c r="X477" s="417"/>
      <c r="Y477" s="417"/>
      <c r="Z477" s="417"/>
      <c r="AA477" s="417"/>
      <c r="AB477" s="417"/>
    </row>
    <row r="478" spans="1:28" ht="38.25" customHeight="1" x14ac:dyDescent="0.2">
      <c r="A478" s="72"/>
      <c r="B478" s="417"/>
      <c r="C478" s="417"/>
      <c r="D478" s="417"/>
      <c r="E478" s="950" t="str">
        <f>Translations!$B$414</f>
        <v>Post or department responsible for the procedure and for any data generated</v>
      </c>
      <c r="F478" s="951"/>
      <c r="G478" s="902"/>
      <c r="H478" s="903"/>
      <c r="I478" s="903"/>
      <c r="J478" s="903"/>
      <c r="K478" s="903"/>
      <c r="L478" s="903"/>
      <c r="M478" s="903"/>
      <c r="N478" s="904"/>
      <c r="O478" s="417"/>
      <c r="P478" s="72"/>
      <c r="Q478" s="72"/>
      <c r="R478" s="72"/>
      <c r="S478" s="72"/>
      <c r="T478" s="72"/>
      <c r="U478" s="72"/>
      <c r="V478" s="72"/>
      <c r="W478" s="72"/>
      <c r="X478" s="417"/>
      <c r="Y478" s="417"/>
      <c r="Z478" s="417"/>
      <c r="AA478" s="417"/>
      <c r="AB478" s="417"/>
    </row>
    <row r="479" spans="1:28" ht="12.75" customHeight="1" x14ac:dyDescent="0.2">
      <c r="A479" s="72"/>
      <c r="B479" s="417"/>
      <c r="C479" s="417"/>
      <c r="D479" s="417"/>
      <c r="E479" s="950" t="str">
        <f>Translations!$B$416</f>
        <v>Location where records are kept</v>
      </c>
      <c r="F479" s="951"/>
      <c r="G479" s="902"/>
      <c r="H479" s="851"/>
      <c r="I479" s="851"/>
      <c r="J479" s="851"/>
      <c r="K479" s="851"/>
      <c r="L479" s="851"/>
      <c r="M479" s="851"/>
      <c r="N479" s="852"/>
      <c r="O479" s="417"/>
      <c r="P479" s="72"/>
      <c r="Q479" s="72"/>
      <c r="R479" s="72"/>
      <c r="S479" s="72"/>
      <c r="T479" s="72"/>
      <c r="U479" s="72"/>
      <c r="V479" s="72"/>
      <c r="W479" s="72"/>
      <c r="X479" s="417"/>
      <c r="Y479" s="417"/>
      <c r="Z479" s="417"/>
      <c r="AA479" s="417"/>
      <c r="AB479" s="417"/>
    </row>
    <row r="480" spans="1:28" ht="25.5" customHeight="1" x14ac:dyDescent="0.2">
      <c r="A480" s="72"/>
      <c r="B480" s="417"/>
      <c r="C480" s="417"/>
      <c r="D480" s="417"/>
      <c r="E480" s="950" t="str">
        <f>Translations!$B$418</f>
        <v>Name of IT system used (where applicable).</v>
      </c>
      <c r="F480" s="951"/>
      <c r="G480" s="902"/>
      <c r="H480" s="851"/>
      <c r="I480" s="851"/>
      <c r="J480" s="851"/>
      <c r="K480" s="851"/>
      <c r="L480" s="851"/>
      <c r="M480" s="851"/>
      <c r="N480" s="852"/>
      <c r="O480" s="417"/>
      <c r="P480" s="72"/>
      <c r="Q480" s="72"/>
      <c r="R480" s="72"/>
      <c r="S480" s="72"/>
      <c r="T480" s="72"/>
      <c r="U480" s="72"/>
      <c r="V480" s="72"/>
      <c r="W480" s="72"/>
      <c r="X480" s="417"/>
      <c r="Y480" s="417"/>
      <c r="Z480" s="417"/>
      <c r="AA480" s="417"/>
      <c r="AB480" s="417"/>
    </row>
    <row r="481" spans="1:28" ht="25.5" customHeight="1" x14ac:dyDescent="0.2">
      <c r="A481" s="72"/>
      <c r="B481" s="417"/>
      <c r="C481" s="417"/>
      <c r="D481" s="417"/>
      <c r="E481" s="950" t="str">
        <f>Translations!$B$420</f>
        <v>List of EN or other standards applied (where relevant)</v>
      </c>
      <c r="F481" s="951"/>
      <c r="G481" s="902"/>
      <c r="H481" s="851"/>
      <c r="I481" s="851"/>
      <c r="J481" s="851"/>
      <c r="K481" s="851"/>
      <c r="L481" s="851"/>
      <c r="M481" s="851"/>
      <c r="N481" s="852"/>
      <c r="O481" s="417"/>
      <c r="P481" s="72"/>
      <c r="Q481" s="72"/>
      <c r="R481" s="72"/>
      <c r="S481" s="72"/>
      <c r="T481" s="72"/>
      <c r="U481" s="72"/>
      <c r="V481" s="72"/>
      <c r="W481" s="72"/>
      <c r="X481" s="417"/>
      <c r="Y481" s="417"/>
      <c r="Z481" s="417"/>
      <c r="AA481" s="417"/>
      <c r="AB481" s="417"/>
    </row>
    <row r="482" spans="1:28" ht="12.75" hidden="1" customHeight="1" x14ac:dyDescent="0.2">
      <c r="A482" s="17" t="s">
        <v>1090</v>
      </c>
      <c r="B482" s="417"/>
      <c r="C482" s="417"/>
      <c r="D482" s="417"/>
      <c r="E482" s="417"/>
      <c r="F482" s="417"/>
      <c r="G482" s="417"/>
      <c r="H482" s="417"/>
      <c r="I482" s="417"/>
      <c r="J482" s="417"/>
      <c r="K482" s="417"/>
      <c r="L482" s="417"/>
      <c r="M482" s="417"/>
      <c r="N482" s="417"/>
      <c r="P482" s="72"/>
      <c r="Q482" s="72"/>
      <c r="R482" s="72"/>
      <c r="S482" s="72"/>
      <c r="T482" s="72"/>
      <c r="U482" s="72"/>
      <c r="V482" s="72"/>
      <c r="W482" s="72"/>
      <c r="X482" s="417"/>
      <c r="Y482" s="417"/>
      <c r="Z482" s="417"/>
      <c r="AA482" s="417"/>
      <c r="AB482" s="417"/>
    </row>
    <row r="483" spans="1:28" s="316" customFormat="1" ht="12.75" hidden="1" customHeight="1" x14ac:dyDescent="0.2">
      <c r="A483" s="17" t="s">
        <v>1090</v>
      </c>
      <c r="B483" s="417"/>
      <c r="C483" s="417"/>
      <c r="D483" s="417"/>
      <c r="E483" s="717" t="str">
        <f>Translations!$B$1150</f>
        <v>Further procedure added by the operator</v>
      </c>
      <c r="F483" s="717"/>
      <c r="G483" s="717"/>
      <c r="H483" s="717"/>
      <c r="I483" s="717"/>
      <c r="J483" s="717"/>
      <c r="K483" s="717"/>
      <c r="L483" s="717"/>
      <c r="M483" s="717"/>
      <c r="N483" s="717"/>
      <c r="O483" s="417"/>
      <c r="P483" s="72"/>
      <c r="Q483" s="72"/>
      <c r="R483" s="72"/>
      <c r="S483" s="72"/>
      <c r="T483" s="72"/>
      <c r="U483" s="72"/>
      <c r="V483" s="72"/>
      <c r="W483" s="72"/>
    </row>
    <row r="484" spans="1:28" ht="12.75" hidden="1" customHeight="1" x14ac:dyDescent="0.2">
      <c r="A484" s="17" t="s">
        <v>1090</v>
      </c>
      <c r="B484" s="417"/>
      <c r="C484" s="417"/>
      <c r="D484" s="417"/>
      <c r="E484" s="417"/>
      <c r="F484" s="417"/>
      <c r="G484" s="417"/>
      <c r="H484" s="417"/>
      <c r="I484" s="417"/>
      <c r="J484" s="417"/>
      <c r="K484" s="417"/>
      <c r="L484" s="417"/>
      <c r="M484" s="417"/>
      <c r="N484" s="417"/>
      <c r="O484" s="417"/>
      <c r="P484" s="72"/>
      <c r="Q484" s="72"/>
      <c r="R484" s="72"/>
      <c r="S484" s="72"/>
      <c r="T484" s="72"/>
      <c r="U484" s="72"/>
      <c r="V484" s="72"/>
      <c r="W484" s="72"/>
      <c r="X484" s="417"/>
      <c r="Y484" s="417"/>
      <c r="Z484" s="417"/>
      <c r="AA484" s="417"/>
      <c r="AB484" s="417"/>
    </row>
    <row r="485" spans="1:28" ht="12.75" hidden="1" customHeight="1" x14ac:dyDescent="0.2">
      <c r="A485" s="17" t="s">
        <v>1090</v>
      </c>
      <c r="B485" s="417"/>
      <c r="C485" s="417"/>
      <c r="D485" s="417"/>
      <c r="E485" s="950" t="str">
        <f>Translations!$B$405</f>
        <v>Title of procedure</v>
      </c>
      <c r="F485" s="951"/>
      <c r="G485" s="902"/>
      <c r="H485" s="851"/>
      <c r="I485" s="851"/>
      <c r="J485" s="851"/>
      <c r="K485" s="851"/>
      <c r="L485" s="851"/>
      <c r="M485" s="851"/>
      <c r="N485" s="852"/>
      <c r="O485" s="417"/>
      <c r="P485" s="72"/>
      <c r="Q485" s="72"/>
      <c r="R485" s="72"/>
      <c r="S485" s="72"/>
      <c r="T485" s="72"/>
      <c r="U485" s="72"/>
      <c r="V485" s="72"/>
      <c r="W485" s="72"/>
      <c r="X485" s="417"/>
      <c r="Y485" s="417"/>
      <c r="Z485" s="417"/>
      <c r="AA485" s="417"/>
      <c r="AB485" s="417"/>
    </row>
    <row r="486" spans="1:28" ht="12.75" hidden="1" customHeight="1" x14ac:dyDescent="0.2">
      <c r="A486" s="17" t="s">
        <v>1090</v>
      </c>
      <c r="B486" s="417"/>
      <c r="C486" s="417"/>
      <c r="D486" s="417"/>
      <c r="E486" s="950" t="str">
        <f>Translations!$B$407</f>
        <v>Reference for procedure</v>
      </c>
      <c r="F486" s="951"/>
      <c r="G486" s="902"/>
      <c r="H486" s="851"/>
      <c r="I486" s="851"/>
      <c r="J486" s="851"/>
      <c r="K486" s="851"/>
      <c r="L486" s="851"/>
      <c r="M486" s="851"/>
      <c r="N486" s="852"/>
      <c r="O486" s="417"/>
      <c r="P486" s="72"/>
      <c r="Q486" s="72"/>
      <c r="R486" s="72"/>
      <c r="S486" s="72"/>
      <c r="T486" s="72"/>
      <c r="U486" s="72"/>
      <c r="V486" s="72"/>
      <c r="W486" s="72"/>
      <c r="X486" s="417"/>
      <c r="Y486" s="417"/>
      <c r="Z486" s="417"/>
      <c r="AA486" s="417"/>
      <c r="AB486" s="417"/>
    </row>
    <row r="487" spans="1:28" ht="12.75" hidden="1" customHeight="1" x14ac:dyDescent="0.2">
      <c r="A487" s="17" t="s">
        <v>1090</v>
      </c>
      <c r="B487" s="417"/>
      <c r="C487" s="417"/>
      <c r="D487" s="417"/>
      <c r="E487" s="950" t="str">
        <f>Translations!$B$409</f>
        <v>Diagram reference (where applicable)</v>
      </c>
      <c r="F487" s="951"/>
      <c r="G487" s="902"/>
      <c r="H487" s="851"/>
      <c r="I487" s="851"/>
      <c r="J487" s="851"/>
      <c r="K487" s="851"/>
      <c r="L487" s="851"/>
      <c r="M487" s="851"/>
      <c r="N487" s="852"/>
      <c r="O487" s="417"/>
      <c r="P487" s="72"/>
      <c r="Q487" s="72"/>
      <c r="R487" s="72"/>
      <c r="S487" s="72"/>
      <c r="T487" s="72"/>
      <c r="U487" s="72"/>
      <c r="V487" s="72"/>
      <c r="W487" s="72"/>
      <c r="X487" s="417"/>
      <c r="Y487" s="417"/>
      <c r="Z487" s="417"/>
      <c r="AA487" s="417"/>
      <c r="AB487" s="417"/>
    </row>
    <row r="488" spans="1:28" ht="25.5" hidden="1" customHeight="1" x14ac:dyDescent="0.2">
      <c r="A488" s="17" t="s">
        <v>1090</v>
      </c>
      <c r="B488" s="417"/>
      <c r="C488" s="417"/>
      <c r="D488" s="417"/>
      <c r="E488" s="952" t="str">
        <f>Translations!$B$411</f>
        <v xml:space="preserve">Brief description of procedure    </v>
      </c>
      <c r="F488" s="953"/>
      <c r="G488" s="954"/>
      <c r="H488" s="955"/>
      <c r="I488" s="955"/>
      <c r="J488" s="955"/>
      <c r="K488" s="955"/>
      <c r="L488" s="955"/>
      <c r="M488" s="955"/>
      <c r="N488" s="956"/>
      <c r="O488" s="417"/>
      <c r="P488" s="72"/>
      <c r="Q488" s="72"/>
      <c r="R488" s="72"/>
      <c r="S488" s="72"/>
      <c r="T488" s="72"/>
      <c r="U488" s="72"/>
      <c r="V488" s="72"/>
      <c r="W488" s="72"/>
      <c r="X488" s="417"/>
      <c r="Y488" s="417"/>
      <c r="Z488" s="417"/>
      <c r="AA488" s="417"/>
      <c r="AB488" s="417"/>
    </row>
    <row r="489" spans="1:28" ht="25.5" hidden="1" customHeight="1" x14ac:dyDescent="0.2">
      <c r="A489" s="17" t="s">
        <v>1090</v>
      </c>
      <c r="B489" s="417"/>
      <c r="C489" s="417"/>
      <c r="D489" s="417"/>
      <c r="E489" s="590"/>
      <c r="F489" s="591"/>
      <c r="G489" s="957"/>
      <c r="H489" s="958"/>
      <c r="I489" s="958"/>
      <c r="J489" s="958"/>
      <c r="K489" s="958"/>
      <c r="L489" s="958"/>
      <c r="M489" s="958"/>
      <c r="N489" s="959"/>
      <c r="O489" s="417"/>
      <c r="P489" s="72"/>
      <c r="Q489" s="72"/>
      <c r="R489" s="72"/>
      <c r="S489" s="72"/>
      <c r="T489" s="72"/>
      <c r="U489" s="72"/>
      <c r="V489" s="72"/>
      <c r="W489" s="72"/>
      <c r="X489" s="417"/>
      <c r="Y489" s="417"/>
      <c r="Z489" s="417"/>
      <c r="AA489" s="417"/>
      <c r="AB489" s="417"/>
    </row>
    <row r="490" spans="1:28" ht="25.5" hidden="1" customHeight="1" x14ac:dyDescent="0.2">
      <c r="A490" s="17" t="s">
        <v>1090</v>
      </c>
      <c r="B490" s="417"/>
      <c r="C490" s="417"/>
      <c r="D490" s="417"/>
      <c r="E490" s="592"/>
      <c r="F490" s="593"/>
      <c r="G490" s="960"/>
      <c r="H490" s="961"/>
      <c r="I490" s="961"/>
      <c r="J490" s="961"/>
      <c r="K490" s="961"/>
      <c r="L490" s="961"/>
      <c r="M490" s="961"/>
      <c r="N490" s="962"/>
      <c r="O490" s="417"/>
      <c r="P490" s="72"/>
      <c r="Q490" s="72"/>
      <c r="R490" s="72"/>
      <c r="S490" s="72"/>
      <c r="T490" s="72"/>
      <c r="U490" s="72"/>
      <c r="V490" s="72"/>
      <c r="W490" s="72"/>
      <c r="X490" s="417"/>
      <c r="Y490" s="417"/>
      <c r="Z490" s="417"/>
      <c r="AA490" s="417"/>
      <c r="AB490" s="417"/>
    </row>
    <row r="491" spans="1:28" ht="38.25" hidden="1" customHeight="1" x14ac:dyDescent="0.2">
      <c r="A491" s="17" t="s">
        <v>1090</v>
      </c>
      <c r="B491" s="417"/>
      <c r="C491" s="417"/>
      <c r="D491" s="417"/>
      <c r="E491" s="950" t="str">
        <f>Translations!$B$414</f>
        <v>Post or department responsible for the procedure and for any data generated</v>
      </c>
      <c r="F491" s="951"/>
      <c r="G491" s="902"/>
      <c r="H491" s="903"/>
      <c r="I491" s="903"/>
      <c r="J491" s="903"/>
      <c r="K491" s="903"/>
      <c r="L491" s="903"/>
      <c r="M491" s="903"/>
      <c r="N491" s="904"/>
      <c r="O491" s="417"/>
      <c r="P491" s="72"/>
      <c r="Q491" s="72"/>
      <c r="R491" s="72"/>
      <c r="S491" s="72"/>
      <c r="T491" s="72"/>
      <c r="U491" s="72"/>
      <c r="V491" s="72"/>
      <c r="W491" s="72"/>
      <c r="X491" s="417"/>
      <c r="Y491" s="417"/>
      <c r="Z491" s="417"/>
      <c r="AA491" s="417"/>
      <c r="AB491" s="417"/>
    </row>
    <row r="492" spans="1:28" ht="12.75" hidden="1" customHeight="1" x14ac:dyDescent="0.2">
      <c r="A492" s="17" t="s">
        <v>1090</v>
      </c>
      <c r="B492" s="417"/>
      <c r="C492" s="417"/>
      <c r="D492" s="417"/>
      <c r="E492" s="950" t="str">
        <f>Translations!$B$416</f>
        <v>Location where records are kept</v>
      </c>
      <c r="F492" s="951"/>
      <c r="G492" s="902"/>
      <c r="H492" s="851"/>
      <c r="I492" s="851"/>
      <c r="J492" s="851"/>
      <c r="K492" s="851"/>
      <c r="L492" s="851"/>
      <c r="M492" s="851"/>
      <c r="N492" s="852"/>
      <c r="O492" s="417"/>
      <c r="P492" s="72"/>
      <c r="Q492" s="72"/>
      <c r="R492" s="72"/>
      <c r="S492" s="72"/>
      <c r="T492" s="72"/>
      <c r="U492" s="72"/>
      <c r="V492" s="72"/>
      <c r="W492" s="72"/>
      <c r="X492" s="417"/>
      <c r="Y492" s="417"/>
      <c r="Z492" s="417"/>
      <c r="AA492" s="417"/>
      <c r="AB492" s="417"/>
    </row>
    <row r="493" spans="1:28" ht="25.5" hidden="1" customHeight="1" x14ac:dyDescent="0.2">
      <c r="A493" s="17" t="s">
        <v>1090</v>
      </c>
      <c r="B493" s="417"/>
      <c r="C493" s="417"/>
      <c r="D493" s="417"/>
      <c r="E493" s="950" t="str">
        <f>Translations!$B$418</f>
        <v>Name of IT system used (where applicable).</v>
      </c>
      <c r="F493" s="951"/>
      <c r="G493" s="902"/>
      <c r="H493" s="851"/>
      <c r="I493" s="851"/>
      <c r="J493" s="851"/>
      <c r="K493" s="851"/>
      <c r="L493" s="851"/>
      <c r="M493" s="851"/>
      <c r="N493" s="852"/>
      <c r="O493" s="417"/>
      <c r="P493" s="72"/>
      <c r="Q493" s="72"/>
      <c r="R493" s="72"/>
      <c r="S493" s="72"/>
      <c r="T493" s="72"/>
      <c r="U493" s="72"/>
      <c r="V493" s="72"/>
      <c r="W493" s="72"/>
      <c r="X493" s="417"/>
      <c r="Y493" s="417"/>
      <c r="Z493" s="417"/>
      <c r="AA493" s="417"/>
      <c r="AB493" s="417"/>
    </row>
    <row r="494" spans="1:28" ht="25.5" hidden="1" customHeight="1" x14ac:dyDescent="0.2">
      <c r="A494" s="17" t="s">
        <v>1090</v>
      </c>
      <c r="B494" s="417"/>
      <c r="C494" s="417"/>
      <c r="D494" s="417"/>
      <c r="E494" s="950" t="str">
        <f>Translations!$B$420</f>
        <v>List of EN or other standards applied (where relevant)</v>
      </c>
      <c r="F494" s="951"/>
      <c r="G494" s="902"/>
      <c r="H494" s="851"/>
      <c r="I494" s="851"/>
      <c r="J494" s="851"/>
      <c r="K494" s="851"/>
      <c r="L494" s="851"/>
      <c r="M494" s="851"/>
      <c r="N494" s="852"/>
      <c r="O494" s="417"/>
      <c r="P494" s="72"/>
      <c r="Q494" s="72"/>
      <c r="R494" s="72"/>
      <c r="S494" s="72"/>
      <c r="T494" s="72"/>
      <c r="U494" s="72"/>
      <c r="V494" s="72"/>
      <c r="W494" s="72"/>
      <c r="X494" s="417"/>
      <c r="Y494" s="417"/>
      <c r="Z494" s="417"/>
      <c r="AA494" s="417"/>
      <c r="AB494" s="417"/>
    </row>
    <row r="495" spans="1:28" ht="12.75" customHeight="1" x14ac:dyDescent="0.2">
      <c r="A495" s="72" t="s">
        <v>5</v>
      </c>
      <c r="B495" s="417"/>
      <c r="C495" s="417"/>
      <c r="D495" s="417"/>
      <c r="E495" s="417"/>
      <c r="F495" s="417"/>
      <c r="G495" s="417"/>
      <c r="H495" s="417"/>
      <c r="I495" s="417"/>
      <c r="J495" s="417"/>
      <c r="K495" s="417"/>
      <c r="L495" s="417"/>
      <c r="M495" s="417"/>
      <c r="N495" s="417"/>
      <c r="O495" s="417"/>
      <c r="P495" s="72"/>
      <c r="Q495" s="72"/>
      <c r="R495" s="72"/>
      <c r="S495" s="72"/>
      <c r="T495" s="72"/>
      <c r="U495" s="72"/>
      <c r="V495" s="72"/>
      <c r="W495" s="72"/>
      <c r="X495" s="417"/>
      <c r="Y495" s="417"/>
      <c r="Z495" s="417"/>
      <c r="AA495" s="417"/>
      <c r="AB495" s="417"/>
    </row>
    <row r="496" spans="1:28" ht="5.0999999999999996" customHeight="1" x14ac:dyDescent="0.2">
      <c r="A496" s="17"/>
      <c r="B496" s="417"/>
      <c r="C496" s="430"/>
      <c r="D496" s="14"/>
      <c r="E496" s="417"/>
      <c r="F496" s="417"/>
      <c r="G496" s="1025" t="str">
        <f>Translations!$B$429</f>
        <v>Click "+" to add more procedures</v>
      </c>
      <c r="H496" s="1026"/>
      <c r="I496" s="1026"/>
      <c r="J496" s="1026"/>
      <c r="K496" s="1027"/>
      <c r="L496" s="417"/>
      <c r="M496" s="322"/>
      <c r="N496" s="417"/>
      <c r="O496" s="337"/>
      <c r="P496" s="72"/>
      <c r="Q496" s="72"/>
      <c r="R496" s="72"/>
      <c r="S496" s="72"/>
      <c r="T496" s="72"/>
      <c r="U496" s="102"/>
      <c r="V496" s="72"/>
      <c r="W496" s="72"/>
      <c r="X496" s="417"/>
      <c r="Y496" s="417"/>
      <c r="Z496" s="417"/>
      <c r="AA496" s="417"/>
      <c r="AB496" s="417"/>
    </row>
    <row r="497" spans="1:28" ht="12.75" customHeight="1" x14ac:dyDescent="0.2">
      <c r="A497" s="17"/>
      <c r="B497" s="417"/>
      <c r="C497" s="430"/>
      <c r="D497" s="14"/>
      <c r="E497" s="417"/>
      <c r="F497" s="417"/>
      <c r="G497" s="1028"/>
      <c r="H497" s="1029"/>
      <c r="I497" s="1029"/>
      <c r="J497" s="1029"/>
      <c r="K497" s="854"/>
      <c r="L497" s="417"/>
      <c r="M497" s="322"/>
      <c r="N497" s="417"/>
      <c r="O497" s="337"/>
      <c r="P497" s="72"/>
      <c r="Q497" s="72"/>
      <c r="R497" s="72"/>
      <c r="S497" s="72"/>
      <c r="T497" s="72"/>
      <c r="U497" s="102"/>
      <c r="V497" s="72"/>
      <c r="W497" s="72"/>
      <c r="X497" s="417"/>
      <c r="Y497" s="417"/>
      <c r="Z497" s="417"/>
      <c r="AA497" s="417"/>
      <c r="AB497" s="417"/>
    </row>
    <row r="498" spans="1:28" ht="5.0999999999999996" customHeight="1" x14ac:dyDescent="0.2">
      <c r="A498" s="17"/>
      <c r="B498" s="417"/>
      <c r="C498" s="430"/>
      <c r="D498" s="14"/>
      <c r="E498" s="417"/>
      <c r="F498" s="417"/>
      <c r="G498" s="1030"/>
      <c r="H498" s="1031"/>
      <c r="I498" s="1031"/>
      <c r="J498" s="1031"/>
      <c r="K498" s="1032"/>
      <c r="L498" s="417"/>
      <c r="M498" s="322"/>
      <c r="N498" s="417"/>
      <c r="O498" s="337"/>
      <c r="P498" s="72"/>
      <c r="Q498" s="72"/>
      <c r="R498" s="72"/>
      <c r="S498" s="72"/>
      <c r="T498" s="72"/>
      <c r="U498" s="102"/>
      <c r="V498" s="72"/>
      <c r="W498" s="72"/>
      <c r="X498" s="417"/>
      <c r="Y498" s="417"/>
      <c r="Z498" s="417"/>
      <c r="AA498" s="417"/>
      <c r="AB498" s="417"/>
    </row>
    <row r="499" spans="1:28" x14ac:dyDescent="0.2">
      <c r="A499" s="72"/>
      <c r="B499" s="417"/>
      <c r="C499" s="417"/>
      <c r="D499" s="417"/>
      <c r="E499" s="417"/>
      <c r="F499" s="417"/>
      <c r="G499" s="417"/>
      <c r="H499" s="417"/>
      <c r="I499" s="417"/>
      <c r="J499" s="417"/>
      <c r="K499" s="417"/>
      <c r="L499" s="417"/>
      <c r="M499" s="417"/>
      <c r="N499" s="417"/>
      <c r="O499" s="417"/>
      <c r="P499" s="72"/>
      <c r="Q499" s="72"/>
      <c r="R499" s="72"/>
      <c r="S499" s="72"/>
      <c r="T499" s="72"/>
      <c r="U499" s="72"/>
      <c r="V499" s="72"/>
      <c r="W499" s="72"/>
      <c r="X499" s="417"/>
      <c r="Y499" s="417"/>
      <c r="Z499" s="417"/>
      <c r="AA499" s="417"/>
      <c r="AB499" s="417"/>
    </row>
    <row r="500" spans="1:28" s="11" customFormat="1" ht="15" customHeight="1" x14ac:dyDescent="0.2">
      <c r="A500" s="6"/>
      <c r="E500" s="218"/>
      <c r="F500" s="770" t="str">
        <f>EUconst_MsgNextSheet</f>
        <v xml:space="preserve">&lt;&lt;&lt; Click here to proceed to next sheet &gt;&gt;&gt; </v>
      </c>
      <c r="G500" s="770"/>
      <c r="H500" s="770"/>
      <c r="I500" s="770"/>
      <c r="J500" s="770"/>
      <c r="K500" s="770"/>
      <c r="L500" s="770"/>
      <c r="M500" s="218"/>
      <c r="N500" s="218"/>
      <c r="P500" s="6"/>
      <c r="Q500" s="72"/>
      <c r="R500" s="72"/>
      <c r="S500" s="72"/>
      <c r="T500" s="72"/>
      <c r="U500" s="72"/>
      <c r="V500" s="72"/>
      <c r="W500" s="72"/>
    </row>
    <row r="501" spans="1:28" x14ac:dyDescent="0.2">
      <c r="A501" s="72"/>
      <c r="B501" s="417"/>
      <c r="C501" s="417"/>
      <c r="D501" s="417"/>
      <c r="E501" s="417"/>
      <c r="F501" s="417"/>
      <c r="G501" s="417"/>
      <c r="H501" s="417"/>
      <c r="I501" s="417"/>
      <c r="J501" s="417"/>
      <c r="K501" s="417"/>
      <c r="L501" s="417"/>
      <c r="M501" s="417"/>
      <c r="N501" s="417"/>
      <c r="O501" s="417"/>
      <c r="P501" s="72"/>
      <c r="Q501" s="72"/>
      <c r="R501" s="72"/>
      <c r="S501" s="72"/>
      <c r="T501" s="72"/>
      <c r="U501" s="72"/>
      <c r="V501" s="72"/>
      <c r="W501" s="72"/>
      <c r="X501" s="417"/>
      <c r="Y501" s="417"/>
      <c r="Z501" s="417"/>
      <c r="AA501" s="417"/>
      <c r="AB501" s="417"/>
    </row>
    <row r="502" spans="1:28" x14ac:dyDescent="0.2">
      <c r="A502" s="72"/>
      <c r="B502" s="417"/>
      <c r="C502" s="417"/>
      <c r="D502" s="417"/>
      <c r="E502" s="417"/>
      <c r="F502" s="417"/>
      <c r="G502" s="417"/>
      <c r="H502" s="417"/>
      <c r="I502" s="417"/>
      <c r="J502" s="417"/>
      <c r="K502" s="417"/>
      <c r="L502" s="417"/>
      <c r="M502" s="417"/>
      <c r="N502" s="417"/>
      <c r="O502" s="417"/>
      <c r="P502" s="72"/>
      <c r="Q502" s="72"/>
      <c r="R502" s="72"/>
      <c r="S502" s="72"/>
      <c r="T502" s="72"/>
      <c r="U502" s="72"/>
      <c r="V502" s="72"/>
      <c r="W502" s="72"/>
      <c r="X502" s="417"/>
      <c r="Y502" s="417"/>
      <c r="Z502" s="417"/>
      <c r="AA502" s="417"/>
      <c r="AB502" s="417"/>
    </row>
    <row r="503" spans="1:28" x14ac:dyDescent="0.2">
      <c r="Y503" s="417"/>
      <c r="Z503" s="417"/>
      <c r="AA503" s="417"/>
      <c r="AB503" s="417"/>
    </row>
  </sheetData>
  <sheetProtection sheet="1" objects="1" scenarios="1" formatCells="0" formatColumns="0" formatRows="0"/>
  <mergeCells count="379">
    <mergeCell ref="J410:N410"/>
    <mergeCell ref="J411:N411"/>
    <mergeCell ref="J408:N408"/>
    <mergeCell ref="D420:N420"/>
    <mergeCell ref="E436:N436"/>
    <mergeCell ref="E437:N437"/>
    <mergeCell ref="E430:N430"/>
    <mergeCell ref="E431:N431"/>
    <mergeCell ref="E427:N427"/>
    <mergeCell ref="E429:N429"/>
    <mergeCell ref="E433:N433"/>
    <mergeCell ref="E435:N435"/>
    <mergeCell ref="D426:N426"/>
    <mergeCell ref="D405:N405"/>
    <mergeCell ref="J409:N409"/>
    <mergeCell ref="J388:N388"/>
    <mergeCell ref="I391:N391"/>
    <mergeCell ref="I392:N392"/>
    <mergeCell ref="J393:N393"/>
    <mergeCell ref="I396:N396"/>
    <mergeCell ref="I397:N397"/>
    <mergeCell ref="J398:N398"/>
    <mergeCell ref="I401:N401"/>
    <mergeCell ref="I402:N402"/>
    <mergeCell ref="J403:N403"/>
    <mergeCell ref="I386:N386"/>
    <mergeCell ref="I387:N387"/>
    <mergeCell ref="E371:G371"/>
    <mergeCell ref="H371:L371"/>
    <mergeCell ref="E372:G372"/>
    <mergeCell ref="H372:L372"/>
    <mergeCell ref="D374:N374"/>
    <mergeCell ref="E376:N376"/>
    <mergeCell ref="D378:N378"/>
    <mergeCell ref="I381:N381"/>
    <mergeCell ref="I382:N382"/>
    <mergeCell ref="J383:N383"/>
    <mergeCell ref="D368:G368"/>
    <mergeCell ref="H368:L368"/>
    <mergeCell ref="M368:N368"/>
    <mergeCell ref="I330:N330"/>
    <mergeCell ref="J331:N331"/>
    <mergeCell ref="E370:G370"/>
    <mergeCell ref="H370:L370"/>
    <mergeCell ref="E355:N355"/>
    <mergeCell ref="E357:N357"/>
    <mergeCell ref="E358:N358"/>
    <mergeCell ref="J338:N338"/>
    <mergeCell ref="J339:N339"/>
    <mergeCell ref="D348:N348"/>
    <mergeCell ref="D354:N354"/>
    <mergeCell ref="E364:N364"/>
    <mergeCell ref="E365:N365"/>
    <mergeCell ref="E359:N359"/>
    <mergeCell ref="E361:N361"/>
    <mergeCell ref="E363:N363"/>
    <mergeCell ref="J337:N337"/>
    <mergeCell ref="I314:N314"/>
    <mergeCell ref="I315:N315"/>
    <mergeCell ref="J316:N316"/>
    <mergeCell ref="I319:N319"/>
    <mergeCell ref="I324:N324"/>
    <mergeCell ref="I325:N325"/>
    <mergeCell ref="J326:N326"/>
    <mergeCell ref="I329:N329"/>
    <mergeCell ref="J321:N321"/>
    <mergeCell ref="D302:N302"/>
    <mergeCell ref="E304:N304"/>
    <mergeCell ref="D306:N306"/>
    <mergeCell ref="I309:N309"/>
    <mergeCell ref="I310:N310"/>
    <mergeCell ref="J311:N311"/>
    <mergeCell ref="I320:N320"/>
    <mergeCell ref="D333:N333"/>
    <mergeCell ref="E300:G300"/>
    <mergeCell ref="H300:L300"/>
    <mergeCell ref="E287:N287"/>
    <mergeCell ref="E289:N289"/>
    <mergeCell ref="H296:L296"/>
    <mergeCell ref="E298:G298"/>
    <mergeCell ref="E291:N291"/>
    <mergeCell ref="E299:G299"/>
    <mergeCell ref="H299:L299"/>
    <mergeCell ref="E292:N292"/>
    <mergeCell ref="I247:N247"/>
    <mergeCell ref="I248:N248"/>
    <mergeCell ref="E293:N293"/>
    <mergeCell ref="D296:G296"/>
    <mergeCell ref="J265:N265"/>
    <mergeCell ref="E283:N283"/>
    <mergeCell ref="J267:N267"/>
    <mergeCell ref="D276:N276"/>
    <mergeCell ref="D282:N282"/>
    <mergeCell ref="E285:N285"/>
    <mergeCell ref="E286:N286"/>
    <mergeCell ref="M3:N3"/>
    <mergeCell ref="G2:H2"/>
    <mergeCell ref="D23:N23"/>
    <mergeCell ref="G447:N447"/>
    <mergeCell ref="I242:N242"/>
    <mergeCell ref="E447:F447"/>
    <mergeCell ref="M2:N2"/>
    <mergeCell ref="E3:F3"/>
    <mergeCell ref="K2:L2"/>
    <mergeCell ref="K8:N8"/>
    <mergeCell ref="E2:F2"/>
    <mergeCell ref="G3:H3"/>
    <mergeCell ref="I3:J3"/>
    <mergeCell ref="J249:N249"/>
    <mergeCell ref="G4:H4"/>
    <mergeCell ref="I4:J4"/>
    <mergeCell ref="D224:G224"/>
    <mergeCell ref="H224:L224"/>
    <mergeCell ref="M224:N224"/>
    <mergeCell ref="E226:G226"/>
    <mergeCell ref="I252:N252"/>
    <mergeCell ref="E232:N232"/>
    <mergeCell ref="D441:N441"/>
    <mergeCell ref="H298:L298"/>
    <mergeCell ref="E15:N15"/>
    <mergeCell ref="D29:N29"/>
    <mergeCell ref="D24:N24"/>
    <mergeCell ref="D26:N26"/>
    <mergeCell ref="D27:N27"/>
    <mergeCell ref="D19:N19"/>
    <mergeCell ref="E17:N17"/>
    <mergeCell ref="C6:K6"/>
    <mergeCell ref="L6:N6"/>
    <mergeCell ref="D25:N25"/>
    <mergeCell ref="D12:O12"/>
    <mergeCell ref="D10:N10"/>
    <mergeCell ref="E16:N16"/>
    <mergeCell ref="D46:N46"/>
    <mergeCell ref="J40:N40"/>
    <mergeCell ref="E228:G228"/>
    <mergeCell ref="D31:N31"/>
    <mergeCell ref="G486:N486"/>
    <mergeCell ref="E485:F485"/>
    <mergeCell ref="G485:N485"/>
    <mergeCell ref="E486:F486"/>
    <mergeCell ref="D234:N234"/>
    <mergeCell ref="J239:N239"/>
    <mergeCell ref="J254:N254"/>
    <mergeCell ref="E448:F448"/>
    <mergeCell ref="G446:N446"/>
    <mergeCell ref="G448:N448"/>
    <mergeCell ref="J266:N266"/>
    <mergeCell ref="G445:N445"/>
    <mergeCell ref="E445:F445"/>
    <mergeCell ref="E446:F446"/>
    <mergeCell ref="M296:N296"/>
    <mergeCell ref="I257:N257"/>
    <mergeCell ref="I258:N258"/>
    <mergeCell ref="J259:N259"/>
    <mergeCell ref="D261:N261"/>
    <mergeCell ref="D230:N230"/>
    <mergeCell ref="D32:N32"/>
    <mergeCell ref="D45:N45"/>
    <mergeCell ref="D36:N36"/>
    <mergeCell ref="D33:N33"/>
    <mergeCell ref="D34:N34"/>
    <mergeCell ref="D35:N35"/>
    <mergeCell ref="K4:L4"/>
    <mergeCell ref="M4:N4"/>
    <mergeCell ref="D28:N28"/>
    <mergeCell ref="B2:D4"/>
    <mergeCell ref="E4:F4"/>
    <mergeCell ref="K3:L3"/>
    <mergeCell ref="D20:N20"/>
    <mergeCell ref="D21:N21"/>
    <mergeCell ref="D22:N22"/>
    <mergeCell ref="I2:J2"/>
    <mergeCell ref="D37:N37"/>
    <mergeCell ref="D38:N38"/>
    <mergeCell ref="D40:I40"/>
    <mergeCell ref="D44:N44"/>
    <mergeCell ref="D41:N41"/>
    <mergeCell ref="D43:N43"/>
    <mergeCell ref="D30:N30"/>
    <mergeCell ref="D14:N14"/>
    <mergeCell ref="E49:G49"/>
    <mergeCell ref="E50:G50"/>
    <mergeCell ref="L49:N49"/>
    <mergeCell ref="L50:N50"/>
    <mergeCell ref="H49:K49"/>
    <mergeCell ref="F81:N81"/>
    <mergeCell ref="E79:N79"/>
    <mergeCell ref="F80:N80"/>
    <mergeCell ref="D65:N65"/>
    <mergeCell ref="E73:G73"/>
    <mergeCell ref="I90:N90"/>
    <mergeCell ref="I91:N91"/>
    <mergeCell ref="E85:N85"/>
    <mergeCell ref="D87:N87"/>
    <mergeCell ref="E74:G74"/>
    <mergeCell ref="H74:L74"/>
    <mergeCell ref="H73:L73"/>
    <mergeCell ref="D68:N68"/>
    <mergeCell ref="D69:N69"/>
    <mergeCell ref="D71:G71"/>
    <mergeCell ref="F82:N82"/>
    <mergeCell ref="E83:N83"/>
    <mergeCell ref="F500:L500"/>
    <mergeCell ref="E470:N470"/>
    <mergeCell ref="G490:N490"/>
    <mergeCell ref="E491:F491"/>
    <mergeCell ref="G491:N491"/>
    <mergeCell ref="I96:N96"/>
    <mergeCell ref="J92:N92"/>
    <mergeCell ref="I243:N243"/>
    <mergeCell ref="E140:N140"/>
    <mergeCell ref="E137:N137"/>
    <mergeCell ref="H152:L152"/>
    <mergeCell ref="M152:N152"/>
    <mergeCell ref="E227:G227"/>
    <mergeCell ref="H227:L227"/>
    <mergeCell ref="I95:N95"/>
    <mergeCell ref="G449:N449"/>
    <mergeCell ref="G452:N452"/>
    <mergeCell ref="J118:N118"/>
    <mergeCell ref="D114:N114"/>
    <mergeCell ref="H226:L226"/>
    <mergeCell ref="E451:F451"/>
    <mergeCell ref="J244:N244"/>
    <mergeCell ref="J167:N167"/>
    <mergeCell ref="D162:N162"/>
    <mergeCell ref="E466:F466"/>
    <mergeCell ref="E443:N443"/>
    <mergeCell ref="E456:N456"/>
    <mergeCell ref="E452:F452"/>
    <mergeCell ref="G451:N451"/>
    <mergeCell ref="G450:N450"/>
    <mergeCell ref="G454:N454"/>
    <mergeCell ref="G481:N481"/>
    <mergeCell ref="G472:N472"/>
    <mergeCell ref="G473:N473"/>
    <mergeCell ref="G477:N477"/>
    <mergeCell ref="G475:N475"/>
    <mergeCell ref="G466:N466"/>
    <mergeCell ref="G479:N479"/>
    <mergeCell ref="G480:N480"/>
    <mergeCell ref="E453:F453"/>
    <mergeCell ref="G453:N453"/>
    <mergeCell ref="G465:N465"/>
    <mergeCell ref="E461:F461"/>
    <mergeCell ref="G462:N462"/>
    <mergeCell ref="E462:F462"/>
    <mergeCell ref="E465:F465"/>
    <mergeCell ref="G459:N459"/>
    <mergeCell ref="G461:N461"/>
    <mergeCell ref="E457:N457"/>
    <mergeCell ref="E460:F460"/>
    <mergeCell ref="E459:F459"/>
    <mergeCell ref="G460:N460"/>
    <mergeCell ref="E454:F454"/>
    <mergeCell ref="G463:N463"/>
    <mergeCell ref="G464:N464"/>
    <mergeCell ref="E467:F467"/>
    <mergeCell ref="G478:N478"/>
    <mergeCell ref="E475:F475"/>
    <mergeCell ref="G476:N476"/>
    <mergeCell ref="E468:F468"/>
    <mergeCell ref="G467:N467"/>
    <mergeCell ref="G468:N468"/>
    <mergeCell ref="E473:F473"/>
    <mergeCell ref="E478:F478"/>
    <mergeCell ref="E472:F472"/>
    <mergeCell ref="E474:F474"/>
    <mergeCell ref="G474:N474"/>
    <mergeCell ref="G496:K498"/>
    <mergeCell ref="E483:N483"/>
    <mergeCell ref="E479:F479"/>
    <mergeCell ref="E480:F480"/>
    <mergeCell ref="G489:N489"/>
    <mergeCell ref="E494:F494"/>
    <mergeCell ref="G494:N494"/>
    <mergeCell ref="G487:N487"/>
    <mergeCell ref="G493:N493"/>
    <mergeCell ref="G492:N492"/>
    <mergeCell ref="E492:F492"/>
    <mergeCell ref="E481:F481"/>
    <mergeCell ref="E488:F488"/>
    <mergeCell ref="G488:N488"/>
    <mergeCell ref="E487:F487"/>
    <mergeCell ref="E493:F493"/>
    <mergeCell ref="D47:N47"/>
    <mergeCell ref="E52:G52"/>
    <mergeCell ref="E51:G51"/>
    <mergeCell ref="I176:N176"/>
    <mergeCell ref="I171:N171"/>
    <mergeCell ref="J172:N172"/>
    <mergeCell ref="E145:N145"/>
    <mergeCell ref="H154:L154"/>
    <mergeCell ref="D158:N158"/>
    <mergeCell ref="E154:G154"/>
    <mergeCell ref="D67:N67"/>
    <mergeCell ref="E54:G54"/>
    <mergeCell ref="G57:K59"/>
    <mergeCell ref="D63:N63"/>
    <mergeCell ref="E55:G55"/>
    <mergeCell ref="E53:G53"/>
    <mergeCell ref="L54:N54"/>
    <mergeCell ref="L55:N55"/>
    <mergeCell ref="J97:N97"/>
    <mergeCell ref="I100:N100"/>
    <mergeCell ref="E141:N141"/>
    <mergeCell ref="J119:N119"/>
    <mergeCell ref="E136:N136"/>
    <mergeCell ref="I165:N165"/>
    <mergeCell ref="I101:N101"/>
    <mergeCell ref="J102:N102"/>
    <mergeCell ref="I111:N111"/>
    <mergeCell ref="J112:N112"/>
    <mergeCell ref="I110:N110"/>
    <mergeCell ref="D135:N135"/>
    <mergeCell ref="D129:N129"/>
    <mergeCell ref="E214:N214"/>
    <mergeCell ref="D210:N210"/>
    <mergeCell ref="I181:N181"/>
    <mergeCell ref="E211:N211"/>
    <mergeCell ref="J177:N177"/>
    <mergeCell ref="I180:N180"/>
    <mergeCell ref="J193:N193"/>
    <mergeCell ref="J187:N187"/>
    <mergeCell ref="I186:N186"/>
    <mergeCell ref="E156:G156"/>
    <mergeCell ref="H156:L156"/>
    <mergeCell ref="J194:N194"/>
    <mergeCell ref="E213:N213"/>
    <mergeCell ref="J195:N195"/>
    <mergeCell ref="D204:N204"/>
    <mergeCell ref="J107:N107"/>
    <mergeCell ref="D152:G152"/>
    <mergeCell ref="E144:N144"/>
    <mergeCell ref="E147:N147"/>
    <mergeCell ref="E160:N160"/>
    <mergeCell ref="H50:K50"/>
    <mergeCell ref="H51:K51"/>
    <mergeCell ref="H52:K52"/>
    <mergeCell ref="H53:K53"/>
    <mergeCell ref="J120:N120"/>
    <mergeCell ref="I105:N105"/>
    <mergeCell ref="I106:N106"/>
    <mergeCell ref="H54:K54"/>
    <mergeCell ref="H55:K55"/>
    <mergeCell ref="L51:N51"/>
    <mergeCell ref="L52:N52"/>
    <mergeCell ref="L53:N53"/>
    <mergeCell ref="E143:N143"/>
    <mergeCell ref="D66:N66"/>
    <mergeCell ref="H75:L75"/>
    <mergeCell ref="D77:N77"/>
    <mergeCell ref="E75:G75"/>
    <mergeCell ref="H71:L71"/>
    <mergeCell ref="M71:N71"/>
    <mergeCell ref="J336:N336"/>
    <mergeCell ref="J264:N264"/>
    <mergeCell ref="J192:N192"/>
    <mergeCell ref="J117:N117"/>
    <mergeCell ref="D189:N189"/>
    <mergeCell ref="J182:N182"/>
    <mergeCell ref="I185:N185"/>
    <mergeCell ref="I170:N170"/>
    <mergeCell ref="I175:N175"/>
    <mergeCell ref="I166:N166"/>
    <mergeCell ref="E139:N139"/>
    <mergeCell ref="E155:G155"/>
    <mergeCell ref="H155:L155"/>
    <mergeCell ref="E149:N149"/>
    <mergeCell ref="E148:N148"/>
    <mergeCell ref="E220:N220"/>
    <mergeCell ref="E221:N221"/>
    <mergeCell ref="E217:N217"/>
    <mergeCell ref="E219:N219"/>
    <mergeCell ref="E215:N215"/>
    <mergeCell ref="H228:L228"/>
    <mergeCell ref="I253:N253"/>
    <mergeCell ref="I237:N237"/>
    <mergeCell ref="I238:N238"/>
  </mergeCells>
  <phoneticPr fontId="89" type="noConversion"/>
  <conditionalFormatting sqref="J101:N102 I95:I96 I90:I91 H111:H112 H106:H107 I111 J90:N92 H90:H92 H95:H97 J95:N97 H101:H102 I133:N133 J106:N107 H100:N100 H105:N105 H118:N120 I101 I106 J111:N112 H110:N110 J176:N177 I170:I171 I165:I166 H186:H187 H181:H182 I186 J165:N167 H165:H167 H170:H172 J170:N172 H176:H177 I208:N208 J181:N182 H175:N175 H180:N180 H193:N195 I176 I181 J186:N187 H185:N185 J248:N249 I242:I243 I237:I238 H258:H259 H253:H254 I258 J237:N239 H237:H239 H242:H244 J242:N244 H248:H249 I280:N280 J253:N254 H247:N247 H252:N252 H265:N267 I248 I253 J258:N259 H257:N257 J320:N321 I314:I315 I309:I310 H330:H331 H325:H326 I330 J309:N311 H309:H311 H314:H316 J314:N316 H320:H321 I352:N352 J325:N326 H319:N319 H324:N324 H337:N339 I320 I325 J330:N331 H329:N329 J392:N393 I386:I387 I381:I382 H402:H403 H397:H398 I402 J381:N383 H381:H383 H386:H388 J386:N388 H392:H393 I424:N424 J397:N398 H391:N391 H396:N396 H409:N411 I392 I397 J402:N403 H401:N401">
    <cfRule type="expression" dxfId="76" priority="3" stopIfTrue="1">
      <formula>($W90=TRUE)</formula>
    </cfRule>
  </conditionalFormatting>
  <conditionalFormatting sqref="E139:N141 E147:N149 E213:N215 E219:N221 E285:N287 E291:N293 E357:N359 E363:N365 E429:N431 E435:N437">
    <cfRule type="expression" dxfId="75" priority="4" stopIfTrue="1">
      <formula>($W139=TRUE)</formula>
    </cfRule>
  </conditionalFormatting>
  <conditionalFormatting sqref="I125:K127 I200:K202 I272:K274 I344:K346 I416:K418">
    <cfRule type="expression" dxfId="74" priority="5" stopIfTrue="1">
      <formula>($W125=TRUE)</formula>
    </cfRule>
    <cfRule type="expression" dxfId="73" priority="6" stopIfTrue="1">
      <formula>($S125=2)</formula>
    </cfRule>
  </conditionalFormatting>
  <conditionalFormatting sqref="L125:N127 L200:N202 L272:N274 L344:N346 L416:N418">
    <cfRule type="expression" dxfId="72" priority="7" stopIfTrue="1">
      <formula>($W125=TRUE)</formula>
    </cfRule>
    <cfRule type="expression" dxfId="71" priority="8" stopIfTrue="1">
      <formula>($S125=1)</formula>
    </cfRule>
  </conditionalFormatting>
  <conditionalFormatting sqref="G445:N454 G459:N468 G472:N481 D19:N38">
    <cfRule type="expression" dxfId="70" priority="9" stopIfTrue="1">
      <formula>$L$6=EUconst_NotRelevant</formula>
    </cfRule>
  </conditionalFormatting>
  <conditionalFormatting sqref="L50">
    <cfRule type="expression" dxfId="69" priority="10" stopIfTrue="1">
      <formula>$L$6=EUconst_NotRelevant</formula>
    </cfRule>
  </conditionalFormatting>
  <conditionalFormatting sqref="J40:N40">
    <cfRule type="expression" dxfId="68" priority="11" stopIfTrue="1">
      <formula>$L$6=EUconst_NotRelevant</formula>
    </cfRule>
    <cfRule type="expression" dxfId="67" priority="12" stopIfTrue="1">
      <formula>$W$40=TRUE</formula>
    </cfRule>
  </conditionalFormatting>
  <conditionalFormatting sqref="L51:L55">
    <cfRule type="expression" dxfId="66" priority="2" stopIfTrue="1">
      <formula>$L$6=EUconst_NotRelevant</formula>
    </cfRule>
  </conditionalFormatting>
  <conditionalFormatting sqref="G485:N494">
    <cfRule type="expression" dxfId="65" priority="1" stopIfTrue="1">
      <formula>$W$27</formula>
    </cfRule>
  </conditionalFormatting>
  <dataValidations count="5">
    <dataValidation type="list" allowBlank="1" showInputMessage="1" showErrorMessage="1" sqref="I193:I195 H402 H397 H392 H387 H382 I409:I411 H330 H325 H320 H315 H310 I337:I339 H258 H253 H248 H243 H238 I265:I267 H186 H181 H176 H171 H166 H91 I118:I120 H111 H106 H101 H96" xr:uid="{00000000-0002-0000-0A00-000000000000}">
      <formula1>PFCTiers</formula1>
    </dataValidation>
    <dataValidation type="list" allowBlank="1" showInputMessage="1" showErrorMessage="1" sqref="K208 K416:K418 K424 K344:K346 K352 K272:K274 K280 K200:K202 K125:K127 K133" xr:uid="{00000000-0002-0000-0A00-000001000000}">
      <formula1>CNTR_InformationSourceListISx</formula1>
    </dataValidation>
    <dataValidation type="list" allowBlank="1" showInputMessage="1" showErrorMessage="1" sqref="L208 L416:L418 L424 L344:L346 L352 L272:L274 L280 L200:L202 L125:L127 L133" xr:uid="{00000000-0002-0000-0A00-000002000000}">
      <formula1>CNTR_LaboratoriesListLx</formula1>
    </dataValidation>
    <dataValidation type="list" allowBlank="1" showInputMessage="1" showErrorMessage="1" sqref="N208 N416:N418 N424 N344:N346 N352 N272:N274 N280 N200:N202 N125:N127 N133" xr:uid="{00000000-0002-0000-0A00-000003000000}">
      <formula1>AnalysisFrequency</formula1>
    </dataValidation>
    <dataValidation type="list" allowBlank="1" showInputMessage="1" showErrorMessage="1" sqref="L50:L55 M51:M55" xr:uid="{00000000-0002-0000-0A00-000004000000}">
      <formula1>PFCCellTypes</formula1>
    </dataValidation>
  </dataValidations>
  <hyperlinks>
    <hyperlink ref="F500:L500" location="JUMP_J_Top" display="JUMP_J_Top" xr:uid="{00000000-0004-0000-0A00-000000000000}"/>
    <hyperlink ref="I3:J3" location="JUMP_15" display="JUMP_15" xr:uid="{00000000-0004-0000-0A00-000001000000}"/>
    <hyperlink ref="G3:H3" location="JUMP_14" display="JUMP_14" xr:uid="{00000000-0004-0000-0A00-000002000000}"/>
    <hyperlink ref="E4:F4" location="JUMP_I_Bottom" display="JUMP_I_Bottom" xr:uid="{00000000-0004-0000-0A00-000003000000}"/>
    <hyperlink ref="E3:F3" location="JUMP_I_Top" display="JUMP_I_Top" xr:uid="{00000000-0004-0000-0A00-000004000000}"/>
    <hyperlink ref="G2:H2" location="JUMP_a_Content" display="Table of contents" xr:uid="{00000000-0004-0000-0A00-000005000000}"/>
    <hyperlink ref="I2:J2" location="JUMP_H_Top" display="JUMP_H_Top" xr:uid="{00000000-0004-0000-0A00-000006000000}"/>
    <hyperlink ref="K2:L2" location="JUMP_J_Top" display="JUMP_J_Top" xr:uid="{00000000-0004-0000-0A00-000007000000}"/>
    <hyperlink ref="K3:L3" location="JUMP_16" display="JUMP_16" xr:uid="{00000000-0004-0000-0A00-000008000000}"/>
  </hyperlinks>
  <pageMargins left="0.78740157480314965" right="0.78740157480314965" top="0.78740157480314965" bottom="0.78740157480314965" header="0.39370078740157483" footer="0.39370078740157483"/>
  <pageSetup paperSize="9" scale="59" fitToHeight="10" orientation="portrait" r:id="rId1"/>
  <headerFooter alignWithMargins="0">
    <oddHeader>&amp;L&amp;F, &amp;A&amp;R&amp;D, &amp;T</oddHeader>
    <oddFooter>&amp;C&amp;P / &amp;N</oddFooter>
  </headerFooter>
  <rowBreaks count="1" manualBreakCount="1">
    <brk id="469"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indexed="15"/>
    <pageSetUpPr fitToPage="1"/>
  </sheetPr>
  <dimension ref="A1:W255"/>
  <sheetViews>
    <sheetView topLeftCell="B1" workbookViewId="0">
      <pane ySplit="4" topLeftCell="A5" activePane="bottomLeft" state="frozen"/>
      <selection activeCell="B2" sqref="B2"/>
      <selection pane="bottomLeft" activeCell="I2" sqref="I2:J2"/>
    </sheetView>
  </sheetViews>
  <sheetFormatPr defaultColWidth="9.140625" defaultRowHeight="12.75" x14ac:dyDescent="0.2"/>
  <cols>
    <col min="1" max="1" width="2.7109375" style="65" hidden="1" customWidth="1"/>
    <col min="2" max="2" width="2.7109375" style="8" customWidth="1"/>
    <col min="3" max="4" width="4.7109375" style="8" customWidth="1"/>
    <col min="5" max="14" width="12.7109375" style="8" customWidth="1"/>
    <col min="15" max="15" width="4.7109375" style="8" customWidth="1"/>
    <col min="16" max="16" width="9.140625" style="65" hidden="1" customWidth="1"/>
    <col min="17" max="17" width="9.140625" style="679" hidden="1" customWidth="1"/>
    <col min="18" max="16384" width="9.140625" style="8"/>
  </cols>
  <sheetData>
    <row r="1" spans="1:17" ht="13.5" hidden="1" thickBot="1" x14ac:dyDescent="0.25">
      <c r="A1" s="12" t="s">
        <v>1090</v>
      </c>
      <c r="B1" s="72"/>
      <c r="C1" s="72"/>
      <c r="D1" s="75"/>
      <c r="E1" s="72"/>
      <c r="F1" s="72"/>
      <c r="G1" s="72"/>
      <c r="H1" s="72"/>
      <c r="I1" s="72"/>
      <c r="J1" s="72"/>
      <c r="K1" s="72"/>
      <c r="L1" s="72"/>
      <c r="M1" s="72"/>
      <c r="N1" s="72"/>
      <c r="O1" s="65"/>
      <c r="P1" s="12" t="s">
        <v>1090</v>
      </c>
      <c r="Q1" s="624" t="s">
        <v>1090</v>
      </c>
    </row>
    <row r="2" spans="1:17" ht="13.5" customHeight="1" thickBot="1" x14ac:dyDescent="0.25">
      <c r="A2" s="12"/>
      <c r="B2" s="803" t="str">
        <f>Translations!$B$674</f>
        <v>J. Transferred CO2 &amp; CCS</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c r="P2" s="12"/>
    </row>
    <row r="3" spans="1:17" ht="12.75" customHeight="1" x14ac:dyDescent="0.2">
      <c r="A3" s="12"/>
      <c r="B3" s="806"/>
      <c r="C3" s="807"/>
      <c r="D3" s="808"/>
      <c r="E3" s="776" t="str">
        <f>Translations!$B$63</f>
        <v>Top of sheet</v>
      </c>
      <c r="F3" s="776"/>
      <c r="G3" s="1193"/>
      <c r="H3" s="1194"/>
      <c r="I3" s="1195"/>
      <c r="J3" s="1196"/>
      <c r="K3" s="1187"/>
      <c r="L3" s="1188"/>
      <c r="M3" s="1131"/>
      <c r="N3" s="778"/>
      <c r="O3" s="7"/>
      <c r="P3" s="12"/>
    </row>
    <row r="4" spans="1:17" ht="13.5" customHeight="1" thickBot="1" x14ac:dyDescent="0.25">
      <c r="A4" s="12"/>
      <c r="B4" s="809"/>
      <c r="C4" s="810"/>
      <c r="D4" s="811"/>
      <c r="E4" s="776" t="str">
        <f>Translations!$B$64</f>
        <v>End of sheet</v>
      </c>
      <c r="F4" s="776"/>
      <c r="G4" s="1197"/>
      <c r="H4" s="1185"/>
      <c r="I4" s="1185"/>
      <c r="J4" s="1185"/>
      <c r="K4" s="1185"/>
      <c r="L4" s="1186"/>
      <c r="M4" s="1131"/>
      <c r="N4" s="778"/>
      <c r="O4" s="7"/>
      <c r="P4" s="12"/>
    </row>
    <row r="5" spans="1:17" ht="12.75" customHeight="1" thickBot="1" x14ac:dyDescent="0.25">
      <c r="C5" s="9"/>
      <c r="D5" s="10"/>
      <c r="F5" s="10"/>
      <c r="G5" s="10"/>
      <c r="H5" s="10"/>
      <c r="M5" s="7"/>
      <c r="N5" s="7"/>
      <c r="O5" s="7"/>
      <c r="P5" s="12"/>
    </row>
    <row r="6" spans="1:17" s="184" customFormat="1" ht="25.5" customHeight="1" thickBot="1" x14ac:dyDescent="0.25">
      <c r="A6" s="248"/>
      <c r="B6" s="34"/>
      <c r="C6" s="812" t="str">
        <f>Translations!$B$1204</f>
        <v>J. Determination of transferred or inherent CO2 and transferred N2O</v>
      </c>
      <c r="D6" s="812"/>
      <c r="E6" s="812"/>
      <c r="F6" s="812"/>
      <c r="G6" s="812"/>
      <c r="H6" s="812"/>
      <c r="I6" s="812"/>
      <c r="J6" s="812"/>
      <c r="K6" s="812"/>
      <c r="L6" s="1000" t="str">
        <f>IF(AND(NOT(ISBLANK(CNTR_InstHasTransferredCO2)), CNTR_InstHasTransferredCO2=FALSE),EUconst_NotRelevant,EUconst_Relevant)</f>
        <v>relevant</v>
      </c>
      <c r="M6" s="1001"/>
      <c r="N6" s="1002"/>
      <c r="O6" s="36"/>
      <c r="P6" s="252"/>
      <c r="Q6" s="680"/>
    </row>
    <row r="7" spans="1:17" s="184" customFormat="1" ht="5.0999999999999996" customHeight="1" x14ac:dyDescent="0.2">
      <c r="A7" s="248"/>
      <c r="B7" s="34"/>
      <c r="C7" s="216"/>
      <c r="D7" s="221"/>
      <c r="E7" s="216"/>
      <c r="F7" s="216"/>
      <c r="G7" s="216"/>
      <c r="H7" s="216"/>
      <c r="I7" s="216"/>
      <c r="J7" s="216"/>
      <c r="K7" s="216"/>
      <c r="L7" s="219"/>
      <c r="M7" s="219"/>
      <c r="N7" s="219"/>
      <c r="O7" s="36"/>
      <c r="P7" s="252"/>
      <c r="Q7" s="680"/>
    </row>
    <row r="8" spans="1:17" x14ac:dyDescent="0.2">
      <c r="D8" s="10"/>
      <c r="K8" s="918" t="str">
        <f>IF(L6=EUconst_NotRelevant,HYPERLINK("#JUMP_J2_Top",EUconst_MsgNextSheet),HYPERLINK("",EUconst_MsgEnterThisSection))</f>
        <v>Please enter data in this section</v>
      </c>
      <c r="L8" s="918"/>
      <c r="M8" s="918"/>
      <c r="N8" s="918"/>
      <c r="O8" s="36"/>
    </row>
    <row r="9" spans="1:17" ht="5.0999999999999996" customHeight="1" x14ac:dyDescent="0.2">
      <c r="A9" s="250"/>
      <c r="B9" s="13"/>
      <c r="C9" s="13"/>
      <c r="D9" s="439"/>
      <c r="E9" s="411"/>
      <c r="F9" s="7"/>
      <c r="G9" s="411"/>
      <c r="H9" s="411"/>
      <c r="I9" s="411"/>
      <c r="J9" s="411"/>
      <c r="K9" s="411"/>
      <c r="L9" s="411"/>
      <c r="M9" s="411"/>
      <c r="N9" s="411"/>
      <c r="O9" s="36"/>
    </row>
    <row r="10" spans="1:17" ht="15.75" x14ac:dyDescent="0.25">
      <c r="A10" s="453"/>
      <c r="B10" s="417"/>
      <c r="C10" s="77">
        <v>17</v>
      </c>
      <c r="D10" s="1199" t="str">
        <f>Translations!$B$1205</f>
        <v>Determination of inherent and transferred CO2 and N2O</v>
      </c>
      <c r="E10" s="1199"/>
      <c r="F10" s="1199"/>
      <c r="G10" s="1199"/>
      <c r="H10" s="1199"/>
      <c r="I10" s="1199"/>
      <c r="J10" s="1199"/>
      <c r="K10" s="1199"/>
      <c r="L10" s="1199"/>
      <c r="M10" s="1199"/>
      <c r="N10" s="1199"/>
      <c r="O10" s="36"/>
    </row>
    <row r="11" spans="1:17" x14ac:dyDescent="0.2">
      <c r="A11" s="453"/>
      <c r="B11" s="417"/>
      <c r="C11" s="328"/>
      <c r="D11" s="68"/>
      <c r="E11" s="440"/>
      <c r="F11" s="440"/>
      <c r="G11" s="440"/>
      <c r="H11" s="440"/>
      <c r="I11" s="440"/>
      <c r="J11" s="440"/>
      <c r="K11" s="440"/>
      <c r="L11" s="440"/>
      <c r="M11" s="440"/>
      <c r="N11" s="440"/>
      <c r="O11" s="36"/>
      <c r="P11" s="254"/>
    </row>
    <row r="12" spans="1:17" ht="25.5" customHeight="1" x14ac:dyDescent="0.2">
      <c r="A12" s="453"/>
      <c r="B12" s="417"/>
      <c r="C12" s="417"/>
      <c r="D12" s="769" t="str">
        <f>Translations!$B$1206</f>
        <v>Note: this section is to be completed where transfer of inherent CO2 as part of a source stream in accordance with Article 48 of the MRR or transfer of CO2 or N2O in accordance with Article 49 and 50, respectively, of the MRR are carried out.</v>
      </c>
      <c r="E12" s="1004"/>
      <c r="F12" s="1004"/>
      <c r="G12" s="1004"/>
      <c r="H12" s="1004"/>
      <c r="I12" s="1004"/>
      <c r="J12" s="1004"/>
      <c r="K12" s="1004"/>
      <c r="L12" s="1004"/>
      <c r="M12" s="1004"/>
      <c r="N12" s="1004"/>
      <c r="O12" s="417"/>
      <c r="P12" s="454"/>
    </row>
    <row r="13" spans="1:17" ht="25.5" customHeight="1" x14ac:dyDescent="0.2">
      <c r="A13" s="453"/>
      <c r="B13" s="417"/>
      <c r="C13" s="417"/>
      <c r="D13" s="769" t="str">
        <f>Translations!$B$1357</f>
        <v>Furthermore this sheet is relevant for information to be provided where activities of CO2 capture, transport or geological storage of CO2 as covered by Annex I of the EU ETS Directive are carried out.</v>
      </c>
      <c r="E13" s="1004"/>
      <c r="F13" s="1004"/>
      <c r="G13" s="1004"/>
      <c r="H13" s="1004"/>
      <c r="I13" s="1004"/>
      <c r="J13" s="1004"/>
      <c r="K13" s="1004"/>
      <c r="L13" s="1004"/>
      <c r="M13" s="1004"/>
      <c r="N13" s="1004"/>
      <c r="O13" s="417"/>
      <c r="P13" s="454"/>
    </row>
    <row r="14" spans="1:17" ht="25.5" customHeight="1" x14ac:dyDescent="0.2">
      <c r="A14" s="453"/>
      <c r="B14" s="417"/>
      <c r="C14" s="417"/>
      <c r="D14" s="769" t="str">
        <f>Translations!$B$1358</f>
        <v>Subject to the monitoring approach chosen, information regarding any source streams are to be provided in sheet E_SourceStreams and any information regarding the measurement points and measuring instruments are to be provided in sheet F_MeasurementBasedApproaches.</v>
      </c>
      <c r="E14" s="1004"/>
      <c r="F14" s="1004"/>
      <c r="G14" s="1004"/>
      <c r="H14" s="1004"/>
      <c r="I14" s="1004"/>
      <c r="J14" s="1004"/>
      <c r="K14" s="1004"/>
      <c r="L14" s="1004"/>
      <c r="M14" s="1004"/>
      <c r="N14" s="1004"/>
      <c r="O14" s="417"/>
      <c r="P14" s="454"/>
    </row>
    <row r="15" spans="1:17" ht="5.0999999999999996" customHeight="1" x14ac:dyDescent="0.2">
      <c r="A15" s="453"/>
      <c r="B15" s="417"/>
      <c r="C15" s="417"/>
      <c r="D15" s="417"/>
      <c r="E15" s="431"/>
      <c r="F15" s="417"/>
      <c r="G15" s="417"/>
      <c r="H15" s="417"/>
      <c r="I15" s="417"/>
      <c r="J15" s="417"/>
      <c r="K15" s="417"/>
      <c r="L15" s="417"/>
      <c r="M15" s="417"/>
      <c r="N15" s="417"/>
      <c r="O15" s="417"/>
    </row>
    <row r="16" spans="1:17" ht="17.25" customHeight="1" x14ac:dyDescent="0.2">
      <c r="A16" s="453"/>
      <c r="B16" s="417"/>
      <c r="C16" s="417"/>
      <c r="D16" s="14" t="s">
        <v>1018</v>
      </c>
      <c r="E16" s="717" t="str">
        <f>Translations!$B$1207</f>
        <v xml:space="preserve">Please provide a detailed description of the monitoring methodology used to determine inherent or transferred CO2 or N2O. </v>
      </c>
      <c r="F16" s="1004"/>
      <c r="G16" s="1004"/>
      <c r="H16" s="1004"/>
      <c r="I16" s="1004"/>
      <c r="J16" s="1004"/>
      <c r="K16" s="1004"/>
      <c r="L16" s="1004"/>
      <c r="M16" s="1004"/>
      <c r="N16" s="1004"/>
      <c r="O16" s="417"/>
      <c r="P16" s="317"/>
    </row>
    <row r="17" spans="1:17" s="316" customFormat="1" ht="12.75" customHeight="1" x14ac:dyDescent="0.2">
      <c r="A17" s="72"/>
      <c r="B17" s="417"/>
      <c r="C17" s="417"/>
      <c r="D17" s="417"/>
      <c r="E17" s="869" t="str">
        <f>Translations!$B$1208</f>
        <v>Please provide a concise description of the monitoring approach, including formulae, used to determine your annual CO2, N2O or CO2(e) emissions in the text box below.</v>
      </c>
      <c r="F17" s="869"/>
      <c r="G17" s="869"/>
      <c r="H17" s="869"/>
      <c r="I17" s="869"/>
      <c r="J17" s="869"/>
      <c r="K17" s="869"/>
      <c r="L17" s="869"/>
      <c r="M17" s="869"/>
      <c r="N17" s="869"/>
      <c r="O17" s="417"/>
      <c r="P17" s="317"/>
      <c r="Q17" s="681"/>
    </row>
    <row r="18" spans="1:17" s="316" customFormat="1" ht="25.5" customHeight="1" x14ac:dyDescent="0.2">
      <c r="A18" s="72"/>
      <c r="B18" s="417"/>
      <c r="C18" s="417"/>
      <c r="D18" s="417"/>
      <c r="E18" s="869" t="str">
        <f>Translations!$B$1209</f>
        <v>This should cover in particular the amounts of CO2 and N2O to be added due to receiving transferred CO2 and N2O, or for subtracting CO2(e) due to transfer out of the installation, as appropriate. Please make sure that this calculation is in line with Articles 48, 49 and 50 of the MRR.</v>
      </c>
      <c r="F18" s="869"/>
      <c r="G18" s="869"/>
      <c r="H18" s="869"/>
      <c r="I18" s="869"/>
      <c r="J18" s="869"/>
      <c r="K18" s="869"/>
      <c r="L18" s="869"/>
      <c r="M18" s="869"/>
      <c r="N18" s="869"/>
      <c r="O18" s="417"/>
      <c r="P18" s="317"/>
      <c r="Q18" s="681"/>
    </row>
    <row r="19" spans="1:17" s="316" customFormat="1" ht="25.5" customHeight="1" x14ac:dyDescent="0.2">
      <c r="A19" s="72"/>
      <c r="B19" s="417"/>
      <c r="C19" s="417"/>
      <c r="D19" s="417"/>
      <c r="E19" s="869" t="str">
        <f>Translations!$B$680</f>
        <v>If the description is too complex, e.g. complex formulas are applied or a diagram is needed for facilitating the description, you may provide the description in a separate document using a file format acceptable for the CA. In this case please reference this file here, by using the file name and date.</v>
      </c>
      <c r="F19" s="869"/>
      <c r="G19" s="869"/>
      <c r="H19" s="869"/>
      <c r="I19" s="869"/>
      <c r="J19" s="869"/>
      <c r="K19" s="869"/>
      <c r="L19" s="869"/>
      <c r="M19" s="869"/>
      <c r="N19" s="869"/>
      <c r="O19" s="417"/>
      <c r="P19" s="317"/>
      <c r="Q19" s="681"/>
    </row>
    <row r="20" spans="1:17" s="112" customFormat="1" ht="25.5" customHeight="1" x14ac:dyDescent="0.2">
      <c r="A20" s="65"/>
      <c r="C20" s="331"/>
      <c r="E20" s="869" t="str">
        <f>Translations!$B$195</f>
        <v>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v>
      </c>
      <c r="F20" s="869"/>
      <c r="G20" s="869"/>
      <c r="H20" s="869"/>
      <c r="I20" s="869"/>
      <c r="J20" s="869"/>
      <c r="K20" s="869"/>
      <c r="L20" s="869"/>
      <c r="M20" s="869"/>
      <c r="N20" s="869"/>
      <c r="O20" s="417"/>
      <c r="P20" s="349"/>
      <c r="Q20" s="682"/>
    </row>
    <row r="21" spans="1:17" ht="5.0999999999999996" customHeight="1" x14ac:dyDescent="0.2">
      <c r="A21" s="453"/>
      <c r="B21" s="417"/>
      <c r="C21" s="417"/>
      <c r="D21" s="417"/>
      <c r="E21" s="431"/>
      <c r="F21" s="431"/>
      <c r="G21" s="431"/>
      <c r="H21" s="431"/>
      <c r="I21" s="431"/>
      <c r="J21" s="431"/>
      <c r="K21" s="431"/>
      <c r="L21" s="431"/>
      <c r="M21" s="417"/>
      <c r="N21" s="417"/>
      <c r="O21" s="417"/>
    </row>
    <row r="22" spans="1:17" ht="12.75" customHeight="1" x14ac:dyDescent="0.2">
      <c r="A22" s="453"/>
      <c r="B22" s="417"/>
      <c r="C22" s="417"/>
      <c r="D22" s="417"/>
      <c r="E22" s="936"/>
      <c r="F22" s="1210"/>
      <c r="G22" s="1210"/>
      <c r="H22" s="1210"/>
      <c r="I22" s="1210"/>
      <c r="J22" s="1210"/>
      <c r="K22" s="1210"/>
      <c r="L22" s="1210"/>
      <c r="M22" s="1210"/>
      <c r="N22" s="1211"/>
      <c r="O22" s="417"/>
      <c r="P22" s="460"/>
    </row>
    <row r="23" spans="1:17" x14ac:dyDescent="0.2">
      <c r="A23" s="453"/>
      <c r="B23" s="417"/>
      <c r="C23" s="417"/>
      <c r="D23" s="417"/>
      <c r="E23" s="863"/>
      <c r="F23" s="1201"/>
      <c r="G23" s="1201"/>
      <c r="H23" s="1201"/>
      <c r="I23" s="1201"/>
      <c r="J23" s="1201"/>
      <c r="K23" s="1201"/>
      <c r="L23" s="1201"/>
      <c r="M23" s="1201"/>
      <c r="N23" s="1202"/>
      <c r="O23" s="417"/>
      <c r="P23" s="460"/>
    </row>
    <row r="24" spans="1:17" x14ac:dyDescent="0.2">
      <c r="A24" s="453"/>
      <c r="B24" s="417"/>
      <c r="C24" s="417"/>
      <c r="D24" s="417"/>
      <c r="E24" s="863"/>
      <c r="F24" s="1201"/>
      <c r="G24" s="1201"/>
      <c r="H24" s="1201"/>
      <c r="I24" s="1201"/>
      <c r="J24" s="1201"/>
      <c r="K24" s="1201"/>
      <c r="L24" s="1201"/>
      <c r="M24" s="1201"/>
      <c r="N24" s="1202"/>
      <c r="O24" s="417"/>
      <c r="P24" s="460"/>
    </row>
    <row r="25" spans="1:17" x14ac:dyDescent="0.2">
      <c r="A25" s="453"/>
      <c r="B25" s="417"/>
      <c r="C25" s="417"/>
      <c r="D25" s="417"/>
      <c r="E25" s="863"/>
      <c r="F25" s="1201"/>
      <c r="G25" s="1201"/>
      <c r="H25" s="1201"/>
      <c r="I25" s="1201"/>
      <c r="J25" s="1201"/>
      <c r="K25" s="1201"/>
      <c r="L25" s="1201"/>
      <c r="M25" s="1201"/>
      <c r="N25" s="1202"/>
      <c r="O25" s="417"/>
      <c r="P25" s="460"/>
    </row>
    <row r="26" spans="1:17" x14ac:dyDescent="0.2">
      <c r="A26" s="453"/>
      <c r="B26" s="417"/>
      <c r="C26" s="417"/>
      <c r="D26" s="417"/>
      <c r="E26" s="863"/>
      <c r="F26" s="1201"/>
      <c r="G26" s="1201"/>
      <c r="H26" s="1201"/>
      <c r="I26" s="1201"/>
      <c r="J26" s="1201"/>
      <c r="K26" s="1201"/>
      <c r="L26" s="1201"/>
      <c r="M26" s="1201"/>
      <c r="N26" s="1202"/>
      <c r="O26" s="417"/>
      <c r="P26" s="460"/>
    </row>
    <row r="27" spans="1:17" x14ac:dyDescent="0.2">
      <c r="A27" s="453"/>
      <c r="B27" s="417"/>
      <c r="C27" s="417"/>
      <c r="D27" s="417"/>
      <c r="E27" s="863"/>
      <c r="F27" s="1201"/>
      <c r="G27" s="1201"/>
      <c r="H27" s="1201"/>
      <c r="I27" s="1201"/>
      <c r="J27" s="1201"/>
      <c r="K27" s="1201"/>
      <c r="L27" s="1201"/>
      <c r="M27" s="1201"/>
      <c r="N27" s="1202"/>
      <c r="O27" s="417"/>
      <c r="P27" s="460"/>
    </row>
    <row r="28" spans="1:17" x14ac:dyDescent="0.2">
      <c r="A28" s="453"/>
      <c r="B28" s="417"/>
      <c r="C28" s="417"/>
      <c r="D28" s="417"/>
      <c r="E28" s="863"/>
      <c r="F28" s="1201"/>
      <c r="G28" s="1201"/>
      <c r="H28" s="1201"/>
      <c r="I28" s="1201"/>
      <c r="J28" s="1201"/>
      <c r="K28" s="1201"/>
      <c r="L28" s="1201"/>
      <c r="M28" s="1201"/>
      <c r="N28" s="1202"/>
      <c r="O28" s="417"/>
      <c r="P28" s="460"/>
    </row>
    <row r="29" spans="1:17" x14ac:dyDescent="0.2">
      <c r="A29" s="453"/>
      <c r="B29" s="417"/>
      <c r="C29" s="417"/>
      <c r="D29" s="417"/>
      <c r="E29" s="863"/>
      <c r="F29" s="1201"/>
      <c r="G29" s="1201"/>
      <c r="H29" s="1201"/>
      <c r="I29" s="1201"/>
      <c r="J29" s="1201"/>
      <c r="K29" s="1201"/>
      <c r="L29" s="1201"/>
      <c r="M29" s="1201"/>
      <c r="N29" s="1202"/>
      <c r="O29" s="417"/>
      <c r="P29" s="460"/>
    </row>
    <row r="30" spans="1:17" x14ac:dyDescent="0.2">
      <c r="A30" s="453"/>
      <c r="B30" s="417"/>
      <c r="C30" s="417"/>
      <c r="D30" s="417"/>
      <c r="E30" s="863"/>
      <c r="F30" s="1201"/>
      <c r="G30" s="1201"/>
      <c r="H30" s="1201"/>
      <c r="I30" s="1201"/>
      <c r="J30" s="1201"/>
      <c r="K30" s="1201"/>
      <c r="L30" s="1201"/>
      <c r="M30" s="1201"/>
      <c r="N30" s="1202"/>
      <c r="O30" s="417"/>
      <c r="P30" s="460"/>
    </row>
    <row r="31" spans="1:17" x14ac:dyDescent="0.2">
      <c r="A31" s="453"/>
      <c r="B31" s="417"/>
      <c r="C31" s="417"/>
      <c r="D31" s="417"/>
      <c r="E31" s="863"/>
      <c r="F31" s="1201"/>
      <c r="G31" s="1201"/>
      <c r="H31" s="1201"/>
      <c r="I31" s="1201"/>
      <c r="J31" s="1201"/>
      <c r="K31" s="1201"/>
      <c r="L31" s="1201"/>
      <c r="M31" s="1201"/>
      <c r="N31" s="1202"/>
      <c r="O31" s="417"/>
      <c r="P31" s="460"/>
    </row>
    <row r="32" spans="1:17" x14ac:dyDescent="0.2">
      <c r="A32" s="453"/>
      <c r="B32" s="417"/>
      <c r="C32" s="417"/>
      <c r="D32" s="417"/>
      <c r="E32" s="863"/>
      <c r="F32" s="1201"/>
      <c r="G32" s="1201"/>
      <c r="H32" s="1201"/>
      <c r="I32" s="1201"/>
      <c r="J32" s="1201"/>
      <c r="K32" s="1201"/>
      <c r="L32" s="1201"/>
      <c r="M32" s="1201"/>
      <c r="N32" s="1202"/>
      <c r="O32" s="417"/>
      <c r="P32" s="460"/>
    </row>
    <row r="33" spans="1:17" x14ac:dyDescent="0.2">
      <c r="A33" s="453"/>
      <c r="B33" s="417"/>
      <c r="C33" s="417"/>
      <c r="D33" s="417"/>
      <c r="E33" s="863"/>
      <c r="F33" s="1201"/>
      <c r="G33" s="1201"/>
      <c r="H33" s="1201"/>
      <c r="I33" s="1201"/>
      <c r="J33" s="1201"/>
      <c r="K33" s="1201"/>
      <c r="L33" s="1201"/>
      <c r="M33" s="1201"/>
      <c r="N33" s="1202"/>
      <c r="O33" s="417"/>
      <c r="P33" s="460"/>
    </row>
    <row r="34" spans="1:17" x14ac:dyDescent="0.2">
      <c r="A34" s="453"/>
      <c r="B34" s="417"/>
      <c r="C34" s="417"/>
      <c r="D34" s="417"/>
      <c r="E34" s="863"/>
      <c r="F34" s="1201"/>
      <c r="G34" s="1201"/>
      <c r="H34" s="1201"/>
      <c r="I34" s="1201"/>
      <c r="J34" s="1201"/>
      <c r="K34" s="1201"/>
      <c r="L34" s="1201"/>
      <c r="M34" s="1201"/>
      <c r="N34" s="1202"/>
      <c r="O34" s="417"/>
      <c r="P34" s="460"/>
    </row>
    <row r="35" spans="1:17" x14ac:dyDescent="0.2">
      <c r="A35" s="453"/>
      <c r="B35" s="417"/>
      <c r="C35" s="417"/>
      <c r="D35" s="417"/>
      <c r="E35" s="863"/>
      <c r="F35" s="1201"/>
      <c r="G35" s="1201"/>
      <c r="H35" s="1201"/>
      <c r="I35" s="1201"/>
      <c r="J35" s="1201"/>
      <c r="K35" s="1201"/>
      <c r="L35" s="1201"/>
      <c r="M35" s="1201"/>
      <c r="N35" s="1202"/>
      <c r="O35" s="417"/>
      <c r="P35" s="460"/>
    </row>
    <row r="36" spans="1:17" x14ac:dyDescent="0.2">
      <c r="A36" s="453"/>
      <c r="B36" s="417"/>
      <c r="C36" s="417"/>
      <c r="D36" s="417"/>
      <c r="E36" s="863"/>
      <c r="F36" s="1201"/>
      <c r="G36" s="1201"/>
      <c r="H36" s="1201"/>
      <c r="I36" s="1201"/>
      <c r="J36" s="1201"/>
      <c r="K36" s="1201"/>
      <c r="L36" s="1201"/>
      <c r="M36" s="1201"/>
      <c r="N36" s="1202"/>
      <c r="O36" s="417"/>
      <c r="P36" s="460"/>
    </row>
    <row r="37" spans="1:17" x14ac:dyDescent="0.2">
      <c r="A37" s="453"/>
      <c r="B37" s="417"/>
      <c r="C37" s="417"/>
      <c r="D37" s="417"/>
      <c r="E37" s="863"/>
      <c r="F37" s="1201"/>
      <c r="G37" s="1201"/>
      <c r="H37" s="1201"/>
      <c r="I37" s="1201"/>
      <c r="J37" s="1201"/>
      <c r="K37" s="1201"/>
      <c r="L37" s="1201"/>
      <c r="M37" s="1201"/>
      <c r="N37" s="1202"/>
      <c r="O37" s="417"/>
      <c r="P37" s="460"/>
    </row>
    <row r="38" spans="1:17" x14ac:dyDescent="0.2">
      <c r="A38" s="453"/>
      <c r="B38" s="417"/>
      <c r="C38" s="417"/>
      <c r="D38" s="417"/>
      <c r="E38" s="863"/>
      <c r="F38" s="1201"/>
      <c r="G38" s="1201"/>
      <c r="H38" s="1201"/>
      <c r="I38" s="1201"/>
      <c r="J38" s="1201"/>
      <c r="K38" s="1201"/>
      <c r="L38" s="1201"/>
      <c r="M38" s="1201"/>
      <c r="N38" s="1202"/>
      <c r="O38" s="417"/>
      <c r="P38" s="460"/>
    </row>
    <row r="39" spans="1:17" x14ac:dyDescent="0.2">
      <c r="A39" s="453"/>
      <c r="B39" s="417"/>
      <c r="C39" s="417"/>
      <c r="D39" s="417"/>
      <c r="E39" s="863"/>
      <c r="F39" s="1201"/>
      <c r="G39" s="1201"/>
      <c r="H39" s="1201"/>
      <c r="I39" s="1201"/>
      <c r="J39" s="1201"/>
      <c r="K39" s="1201"/>
      <c r="L39" s="1201"/>
      <c r="M39" s="1201"/>
      <c r="N39" s="1202"/>
      <c r="O39" s="417"/>
      <c r="P39" s="460"/>
    </row>
    <row r="40" spans="1:17" x14ac:dyDescent="0.2">
      <c r="A40" s="453"/>
      <c r="B40" s="417"/>
      <c r="C40" s="417"/>
      <c r="D40" s="417"/>
      <c r="E40" s="863"/>
      <c r="F40" s="1201"/>
      <c r="G40" s="1201"/>
      <c r="H40" s="1201"/>
      <c r="I40" s="1201"/>
      <c r="J40" s="1201"/>
      <c r="K40" s="1201"/>
      <c r="L40" s="1201"/>
      <c r="M40" s="1201"/>
      <c r="N40" s="1202"/>
      <c r="O40" s="417"/>
      <c r="P40" s="460"/>
    </row>
    <row r="41" spans="1:17" x14ac:dyDescent="0.2">
      <c r="A41" s="453"/>
      <c r="B41" s="337"/>
      <c r="C41" s="337"/>
      <c r="D41" s="417"/>
      <c r="E41" s="866"/>
      <c r="F41" s="1206"/>
      <c r="G41" s="1206"/>
      <c r="H41" s="1206"/>
      <c r="I41" s="1206"/>
      <c r="J41" s="1206"/>
      <c r="K41" s="1206"/>
      <c r="L41" s="1206"/>
      <c r="M41" s="1206"/>
      <c r="N41" s="1207"/>
      <c r="O41" s="417"/>
      <c r="P41" s="460"/>
    </row>
    <row r="42" spans="1:17" x14ac:dyDescent="0.2">
      <c r="A42" s="453"/>
      <c r="B42" s="417"/>
      <c r="C42" s="417"/>
      <c r="D42" s="417"/>
      <c r="E42" s="411"/>
      <c r="F42" s="411"/>
      <c r="G42" s="411"/>
      <c r="H42" s="411"/>
      <c r="I42" s="411"/>
      <c r="J42" s="411"/>
      <c r="K42" s="411"/>
      <c r="L42" s="411"/>
      <c r="M42" s="417"/>
      <c r="N42" s="417"/>
      <c r="O42" s="417"/>
    </row>
    <row r="43" spans="1:17" ht="12.75" customHeight="1" x14ac:dyDescent="0.2">
      <c r="A43" s="453"/>
      <c r="B43" s="417"/>
      <c r="C43" s="417"/>
      <c r="D43" s="14" t="s">
        <v>1020</v>
      </c>
      <c r="E43" s="1208" t="str">
        <f>Translations!$B$681</f>
        <v>Please provide details of the receiving and transferring installations</v>
      </c>
      <c r="F43" s="797"/>
      <c r="G43" s="797"/>
      <c r="H43" s="797"/>
      <c r="I43" s="797"/>
      <c r="J43" s="797"/>
      <c r="K43" s="797"/>
      <c r="L43" s="797"/>
      <c r="M43" s="797"/>
      <c r="N43" s="797"/>
      <c r="O43" s="417"/>
      <c r="P43" s="317"/>
    </row>
    <row r="44" spans="1:17" s="316" customFormat="1" ht="12.75" customHeight="1" x14ac:dyDescent="0.2">
      <c r="A44" s="72"/>
      <c r="B44" s="417"/>
      <c r="C44" s="417"/>
      <c r="D44" s="417"/>
      <c r="E44" s="1077" t="str">
        <f>Translations!$B$1210</f>
        <v>Please give here for each installation (or other entity) from which you receive or to which you transfer inherent or transferred CO2(e) the following information:</v>
      </c>
      <c r="F44" s="1077"/>
      <c r="G44" s="1077"/>
      <c r="H44" s="1077"/>
      <c r="I44" s="1077"/>
      <c r="J44" s="1077"/>
      <c r="K44" s="1077"/>
      <c r="L44" s="1077"/>
      <c r="M44" s="1077"/>
      <c r="N44" s="1077"/>
      <c r="O44" s="417"/>
      <c r="P44" s="317"/>
      <c r="Q44" s="681"/>
    </row>
    <row r="45" spans="1:17" ht="25.5" customHeight="1" x14ac:dyDescent="0.2">
      <c r="A45" s="72"/>
      <c r="E45" s="457" t="str">
        <f>Translations!$B$683</f>
        <v>Installation name</v>
      </c>
      <c r="F45" s="1078" t="str">
        <f>Translations!$B$1211</f>
        <v>Give here the name of the installation or non-ETS entity, from which or to which CO2(e) is transferred. To the extent feasible use the same name as the competent authority and the Registry use.</v>
      </c>
      <c r="G45" s="1078"/>
      <c r="H45" s="1078"/>
      <c r="I45" s="1078"/>
      <c r="J45" s="1078"/>
      <c r="K45" s="1078"/>
      <c r="L45" s="1078"/>
      <c r="M45" s="1078"/>
      <c r="N45" s="1078"/>
      <c r="O45" s="417"/>
      <c r="P45" s="317"/>
    </row>
    <row r="46" spans="1:17" ht="25.5" customHeight="1" x14ac:dyDescent="0.2">
      <c r="A46" s="72"/>
      <c r="E46" s="457" t="str">
        <f>Translations!$B$156</f>
        <v>Operator Name</v>
      </c>
      <c r="F46" s="1078" t="str">
        <f>Translations!$B$685</f>
        <v>Name of the operator of that installation or non-ETS entity.</v>
      </c>
      <c r="G46" s="1078"/>
      <c r="H46" s="1078"/>
      <c r="I46" s="1078"/>
      <c r="J46" s="1078"/>
      <c r="K46" s="1078"/>
      <c r="L46" s="1078"/>
      <c r="M46" s="1078"/>
      <c r="N46" s="1078"/>
      <c r="O46" s="417"/>
      <c r="P46" s="317"/>
    </row>
    <row r="47" spans="1:17" ht="25.5" customHeight="1" x14ac:dyDescent="0.2">
      <c r="A47" s="72"/>
      <c r="E47" s="458" t="str">
        <f>Translations!$B$686</f>
        <v>Unique ID</v>
      </c>
      <c r="F47" s="1079" t="str">
        <f>Translations!$B$687</f>
        <v>For EU ETS installations, give the unique ID of the installation as used by the Registry system. In case of doubt contact the competent authority for the correct format of the ID.</v>
      </c>
      <c r="G47" s="1079"/>
      <c r="H47" s="1079"/>
      <c r="I47" s="1079"/>
      <c r="J47" s="1079"/>
      <c r="K47" s="1079"/>
      <c r="L47" s="1079"/>
      <c r="M47" s="1079"/>
      <c r="N47" s="1079"/>
      <c r="O47" s="417"/>
      <c r="P47" s="317"/>
    </row>
    <row r="48" spans="1:17" ht="25.5" customHeight="1" x14ac:dyDescent="0.2">
      <c r="A48" s="72"/>
      <c r="E48" s="457" t="str">
        <f>Translations!$B$688</f>
        <v>Type of transfer</v>
      </c>
      <c r="F48" s="1078" t="str">
        <f>Translations!$B$1212</f>
        <v>Select here from the drop-down list whether it is a transfer from or to an installation or non-ETS entity, and whether this deals with inherent CO2 (Article 48) or transferred CO2 (Article 49) or N2O (Article 50) as defined by the MRR.</v>
      </c>
      <c r="G48" s="1078"/>
      <c r="H48" s="1078"/>
      <c r="I48" s="1078"/>
      <c r="J48" s="1078"/>
      <c r="K48" s="1078"/>
      <c r="L48" s="1078"/>
      <c r="M48" s="1078"/>
      <c r="N48" s="1078"/>
      <c r="O48" s="417"/>
      <c r="P48" s="317"/>
    </row>
    <row r="49" spans="1:17" ht="25.5" customHeight="1" x14ac:dyDescent="0.2">
      <c r="A49" s="72"/>
      <c r="E49" s="457" t="str">
        <f>Translations!$B$690</f>
        <v>Measurement approach</v>
      </c>
      <c r="F49" s="1078" t="str">
        <f>Translations!$B$691</f>
        <v>According to Article 48(3), you can determine transferred or inherent CO2 either by your own instruments, or using the measurement by the other installation, or you can use both and determine the result as the average of the measurements. Please indicate here, which of these approaches are used.</v>
      </c>
      <c r="G49" s="1078"/>
      <c r="H49" s="1078"/>
      <c r="I49" s="1078"/>
      <c r="J49" s="1078"/>
      <c r="K49" s="1078"/>
      <c r="L49" s="1078"/>
      <c r="M49" s="1078"/>
      <c r="N49" s="1078"/>
      <c r="O49" s="417"/>
      <c r="P49" s="317"/>
    </row>
    <row r="50" spans="1:17" s="316" customFormat="1" ht="5.0999999999999996" customHeight="1" x14ac:dyDescent="0.2">
      <c r="A50" s="72"/>
      <c r="B50" s="417"/>
      <c r="C50" s="417"/>
      <c r="D50" s="417"/>
      <c r="E50" s="1200"/>
      <c r="F50" s="1200"/>
      <c r="G50" s="1200"/>
      <c r="H50" s="1200"/>
      <c r="I50" s="1200"/>
      <c r="J50" s="1200"/>
      <c r="K50" s="1200"/>
      <c r="L50" s="1200"/>
      <c r="M50" s="1200"/>
      <c r="N50" s="1200"/>
      <c r="O50" s="417"/>
      <c r="P50" s="317"/>
      <c r="Q50" s="681"/>
    </row>
    <row r="51" spans="1:17" s="316" customFormat="1" ht="25.5" customHeight="1" x14ac:dyDescent="0.2">
      <c r="A51" s="72"/>
      <c r="B51" s="417"/>
      <c r="C51" s="417"/>
      <c r="D51" s="417"/>
      <c r="E51" s="941" t="str">
        <f>Translations!$B$692</f>
        <v>Note: Details about the continuous measurement approach, the measurement points and measuring instruments have to be entered in sheet F_MeasurementBasedApproaches.</v>
      </c>
      <c r="F51" s="941"/>
      <c r="G51" s="941"/>
      <c r="H51" s="941"/>
      <c r="I51" s="941"/>
      <c r="J51" s="941"/>
      <c r="K51" s="941"/>
      <c r="L51" s="941"/>
      <c r="M51" s="941"/>
      <c r="N51" s="941"/>
      <c r="O51" s="417"/>
      <c r="P51" s="317"/>
      <c r="Q51" s="681"/>
    </row>
    <row r="52" spans="1:17" ht="5.0999999999999996" customHeight="1" x14ac:dyDescent="0.2">
      <c r="A52" s="453"/>
      <c r="B52" s="417"/>
      <c r="C52" s="417"/>
      <c r="D52" s="14"/>
      <c r="E52" s="331"/>
      <c r="F52" s="331"/>
      <c r="G52" s="331"/>
      <c r="H52" s="331"/>
      <c r="I52" s="331"/>
      <c r="J52" s="331"/>
      <c r="K52" s="331"/>
      <c r="L52" s="331"/>
      <c r="M52" s="331"/>
      <c r="N52" s="331"/>
      <c r="O52" s="417"/>
      <c r="P52" s="317"/>
    </row>
    <row r="53" spans="1:17" ht="25.5" x14ac:dyDescent="0.2">
      <c r="A53" s="453"/>
      <c r="B53" s="417"/>
      <c r="C53" s="417"/>
      <c r="D53" s="14"/>
      <c r="E53" s="51" t="str">
        <f>Translations!$B$693</f>
        <v>Transfer Ref.</v>
      </c>
      <c r="F53" s="1203" t="str">
        <f>Translations!$B$694</f>
        <v>Installation Name</v>
      </c>
      <c r="G53" s="1212"/>
      <c r="H53" s="1203" t="str">
        <f>Translations!$B$156</f>
        <v>Operator Name</v>
      </c>
      <c r="I53" s="1212"/>
      <c r="J53" s="462" t="str">
        <f>Translations!$B$695</f>
        <v>Unique ID of Installation</v>
      </c>
      <c r="K53" s="1203" t="str">
        <f>Translations!$B$688</f>
        <v>Type of transfer</v>
      </c>
      <c r="L53" s="1212"/>
      <c r="M53" s="1203" t="str">
        <f>Translations!$B$690</f>
        <v>Measurement approach</v>
      </c>
      <c r="N53" s="906"/>
      <c r="O53" s="417"/>
      <c r="P53" s="317"/>
    </row>
    <row r="54" spans="1:17" ht="25.5" customHeight="1" x14ac:dyDescent="0.2">
      <c r="A54" s="453"/>
      <c r="B54" s="417"/>
      <c r="C54" s="417"/>
      <c r="D54" s="14"/>
      <c r="E54" s="456" t="s">
        <v>29</v>
      </c>
      <c r="F54" s="1209"/>
      <c r="G54" s="1209"/>
      <c r="H54" s="1209"/>
      <c r="I54" s="1209"/>
      <c r="J54" s="466"/>
      <c r="K54" s="1204"/>
      <c r="L54" s="1205"/>
      <c r="M54" s="1204"/>
      <c r="N54" s="1205"/>
      <c r="O54" s="417"/>
      <c r="P54" s="317"/>
    </row>
    <row r="55" spans="1:17" ht="25.5" customHeight="1" x14ac:dyDescent="0.2">
      <c r="A55" s="453"/>
      <c r="B55" s="417"/>
      <c r="C55" s="417"/>
      <c r="D55" s="14"/>
      <c r="E55" s="456" t="s">
        <v>30</v>
      </c>
      <c r="F55" s="1209"/>
      <c r="G55" s="1209"/>
      <c r="H55" s="1209"/>
      <c r="I55" s="1209"/>
      <c r="J55" s="466"/>
      <c r="K55" s="1204"/>
      <c r="L55" s="1205"/>
      <c r="M55" s="1204"/>
      <c r="N55" s="1205"/>
      <c r="O55" s="417"/>
      <c r="P55" s="317"/>
    </row>
    <row r="56" spans="1:17" ht="25.5" customHeight="1" x14ac:dyDescent="0.2">
      <c r="A56" s="453"/>
      <c r="B56" s="417"/>
      <c r="C56" s="417"/>
      <c r="D56" s="14"/>
      <c r="E56" s="456" t="s">
        <v>31</v>
      </c>
      <c r="F56" s="1209"/>
      <c r="G56" s="1209"/>
      <c r="H56" s="1209"/>
      <c r="I56" s="1209"/>
      <c r="J56" s="466"/>
      <c r="K56" s="1204"/>
      <c r="L56" s="1205"/>
      <c r="M56" s="1204"/>
      <c r="N56" s="1205"/>
      <c r="O56" s="417"/>
      <c r="P56" s="317"/>
    </row>
    <row r="57" spans="1:17" ht="25.5" customHeight="1" x14ac:dyDescent="0.2">
      <c r="A57" s="453"/>
      <c r="B57" s="417"/>
      <c r="C57" s="417"/>
      <c r="D57" s="14"/>
      <c r="E57" s="456" t="s">
        <v>32</v>
      </c>
      <c r="F57" s="1209"/>
      <c r="G57" s="1209"/>
      <c r="H57" s="1209"/>
      <c r="I57" s="1209"/>
      <c r="J57" s="466"/>
      <c r="K57" s="1204"/>
      <c r="L57" s="1205"/>
      <c r="M57" s="1204"/>
      <c r="N57" s="1205"/>
      <c r="O57" s="417"/>
      <c r="P57" s="317"/>
    </row>
    <row r="58" spans="1:17" ht="25.5" customHeight="1" x14ac:dyDescent="0.2">
      <c r="A58" s="453"/>
      <c r="B58" s="417"/>
      <c r="C58" s="417"/>
      <c r="D58" s="14"/>
      <c r="E58" s="456" t="s">
        <v>33</v>
      </c>
      <c r="F58" s="1209"/>
      <c r="G58" s="1209"/>
      <c r="H58" s="1209"/>
      <c r="I58" s="1209"/>
      <c r="J58" s="466"/>
      <c r="K58" s="1204"/>
      <c r="L58" s="1205"/>
      <c r="M58" s="1204"/>
      <c r="N58" s="1205"/>
      <c r="O58" s="417"/>
      <c r="P58" s="317"/>
    </row>
    <row r="59" spans="1:17" ht="25.5" hidden="1" customHeight="1" x14ac:dyDescent="0.2">
      <c r="A59" s="453" t="s">
        <v>1090</v>
      </c>
      <c r="B59" s="417"/>
      <c r="C59" s="417"/>
      <c r="D59" s="14"/>
      <c r="E59" s="455"/>
      <c r="F59" s="1209"/>
      <c r="G59" s="1209"/>
      <c r="H59" s="1209"/>
      <c r="I59" s="1209"/>
      <c r="J59" s="466"/>
      <c r="K59" s="1204"/>
      <c r="L59" s="1205"/>
      <c r="M59" s="1204"/>
      <c r="N59" s="1205"/>
      <c r="O59" s="417"/>
      <c r="P59" s="317"/>
    </row>
    <row r="60" spans="1:17" s="316" customFormat="1" ht="12.75" customHeight="1" x14ac:dyDescent="0.2">
      <c r="A60" s="72" t="s">
        <v>34</v>
      </c>
      <c r="B60" s="417"/>
      <c r="C60" s="417"/>
      <c r="D60" s="417"/>
      <c r="E60" s="417"/>
      <c r="F60" s="411"/>
      <c r="G60" s="411"/>
      <c r="H60" s="411"/>
      <c r="I60" s="411"/>
      <c r="J60" s="411"/>
      <c r="K60" s="411"/>
      <c r="L60" s="411"/>
      <c r="M60" s="411"/>
      <c r="N60" s="417"/>
      <c r="O60" s="417"/>
      <c r="P60" s="65"/>
      <c r="Q60" s="681"/>
    </row>
    <row r="61" spans="1:17" s="316" customFormat="1" ht="5.0999999999999996" customHeight="1" x14ac:dyDescent="0.2">
      <c r="A61" s="17"/>
      <c r="B61" s="417"/>
      <c r="C61" s="417"/>
      <c r="D61" s="430"/>
      <c r="E61" s="14"/>
      <c r="F61" s="417"/>
      <c r="G61" s="417"/>
      <c r="H61" s="1016" t="str">
        <f>Translations!$B$696</f>
        <v>Click "+" to add more installations</v>
      </c>
      <c r="I61" s="1017"/>
      <c r="J61" s="1017"/>
      <c r="K61" s="1017"/>
      <c r="L61" s="1018"/>
      <c r="M61" s="417"/>
      <c r="N61" s="322"/>
      <c r="O61" s="417"/>
      <c r="P61" s="65"/>
      <c r="Q61" s="681"/>
    </row>
    <row r="62" spans="1:17" s="316" customFormat="1" ht="12.75" customHeight="1" x14ac:dyDescent="0.2">
      <c r="A62" s="17"/>
      <c r="B62" s="417"/>
      <c r="C62" s="417"/>
      <c r="D62" s="430"/>
      <c r="E62" s="14"/>
      <c r="F62" s="417"/>
      <c r="G62" s="417"/>
      <c r="H62" s="1019"/>
      <c r="I62" s="1020"/>
      <c r="J62" s="1020"/>
      <c r="K62" s="1020"/>
      <c r="L62" s="1021"/>
      <c r="M62" s="417"/>
      <c r="N62" s="322"/>
      <c r="O62" s="417"/>
      <c r="P62" s="65"/>
      <c r="Q62" s="681"/>
    </row>
    <row r="63" spans="1:17" s="316" customFormat="1" ht="5.0999999999999996" customHeight="1" x14ac:dyDescent="0.2">
      <c r="A63" s="17"/>
      <c r="B63" s="417"/>
      <c r="C63" s="417"/>
      <c r="D63" s="430"/>
      <c r="E63" s="14"/>
      <c r="F63" s="417"/>
      <c r="G63" s="417"/>
      <c r="H63" s="1022"/>
      <c r="I63" s="1023"/>
      <c r="J63" s="1023"/>
      <c r="K63" s="1023"/>
      <c r="L63" s="1024"/>
      <c r="M63" s="417"/>
      <c r="N63" s="322"/>
      <c r="O63" s="417"/>
      <c r="P63" s="65"/>
      <c r="Q63" s="681"/>
    </row>
    <row r="64" spans="1:17" x14ac:dyDescent="0.2">
      <c r="A64" s="453"/>
      <c r="B64" s="417"/>
      <c r="C64" s="417"/>
      <c r="D64" s="14"/>
      <c r="E64" s="331"/>
      <c r="F64" s="331"/>
      <c r="G64" s="331"/>
      <c r="H64" s="331"/>
      <c r="I64" s="331"/>
      <c r="J64" s="331"/>
      <c r="K64" s="331"/>
      <c r="L64" s="331"/>
      <c r="M64" s="331"/>
      <c r="N64" s="331"/>
      <c r="O64" s="417"/>
      <c r="P64" s="317"/>
    </row>
    <row r="65" spans="1:16" ht="5.0999999999999996" customHeight="1" x14ac:dyDescent="0.2">
      <c r="A65" s="250"/>
      <c r="B65" s="13"/>
      <c r="C65" s="13"/>
      <c r="D65" s="439"/>
      <c r="E65" s="411"/>
      <c r="F65" s="7"/>
      <c r="G65" s="411"/>
      <c r="H65" s="411"/>
      <c r="I65" s="411"/>
      <c r="J65" s="411"/>
      <c r="K65" s="411"/>
      <c r="L65" s="411"/>
      <c r="M65" s="411"/>
      <c r="N65" s="411"/>
      <c r="O65" s="417"/>
    </row>
    <row r="66" spans="1:16" ht="42" customHeight="1" x14ac:dyDescent="0.2">
      <c r="A66" s="453"/>
      <c r="B66" s="417"/>
      <c r="C66" s="417"/>
      <c r="D66" s="14" t="s">
        <v>554</v>
      </c>
      <c r="E66" s="949" t="str">
        <f>Translations!$B$1359</f>
        <v>Where part of the transferred CO2 is generated from any zero-rated carbon (e.g. biomass), or where an installation is only partially covered by the EU ETS Directive, please provide details of the written procedure used for deducting the amount of transferred CO2 which does not originate from fossil carbon activities covered by the EU ETS Directive.</v>
      </c>
      <c r="F66" s="1004"/>
      <c r="G66" s="1004"/>
      <c r="H66" s="1004"/>
      <c r="I66" s="1004"/>
      <c r="J66" s="1004"/>
      <c r="K66" s="1004"/>
      <c r="L66" s="1004"/>
      <c r="M66" s="1004"/>
      <c r="N66" s="1004"/>
      <c r="O66" s="417"/>
      <c r="P66" s="317"/>
    </row>
    <row r="67" spans="1:16" ht="5.0999999999999996" customHeight="1" x14ac:dyDescent="0.2">
      <c r="A67" s="250"/>
      <c r="B67" s="13"/>
      <c r="C67" s="13"/>
      <c r="D67" s="439"/>
      <c r="E67" s="411"/>
      <c r="F67" s="7"/>
      <c r="G67" s="411"/>
      <c r="H67" s="411"/>
      <c r="I67" s="411"/>
      <c r="J67" s="411"/>
      <c r="K67" s="411"/>
      <c r="L67" s="411"/>
      <c r="M67" s="411"/>
      <c r="N67" s="411"/>
      <c r="O67" s="417"/>
    </row>
    <row r="68" spans="1:16" ht="12.75" customHeight="1" x14ac:dyDescent="0.2">
      <c r="A68" s="17"/>
      <c r="B68" s="417"/>
      <c r="C68" s="417"/>
      <c r="D68" s="417"/>
      <c r="E68" s="950" t="str">
        <f>Translations!$B$405</f>
        <v>Title of procedure</v>
      </c>
      <c r="F68" s="951"/>
      <c r="G68" s="902"/>
      <c r="H68" s="851"/>
      <c r="I68" s="851"/>
      <c r="J68" s="851"/>
      <c r="K68" s="851"/>
      <c r="L68" s="851"/>
      <c r="M68" s="851"/>
      <c r="N68" s="852"/>
      <c r="O68" s="417"/>
      <c r="P68" s="453"/>
    </row>
    <row r="69" spans="1:16" ht="12.75" customHeight="1" x14ac:dyDescent="0.2">
      <c r="A69" s="17"/>
      <c r="B69" s="417"/>
      <c r="C69" s="417"/>
      <c r="D69" s="417"/>
      <c r="E69" s="950" t="str">
        <f>Translations!$B$407</f>
        <v>Reference for procedure</v>
      </c>
      <c r="F69" s="951"/>
      <c r="G69" s="902"/>
      <c r="H69" s="851"/>
      <c r="I69" s="851"/>
      <c r="J69" s="851"/>
      <c r="K69" s="851"/>
      <c r="L69" s="851"/>
      <c r="M69" s="851"/>
      <c r="N69" s="852"/>
      <c r="O69" s="417"/>
      <c r="P69" s="453"/>
    </row>
    <row r="70" spans="1:16" ht="12.75" customHeight="1" x14ac:dyDescent="0.2">
      <c r="A70" s="17"/>
      <c r="B70" s="417"/>
      <c r="C70" s="417"/>
      <c r="D70" s="417"/>
      <c r="E70" s="950" t="str">
        <f>Translations!$B$409</f>
        <v>Diagram reference (where applicable)</v>
      </c>
      <c r="F70" s="951"/>
      <c r="G70" s="902"/>
      <c r="H70" s="851"/>
      <c r="I70" s="851"/>
      <c r="J70" s="851"/>
      <c r="K70" s="851"/>
      <c r="L70" s="851"/>
      <c r="M70" s="851"/>
      <c r="N70" s="852"/>
      <c r="O70" s="417"/>
      <c r="P70" s="453"/>
    </row>
    <row r="71" spans="1:16" ht="25.5" customHeight="1" x14ac:dyDescent="0.2">
      <c r="A71" s="17"/>
      <c r="B71" s="417"/>
      <c r="C71" s="417"/>
      <c r="D71" s="417"/>
      <c r="E71" s="952" t="str">
        <f>Translations!$B$411</f>
        <v xml:space="preserve">Brief description of procedure    </v>
      </c>
      <c r="F71" s="953"/>
      <c r="G71" s="954"/>
      <c r="H71" s="955"/>
      <c r="I71" s="955"/>
      <c r="J71" s="955"/>
      <c r="K71" s="955"/>
      <c r="L71" s="955"/>
      <c r="M71" s="955"/>
      <c r="N71" s="956"/>
      <c r="O71" s="417"/>
      <c r="P71" s="453"/>
    </row>
    <row r="72" spans="1:16" ht="25.5" customHeight="1" x14ac:dyDescent="0.2">
      <c r="A72" s="17"/>
      <c r="B72" s="417"/>
      <c r="C72" s="417"/>
      <c r="D72" s="417"/>
      <c r="E72" s="590"/>
      <c r="F72" s="591"/>
      <c r="G72" s="957"/>
      <c r="H72" s="958"/>
      <c r="I72" s="958"/>
      <c r="J72" s="958"/>
      <c r="K72" s="958"/>
      <c r="L72" s="958"/>
      <c r="M72" s="958"/>
      <c r="N72" s="959"/>
      <c r="O72" s="417"/>
      <c r="P72" s="453"/>
    </row>
    <row r="73" spans="1:16" ht="25.5" customHeight="1" x14ac:dyDescent="0.2">
      <c r="A73" s="17"/>
      <c r="B73" s="417"/>
      <c r="C73" s="417"/>
      <c r="D73" s="417"/>
      <c r="E73" s="592"/>
      <c r="F73" s="593"/>
      <c r="G73" s="960"/>
      <c r="H73" s="961"/>
      <c r="I73" s="961"/>
      <c r="J73" s="961"/>
      <c r="K73" s="961"/>
      <c r="L73" s="961"/>
      <c r="M73" s="961"/>
      <c r="N73" s="962"/>
      <c r="O73" s="417"/>
      <c r="P73" s="453"/>
    </row>
    <row r="74" spans="1:16" ht="25.5" customHeight="1" x14ac:dyDescent="0.2">
      <c r="A74" s="17"/>
      <c r="B74" s="417"/>
      <c r="C74" s="417"/>
      <c r="D74" s="417"/>
      <c r="E74" s="950" t="str">
        <f>Translations!$B$414</f>
        <v>Post or department responsible for the procedure and for any data generated</v>
      </c>
      <c r="F74" s="951"/>
      <c r="G74" s="902"/>
      <c r="H74" s="903"/>
      <c r="I74" s="903"/>
      <c r="J74" s="903"/>
      <c r="K74" s="903"/>
      <c r="L74" s="903"/>
      <c r="M74" s="903"/>
      <c r="N74" s="904"/>
      <c r="O74" s="417"/>
      <c r="P74" s="453"/>
    </row>
    <row r="75" spans="1:16" ht="12.75" customHeight="1" x14ac:dyDescent="0.2">
      <c r="A75" s="17"/>
      <c r="B75" s="417"/>
      <c r="C75" s="417"/>
      <c r="D75" s="417"/>
      <c r="E75" s="950" t="str">
        <f>Translations!$B$416</f>
        <v>Location where records are kept</v>
      </c>
      <c r="F75" s="951"/>
      <c r="G75" s="902"/>
      <c r="H75" s="851"/>
      <c r="I75" s="851"/>
      <c r="J75" s="851"/>
      <c r="K75" s="851"/>
      <c r="L75" s="851"/>
      <c r="M75" s="851"/>
      <c r="N75" s="852"/>
      <c r="O75" s="417"/>
      <c r="P75" s="453"/>
    </row>
    <row r="76" spans="1:16" ht="25.5" customHeight="1" x14ac:dyDescent="0.2">
      <c r="A76" s="17"/>
      <c r="B76" s="417"/>
      <c r="C76" s="417"/>
      <c r="D76" s="417"/>
      <c r="E76" s="950" t="str">
        <f>Translations!$B$418</f>
        <v>Name of IT system used (where applicable).</v>
      </c>
      <c r="F76" s="951"/>
      <c r="G76" s="902"/>
      <c r="H76" s="851"/>
      <c r="I76" s="851"/>
      <c r="J76" s="851"/>
      <c r="K76" s="851"/>
      <c r="L76" s="851"/>
      <c r="M76" s="851"/>
      <c r="N76" s="852"/>
      <c r="O76" s="417"/>
      <c r="P76" s="453"/>
    </row>
    <row r="77" spans="1:16" ht="25.5" customHeight="1" x14ac:dyDescent="0.2">
      <c r="A77" s="17"/>
      <c r="B77" s="417"/>
      <c r="C77" s="417"/>
      <c r="D77" s="417"/>
      <c r="E77" s="950" t="str">
        <f>Translations!$B$420</f>
        <v>List of EN or other standards applied (where relevant)</v>
      </c>
      <c r="F77" s="951"/>
      <c r="G77" s="902"/>
      <c r="H77" s="851"/>
      <c r="I77" s="851"/>
      <c r="J77" s="851"/>
      <c r="K77" s="851"/>
      <c r="L77" s="851"/>
      <c r="M77" s="851"/>
      <c r="N77" s="852"/>
      <c r="O77" s="417"/>
      <c r="P77" s="453"/>
    </row>
    <row r="78" spans="1:16" ht="12.75" customHeight="1" x14ac:dyDescent="0.2">
      <c r="A78" s="72"/>
      <c r="B78" s="417"/>
      <c r="C78" s="417"/>
      <c r="D78" s="417"/>
      <c r="E78" s="417"/>
      <c r="F78" s="417"/>
      <c r="G78" s="417"/>
      <c r="H78" s="417"/>
      <c r="I78" s="417"/>
      <c r="J78" s="417"/>
      <c r="K78" s="417"/>
      <c r="L78" s="417"/>
      <c r="M78" s="417"/>
      <c r="N78" s="417"/>
      <c r="O78" s="417"/>
      <c r="P78" s="453"/>
    </row>
    <row r="79" spans="1:16" x14ac:dyDescent="0.2">
      <c r="O79" s="417"/>
    </row>
    <row r="80" spans="1:16" ht="15.75" x14ac:dyDescent="0.25">
      <c r="A80" s="453"/>
      <c r="B80" s="417"/>
      <c r="C80" s="77">
        <v>18</v>
      </c>
      <c r="D80" s="1199" t="str">
        <f>Translations!$B$1360</f>
        <v>Information relevant for CO2 transport infrastructure used for transport of CO2 and N2O</v>
      </c>
      <c r="E80" s="1199"/>
      <c r="F80" s="1199"/>
      <c r="G80" s="1199"/>
      <c r="H80" s="1199"/>
      <c r="I80" s="1199"/>
      <c r="J80" s="1199"/>
      <c r="K80" s="1199"/>
      <c r="L80" s="1199"/>
      <c r="M80" s="1199"/>
      <c r="N80" s="1199"/>
      <c r="O80" s="417"/>
    </row>
    <row r="81" spans="1:17" ht="5.0999999999999996" customHeight="1" x14ac:dyDescent="0.2">
      <c r="A81" s="453"/>
      <c r="B81" s="417"/>
      <c r="C81" s="328"/>
      <c r="D81" s="68"/>
      <c r="E81" s="440"/>
      <c r="F81" s="440"/>
      <c r="G81" s="440"/>
      <c r="H81" s="440"/>
      <c r="I81" s="440"/>
      <c r="J81" s="440"/>
      <c r="K81" s="440"/>
      <c r="L81" s="440"/>
      <c r="M81" s="440"/>
      <c r="N81" s="440"/>
      <c r="O81" s="417"/>
      <c r="P81" s="454"/>
    </row>
    <row r="82" spans="1:17" ht="38.25" customHeight="1" x14ac:dyDescent="0.2">
      <c r="A82" s="453"/>
      <c r="B82" s="417"/>
      <c r="C82" s="328"/>
      <c r="D82" s="869" t="str">
        <f>Translations!$B$1361</f>
        <v>The CO2 transport infrastructure comprises all modes of CO2 transport (pipelines, ships, trucks, train, etc.) for the purpose of geological storage. Please therefore describe in detail in section C.5.a on the organisational structure, the number and type of vehicles involved, the system boundaries, including all ancillary facilities functionally connected to the transport infrastructure, such as CO2 intermediate storage, booster, liquefaction, gasification, purification stations or heaters, etc.</v>
      </c>
      <c r="E82" s="869"/>
      <c r="F82" s="869"/>
      <c r="G82" s="869"/>
      <c r="H82" s="869"/>
      <c r="I82" s="869"/>
      <c r="J82" s="869"/>
      <c r="K82" s="869"/>
      <c r="L82" s="869"/>
      <c r="M82" s="869"/>
      <c r="N82" s="869"/>
      <c r="O82" s="417"/>
    </row>
    <row r="83" spans="1:17" ht="5.0999999999999996" customHeight="1" x14ac:dyDescent="0.2">
      <c r="A83" s="453"/>
      <c r="B83" s="417"/>
      <c r="C83" s="328"/>
      <c r="D83" s="68"/>
      <c r="E83" s="440"/>
      <c r="F83" s="440"/>
      <c r="G83" s="440"/>
      <c r="H83" s="440"/>
      <c r="I83" s="440"/>
      <c r="J83" s="440"/>
      <c r="K83" s="440"/>
      <c r="L83" s="440"/>
      <c r="M83" s="440"/>
      <c r="N83" s="440"/>
      <c r="O83" s="417"/>
    </row>
    <row r="84" spans="1:17" ht="12.75" customHeight="1" x14ac:dyDescent="0.2">
      <c r="A84" s="453"/>
      <c r="B84" s="417"/>
      <c r="C84" s="417"/>
      <c r="D84" s="14" t="s">
        <v>1018</v>
      </c>
      <c r="E84" s="14" t="str">
        <f>Translations!$B$1362</f>
        <v>Please indicate the monitoring approach selected for your transport infrastructure:</v>
      </c>
      <c r="F84" s="316"/>
      <c r="G84" s="316"/>
      <c r="H84" s="316"/>
      <c r="I84" s="316"/>
      <c r="J84" s="316"/>
      <c r="K84" s="316"/>
      <c r="L84" s="316"/>
      <c r="M84" s="1216"/>
      <c r="N84" s="1217"/>
      <c r="O84" s="417"/>
      <c r="P84" s="461" t="str">
        <f>IF(ISBLANK(M84),"",MATCH(M84,EUconst_PipelineApproaches,0))</f>
        <v/>
      </c>
      <c r="Q84" s="454" t="s">
        <v>1778</v>
      </c>
    </row>
    <row r="85" spans="1:17" ht="38.25" customHeight="1" x14ac:dyDescent="0.2">
      <c r="A85" s="453"/>
      <c r="B85" s="417"/>
      <c r="C85" s="417"/>
      <c r="D85" s="14"/>
      <c r="E85" s="869" t="str">
        <f>Translations!$B$1363</f>
        <v>In accordance with section 22.B of Annex IV of the MRR, you may choose either of two methods for the CO2 transported. Method A involves a mass balance of all CO2 and N2O emitted, entering and leaving the transport infrastructure, while Method B is based on determining fugitive and vented emissions, as well as leakages, from all individual emission sources.</v>
      </c>
      <c r="F85" s="996"/>
      <c r="G85" s="996"/>
      <c r="H85" s="996"/>
      <c r="I85" s="996"/>
      <c r="J85" s="996"/>
      <c r="K85" s="996"/>
      <c r="L85" s="996"/>
      <c r="M85" s="996"/>
      <c r="N85" s="996"/>
      <c r="O85" s="417"/>
    </row>
    <row r="86" spans="1:17" ht="12.75" customHeight="1" x14ac:dyDescent="0.2">
      <c r="A86" s="453"/>
      <c r="B86" s="417"/>
      <c r="C86" s="417"/>
      <c r="D86" s="14"/>
      <c r="E86" s="869" t="str">
        <f>Translations!$B$1364</f>
        <v>Preference is given to Method B, unless you can demonstrate that Method A will lead to more reliable results with lower uncertainty, without incurring unreasonable costs.</v>
      </c>
      <c r="F86" s="996"/>
      <c r="G86" s="996"/>
      <c r="H86" s="996"/>
      <c r="I86" s="996"/>
      <c r="J86" s="996"/>
      <c r="K86" s="996"/>
      <c r="L86" s="996"/>
      <c r="M86" s="996"/>
      <c r="N86" s="996"/>
      <c r="O86" s="417"/>
    </row>
    <row r="87" spans="1:17" ht="5.0999999999999996" customHeight="1" x14ac:dyDescent="0.2">
      <c r="A87" s="453"/>
      <c r="B87" s="417"/>
      <c r="C87" s="417"/>
      <c r="D87" s="417"/>
      <c r="E87" s="417"/>
      <c r="F87" s="417"/>
      <c r="G87" s="417"/>
      <c r="H87" s="417"/>
      <c r="I87" s="417"/>
      <c r="J87" s="417"/>
      <c r="K87" s="417"/>
      <c r="L87" s="417"/>
      <c r="M87" s="417"/>
      <c r="N87" s="417"/>
      <c r="O87" s="417"/>
    </row>
    <row r="88" spans="1:17" ht="12.75" customHeight="1" x14ac:dyDescent="0.2">
      <c r="A88" s="453"/>
      <c r="B88" s="417"/>
      <c r="C88" s="417"/>
      <c r="D88" s="14" t="s">
        <v>1020</v>
      </c>
      <c r="E88" s="717" t="str">
        <f>Translations!$B$700</f>
        <v>Where applicable, please give a reference to the uncertainty analysis:</v>
      </c>
      <c r="F88" s="1004"/>
      <c r="G88" s="1004"/>
      <c r="H88" s="1004"/>
      <c r="I88" s="1004"/>
      <c r="J88" s="1005"/>
      <c r="K88" s="1213"/>
      <c r="L88" s="1214"/>
      <c r="M88" s="1214"/>
      <c r="N88" s="1215"/>
      <c r="O88" s="417"/>
    </row>
    <row r="89" spans="1:17" s="316" customFormat="1" ht="38.25" customHeight="1" x14ac:dyDescent="0.2">
      <c r="A89" s="72"/>
      <c r="B89" s="417"/>
      <c r="C89" s="417"/>
      <c r="D89" s="417"/>
      <c r="E89" s="869" t="str">
        <f>Translations!$B$1365</f>
        <v>If you have chosen Method B, you must provide evidence to demonstrate compliance with an overall uncertainty of not more than 7.5% for the emissions of the whole transport infrastructure. If you have chosen Method A, you have to demonstrate the reasons as mentioned under a) above. Please give here a reference to the attached document as appropriate.</v>
      </c>
      <c r="F89" s="996"/>
      <c r="G89" s="996"/>
      <c r="H89" s="996"/>
      <c r="I89" s="996"/>
      <c r="J89" s="996"/>
      <c r="K89" s="996"/>
      <c r="L89" s="996"/>
      <c r="M89" s="996"/>
      <c r="N89" s="996"/>
      <c r="O89" s="417"/>
      <c r="P89" s="65"/>
      <c r="Q89" s="681"/>
    </row>
    <row r="90" spans="1:17" ht="5.0999999999999996" customHeight="1" x14ac:dyDescent="0.2">
      <c r="A90" s="453"/>
      <c r="B90" s="417"/>
      <c r="C90" s="417"/>
      <c r="D90" s="417"/>
      <c r="E90" s="417"/>
      <c r="F90" s="417"/>
      <c r="G90" s="417"/>
      <c r="H90" s="417"/>
      <c r="I90" s="417"/>
      <c r="J90" s="417"/>
      <c r="K90" s="417"/>
      <c r="L90" s="417"/>
      <c r="M90" s="417"/>
      <c r="N90" s="417"/>
      <c r="O90" s="417"/>
    </row>
    <row r="91" spans="1:17" ht="12.75" customHeight="1" x14ac:dyDescent="0.2">
      <c r="A91" s="453"/>
      <c r="B91" s="417"/>
      <c r="C91" s="417"/>
      <c r="D91" s="14" t="s">
        <v>554</v>
      </c>
      <c r="E91" s="717" t="str">
        <f>Translations!$B$1366</f>
        <v>Where applicable, please describe the equipment used for temperature and pressure measurement in the transport infrastructure.</v>
      </c>
      <c r="F91" s="1004"/>
      <c r="G91" s="1004"/>
      <c r="H91" s="1004"/>
      <c r="I91" s="1004"/>
      <c r="J91" s="1004"/>
      <c r="K91" s="1004"/>
      <c r="L91" s="1004"/>
      <c r="M91" s="1004"/>
      <c r="N91" s="1004"/>
      <c r="O91" s="417"/>
    </row>
    <row r="92" spans="1:17" ht="27" customHeight="1" x14ac:dyDescent="0.2">
      <c r="A92" s="453"/>
      <c r="B92" s="417"/>
      <c r="C92" s="417"/>
      <c r="D92" s="14"/>
      <c r="E92" s="869" t="str">
        <f>Translations!$B$1367</f>
        <v>Please list all equipment used for measurement of temperature and pressure in the transport infrastructure in the determination of emissions from leakage events in accordance with section 22 of Annex IV of the MRR.</v>
      </c>
      <c r="F92" s="996"/>
      <c r="G92" s="996"/>
      <c r="H92" s="996"/>
      <c r="I92" s="996"/>
      <c r="J92" s="996"/>
      <c r="K92" s="996"/>
      <c r="L92" s="996"/>
      <c r="M92" s="996"/>
      <c r="N92" s="996"/>
      <c r="O92" s="417"/>
    </row>
    <row r="93" spans="1:17" ht="5.0999999999999996" customHeight="1" x14ac:dyDescent="0.2">
      <c r="A93" s="453"/>
      <c r="B93" s="417"/>
      <c r="C93" s="417"/>
      <c r="D93" s="417"/>
      <c r="E93" s="417"/>
      <c r="F93" s="417"/>
      <c r="G93" s="417"/>
      <c r="H93" s="417"/>
      <c r="I93" s="417"/>
      <c r="J93" s="417"/>
      <c r="K93" s="417"/>
      <c r="L93" s="417"/>
      <c r="M93" s="417"/>
      <c r="N93" s="417"/>
      <c r="O93" s="417"/>
    </row>
    <row r="94" spans="1:17" ht="12.75" customHeight="1" x14ac:dyDescent="0.2">
      <c r="A94" s="453"/>
      <c r="B94" s="417"/>
      <c r="C94" s="417"/>
      <c r="D94" s="417"/>
      <c r="E94" s="463" t="str">
        <f>Translations!$B$704</f>
        <v>Reference</v>
      </c>
      <c r="F94" s="463" t="str">
        <f>Translations!$B$705</f>
        <v>Location</v>
      </c>
      <c r="G94" s="464"/>
      <c r="H94" s="1203" t="str">
        <f>Translations!$B$706</f>
        <v>Type of measurement device</v>
      </c>
      <c r="I94" s="905"/>
      <c r="J94" s="905"/>
      <c r="K94" s="905"/>
      <c r="L94" s="906"/>
      <c r="M94" s="1203" t="str">
        <f>Translations!$B$707</f>
        <v>Reference to the device</v>
      </c>
      <c r="N94" s="906"/>
      <c r="O94" s="417"/>
    </row>
    <row r="95" spans="1:17" x14ac:dyDescent="0.2">
      <c r="A95" s="453"/>
      <c r="B95" s="417"/>
      <c r="C95" s="417"/>
      <c r="D95" s="417"/>
      <c r="E95" s="456" t="s">
        <v>57</v>
      </c>
      <c r="F95" s="1198"/>
      <c r="G95" s="852"/>
      <c r="H95" s="747"/>
      <c r="I95" s="747"/>
      <c r="J95" s="747"/>
      <c r="K95" s="747"/>
      <c r="L95" s="747"/>
      <c r="M95" s="747"/>
      <c r="N95" s="747"/>
      <c r="O95" s="417"/>
    </row>
    <row r="96" spans="1:17" x14ac:dyDescent="0.2">
      <c r="A96" s="453"/>
      <c r="B96" s="417"/>
      <c r="C96" s="417"/>
      <c r="D96" s="417"/>
      <c r="E96" s="456" t="s">
        <v>58</v>
      </c>
      <c r="F96" s="1198"/>
      <c r="G96" s="852"/>
      <c r="H96" s="747"/>
      <c r="I96" s="747"/>
      <c r="J96" s="747"/>
      <c r="K96" s="747"/>
      <c r="L96" s="747"/>
      <c r="M96" s="747"/>
      <c r="N96" s="747"/>
      <c r="O96" s="417"/>
    </row>
    <row r="97" spans="1:17" x14ac:dyDescent="0.2">
      <c r="A97" s="453"/>
      <c r="B97" s="417"/>
      <c r="C97" s="417"/>
      <c r="D97" s="417"/>
      <c r="E97" s="456" t="s">
        <v>59</v>
      </c>
      <c r="F97" s="1198"/>
      <c r="G97" s="852"/>
      <c r="H97" s="747"/>
      <c r="I97" s="747"/>
      <c r="J97" s="747"/>
      <c r="K97" s="747"/>
      <c r="L97" s="747"/>
      <c r="M97" s="747"/>
      <c r="N97" s="747"/>
      <c r="O97" s="417"/>
    </row>
    <row r="98" spans="1:17" x14ac:dyDescent="0.2">
      <c r="A98" s="453"/>
      <c r="B98" s="417"/>
      <c r="C98" s="417"/>
      <c r="D98" s="417"/>
      <c r="E98" s="456" t="s">
        <v>60</v>
      </c>
      <c r="F98" s="1198"/>
      <c r="G98" s="852"/>
      <c r="H98" s="747"/>
      <c r="I98" s="747"/>
      <c r="J98" s="747"/>
      <c r="K98" s="747"/>
      <c r="L98" s="747"/>
      <c r="M98" s="747"/>
      <c r="N98" s="747"/>
      <c r="O98" s="417"/>
    </row>
    <row r="99" spans="1:17" x14ac:dyDescent="0.2">
      <c r="A99" s="453"/>
      <c r="B99" s="417"/>
      <c r="C99" s="417"/>
      <c r="D99" s="417"/>
      <c r="E99" s="456" t="s">
        <v>61</v>
      </c>
      <c r="F99" s="1198"/>
      <c r="G99" s="852"/>
      <c r="H99" s="747"/>
      <c r="I99" s="747"/>
      <c r="J99" s="747"/>
      <c r="K99" s="747"/>
      <c r="L99" s="747"/>
      <c r="M99" s="747"/>
      <c r="N99" s="747"/>
      <c r="O99" s="417"/>
    </row>
    <row r="100" spans="1:17" x14ac:dyDescent="0.2">
      <c r="A100" s="453"/>
      <c r="B100" s="417"/>
      <c r="C100" s="417"/>
      <c r="D100" s="417"/>
      <c r="E100" s="456" t="s">
        <v>62</v>
      </c>
      <c r="F100" s="1198"/>
      <c r="G100" s="852"/>
      <c r="H100" s="747"/>
      <c r="I100" s="747"/>
      <c r="J100" s="747"/>
      <c r="K100" s="747"/>
      <c r="L100" s="747"/>
      <c r="M100" s="747"/>
      <c r="N100" s="747"/>
      <c r="O100" s="417"/>
    </row>
    <row r="101" spans="1:17" x14ac:dyDescent="0.2">
      <c r="A101" s="453"/>
      <c r="B101" s="417"/>
      <c r="C101" s="417"/>
      <c r="D101" s="417"/>
      <c r="E101" s="456" t="s">
        <v>63</v>
      </c>
      <c r="F101" s="1198"/>
      <c r="G101" s="852"/>
      <c r="H101" s="747"/>
      <c r="I101" s="747"/>
      <c r="J101" s="747"/>
      <c r="K101" s="747"/>
      <c r="L101" s="747"/>
      <c r="M101" s="747"/>
      <c r="N101" s="747"/>
      <c r="O101" s="417"/>
    </row>
    <row r="102" spans="1:17" x14ac:dyDescent="0.2">
      <c r="A102" s="453"/>
      <c r="B102" s="417"/>
      <c r="C102" s="417"/>
      <c r="D102" s="417"/>
      <c r="E102" s="456" t="s">
        <v>64</v>
      </c>
      <c r="F102" s="1198"/>
      <c r="G102" s="852"/>
      <c r="H102" s="747"/>
      <c r="I102" s="747"/>
      <c r="J102" s="747"/>
      <c r="K102" s="747"/>
      <c r="L102" s="747"/>
      <c r="M102" s="747"/>
      <c r="N102" s="747"/>
      <c r="O102" s="417"/>
    </row>
    <row r="103" spans="1:17" x14ac:dyDescent="0.2">
      <c r="A103" s="453"/>
      <c r="B103" s="417"/>
      <c r="C103" s="417"/>
      <c r="D103" s="417"/>
      <c r="E103" s="456" t="s">
        <v>65</v>
      </c>
      <c r="F103" s="1198"/>
      <c r="G103" s="852"/>
      <c r="H103" s="747"/>
      <c r="I103" s="747"/>
      <c r="J103" s="747"/>
      <c r="K103" s="747"/>
      <c r="L103" s="747"/>
      <c r="M103" s="747"/>
      <c r="N103" s="747"/>
      <c r="O103" s="417"/>
    </row>
    <row r="104" spans="1:17" x14ac:dyDescent="0.2">
      <c r="A104" s="453"/>
      <c r="B104" s="417"/>
      <c r="C104" s="417"/>
      <c r="D104" s="417"/>
      <c r="E104" s="456" t="s">
        <v>66</v>
      </c>
      <c r="F104" s="1198"/>
      <c r="G104" s="852"/>
      <c r="H104" s="747"/>
      <c r="I104" s="747"/>
      <c r="J104" s="747"/>
      <c r="K104" s="747"/>
      <c r="L104" s="747"/>
      <c r="M104" s="747"/>
      <c r="N104" s="747"/>
      <c r="O104" s="417"/>
    </row>
    <row r="105" spans="1:17" hidden="1" x14ac:dyDescent="0.2">
      <c r="A105" s="453" t="s">
        <v>1090</v>
      </c>
      <c r="B105" s="417"/>
      <c r="C105" s="417"/>
      <c r="D105" s="417"/>
      <c r="E105" s="456"/>
      <c r="F105" s="1198"/>
      <c r="G105" s="852"/>
      <c r="H105" s="747"/>
      <c r="I105" s="747"/>
      <c r="J105" s="747"/>
      <c r="K105" s="747"/>
      <c r="L105" s="747"/>
      <c r="M105" s="747"/>
      <c r="N105" s="747"/>
      <c r="O105" s="417"/>
    </row>
    <row r="106" spans="1:17" s="316" customFormat="1" ht="12.75" customHeight="1" x14ac:dyDescent="0.2">
      <c r="A106" s="72" t="s">
        <v>67</v>
      </c>
      <c r="B106" s="417"/>
      <c r="C106" s="417"/>
      <c r="D106" s="417"/>
      <c r="E106" s="417"/>
      <c r="F106" s="411"/>
      <c r="G106" s="411"/>
      <c r="H106" s="411"/>
      <c r="I106" s="411"/>
      <c r="J106" s="411"/>
      <c r="K106" s="411"/>
      <c r="L106" s="411"/>
      <c r="M106" s="411"/>
      <c r="N106" s="417"/>
      <c r="O106" s="417"/>
      <c r="P106" s="65"/>
      <c r="Q106" s="681"/>
    </row>
    <row r="107" spans="1:17" s="316" customFormat="1" ht="5.0999999999999996" customHeight="1" x14ac:dyDescent="0.2">
      <c r="A107" s="17"/>
      <c r="B107" s="417"/>
      <c r="C107" s="417"/>
      <c r="D107" s="430"/>
      <c r="E107" s="14"/>
      <c r="F107" s="417"/>
      <c r="G107" s="417"/>
      <c r="H107" s="1016" t="str">
        <f>Translations!$B$708</f>
        <v>Click "+" to add more measurement devices</v>
      </c>
      <c r="I107" s="1017"/>
      <c r="J107" s="1017"/>
      <c r="K107" s="1017"/>
      <c r="L107" s="1018"/>
      <c r="M107" s="417"/>
      <c r="N107" s="322"/>
      <c r="O107" s="417"/>
      <c r="P107" s="65"/>
      <c r="Q107" s="681"/>
    </row>
    <row r="108" spans="1:17" s="316" customFormat="1" ht="12.75" customHeight="1" x14ac:dyDescent="0.2">
      <c r="A108" s="17"/>
      <c r="B108" s="417"/>
      <c r="C108" s="417"/>
      <c r="D108" s="430"/>
      <c r="E108" s="14"/>
      <c r="F108" s="417"/>
      <c r="G108" s="417"/>
      <c r="H108" s="1019"/>
      <c r="I108" s="1020"/>
      <c r="J108" s="1020"/>
      <c r="K108" s="1020"/>
      <c r="L108" s="1021"/>
      <c r="M108" s="417"/>
      <c r="N108" s="322"/>
      <c r="O108" s="417"/>
      <c r="P108" s="65"/>
      <c r="Q108" s="681"/>
    </row>
    <row r="109" spans="1:17" s="316" customFormat="1" ht="5.0999999999999996" customHeight="1" x14ac:dyDescent="0.2">
      <c r="A109" s="17"/>
      <c r="B109" s="417"/>
      <c r="C109" s="417"/>
      <c r="D109" s="430"/>
      <c r="E109" s="14"/>
      <c r="F109" s="417"/>
      <c r="G109" s="417"/>
      <c r="H109" s="1022"/>
      <c r="I109" s="1023"/>
      <c r="J109" s="1023"/>
      <c r="K109" s="1023"/>
      <c r="L109" s="1024"/>
      <c r="M109" s="417"/>
      <c r="N109" s="322"/>
      <c r="O109" s="417"/>
      <c r="P109" s="65"/>
      <c r="Q109" s="681"/>
    </row>
    <row r="110" spans="1:17" x14ac:dyDescent="0.2">
      <c r="A110" s="453"/>
      <c r="B110" s="417"/>
      <c r="C110" s="417"/>
      <c r="D110" s="14"/>
      <c r="E110" s="331"/>
      <c r="F110" s="331"/>
      <c r="G110" s="331"/>
      <c r="H110" s="331"/>
      <c r="I110" s="331"/>
      <c r="J110" s="331"/>
      <c r="K110" s="331"/>
      <c r="L110" s="331"/>
      <c r="M110" s="331"/>
      <c r="N110" s="331"/>
      <c r="O110" s="417"/>
      <c r="P110" s="317"/>
    </row>
    <row r="111" spans="1:17" s="316" customFormat="1" ht="12.75" customHeight="1" x14ac:dyDescent="0.2">
      <c r="A111" s="72"/>
      <c r="B111" s="417"/>
      <c r="C111" s="417"/>
      <c r="D111" s="98" t="s">
        <v>1022</v>
      </c>
      <c r="E111" s="949" t="str">
        <f>Translations!$B$709</f>
        <v>Reference to more detailed description, if relevant:</v>
      </c>
      <c r="F111" s="949"/>
      <c r="G111" s="949"/>
      <c r="H111" s="949"/>
      <c r="I111" s="925"/>
      <c r="J111" s="870"/>
      <c r="K111" s="1036"/>
      <c r="L111" s="1036"/>
      <c r="M111" s="1036"/>
      <c r="N111" s="972"/>
      <c r="O111" s="417"/>
      <c r="P111" s="65"/>
      <c r="Q111" s="681"/>
    </row>
    <row r="112" spans="1:17" s="316" customFormat="1" ht="25.5" customHeight="1" x14ac:dyDescent="0.2">
      <c r="A112" s="72"/>
      <c r="B112" s="417"/>
      <c r="C112" s="417"/>
      <c r="D112" s="417"/>
      <c r="E112" s="869" t="str">
        <f>Translations!$B$710</f>
        <v>If necessary, you may provide the list of point (c) and a more detailed description in a separate document using a file format acceptable for the CA. In this case please reference this file here, by using the file name and date.</v>
      </c>
      <c r="F112" s="996"/>
      <c r="G112" s="996"/>
      <c r="H112" s="996"/>
      <c r="I112" s="996"/>
      <c r="J112" s="996"/>
      <c r="K112" s="996"/>
      <c r="L112" s="996"/>
      <c r="M112" s="996"/>
      <c r="N112" s="996"/>
      <c r="O112" s="417"/>
      <c r="P112" s="65"/>
      <c r="Q112" s="681"/>
    </row>
    <row r="113" spans="1:17" s="316" customFormat="1" ht="12.75" customHeight="1" x14ac:dyDescent="0.2">
      <c r="A113" s="72"/>
      <c r="B113" s="417"/>
      <c r="C113" s="417"/>
      <c r="D113" s="417"/>
      <c r="E113" s="452"/>
      <c r="F113" s="452"/>
      <c r="G113" s="452"/>
      <c r="H113" s="452"/>
      <c r="I113" s="452"/>
      <c r="J113" s="452"/>
      <c r="K113" s="452"/>
      <c r="L113" s="452"/>
      <c r="M113" s="452"/>
      <c r="N113" s="452"/>
      <c r="O113" s="417"/>
      <c r="P113" s="317"/>
      <c r="Q113" s="681"/>
    </row>
    <row r="114" spans="1:17" ht="27.75" customHeight="1" x14ac:dyDescent="0.2">
      <c r="A114" s="453"/>
      <c r="B114" s="417"/>
      <c r="C114" s="417"/>
      <c r="D114" s="14" t="s">
        <v>1023</v>
      </c>
      <c r="E114" s="949" t="str">
        <f>Translations!$B$1368</f>
        <v>Where applicable, please provide details of the written procedure for preventing, detecting and quantification of leakage events from the transport infrastructure.</v>
      </c>
      <c r="F114" s="1004"/>
      <c r="G114" s="1004"/>
      <c r="H114" s="1004"/>
      <c r="I114" s="1004"/>
      <c r="J114" s="1004"/>
      <c r="K114" s="1004"/>
      <c r="L114" s="1004"/>
      <c r="M114" s="1004"/>
      <c r="N114" s="1004"/>
      <c r="O114" s="417"/>
    </row>
    <row r="115" spans="1:17" ht="5.0999999999999996" customHeight="1" x14ac:dyDescent="0.2">
      <c r="A115" s="250"/>
      <c r="B115" s="13"/>
      <c r="C115" s="13"/>
      <c r="D115" s="439"/>
      <c r="E115" s="411"/>
      <c r="F115" s="7"/>
      <c r="G115" s="411"/>
      <c r="H115" s="411"/>
      <c r="I115" s="411"/>
      <c r="J115" s="411"/>
      <c r="K115" s="411"/>
      <c r="L115" s="411"/>
      <c r="M115" s="411"/>
      <c r="N115" s="411"/>
      <c r="O115" s="417"/>
    </row>
    <row r="116" spans="1:17" ht="12.75" customHeight="1" x14ac:dyDescent="0.2">
      <c r="A116" s="17"/>
      <c r="B116" s="417"/>
      <c r="C116" s="417"/>
      <c r="D116" s="417"/>
      <c r="E116" s="950" t="str">
        <f>Translations!$B$405</f>
        <v>Title of procedure</v>
      </c>
      <c r="F116" s="951"/>
      <c r="G116" s="902"/>
      <c r="H116" s="851"/>
      <c r="I116" s="851"/>
      <c r="J116" s="851"/>
      <c r="K116" s="851"/>
      <c r="L116" s="851"/>
      <c r="M116" s="851"/>
      <c r="N116" s="852"/>
      <c r="O116" s="417"/>
      <c r="P116" s="453"/>
    </row>
    <row r="117" spans="1:17" ht="12.75" customHeight="1" x14ac:dyDescent="0.2">
      <c r="A117" s="17"/>
      <c r="B117" s="417"/>
      <c r="C117" s="417"/>
      <c r="D117" s="417"/>
      <c r="E117" s="950" t="str">
        <f>Translations!$B$407</f>
        <v>Reference for procedure</v>
      </c>
      <c r="F117" s="951"/>
      <c r="G117" s="902"/>
      <c r="H117" s="851"/>
      <c r="I117" s="851"/>
      <c r="J117" s="851"/>
      <c r="K117" s="851"/>
      <c r="L117" s="851"/>
      <c r="M117" s="851"/>
      <c r="N117" s="852"/>
      <c r="O117" s="417"/>
      <c r="P117" s="453"/>
    </row>
    <row r="118" spans="1:17" ht="25.5" customHeight="1" x14ac:dyDescent="0.2">
      <c r="A118" s="17"/>
      <c r="B118" s="417"/>
      <c r="C118" s="417"/>
      <c r="D118" s="417"/>
      <c r="E118" s="950" t="str">
        <f>Translations!$B$409</f>
        <v>Diagram reference (where applicable)</v>
      </c>
      <c r="F118" s="951"/>
      <c r="G118" s="902"/>
      <c r="H118" s="851"/>
      <c r="I118" s="851"/>
      <c r="J118" s="851"/>
      <c r="K118" s="851"/>
      <c r="L118" s="851"/>
      <c r="M118" s="851"/>
      <c r="N118" s="852"/>
      <c r="O118" s="417"/>
      <c r="P118" s="453"/>
    </row>
    <row r="119" spans="1:17" ht="25.5" customHeight="1" x14ac:dyDescent="0.2">
      <c r="A119" s="17"/>
      <c r="B119" s="417"/>
      <c r="C119" s="417"/>
      <c r="D119" s="417"/>
      <c r="E119" s="952" t="str">
        <f>Translations!$B$411</f>
        <v xml:space="preserve">Brief description of procedure    </v>
      </c>
      <c r="F119" s="953"/>
      <c r="G119" s="954"/>
      <c r="H119" s="955"/>
      <c r="I119" s="955"/>
      <c r="J119" s="955"/>
      <c r="K119" s="955"/>
      <c r="L119" s="955"/>
      <c r="M119" s="955"/>
      <c r="N119" s="956"/>
      <c r="O119" s="417"/>
      <c r="P119" s="453"/>
    </row>
    <row r="120" spans="1:17" ht="25.5" customHeight="1" x14ac:dyDescent="0.2">
      <c r="A120" s="17"/>
      <c r="B120" s="417"/>
      <c r="C120" s="417"/>
      <c r="D120" s="417"/>
      <c r="E120" s="590"/>
      <c r="F120" s="591"/>
      <c r="G120" s="957"/>
      <c r="H120" s="958"/>
      <c r="I120" s="958"/>
      <c r="J120" s="958"/>
      <c r="K120" s="958"/>
      <c r="L120" s="958"/>
      <c r="M120" s="958"/>
      <c r="N120" s="959"/>
      <c r="O120" s="417"/>
      <c r="P120" s="453"/>
    </row>
    <row r="121" spans="1:17" ht="25.5" customHeight="1" x14ac:dyDescent="0.2">
      <c r="A121" s="17"/>
      <c r="B121" s="417"/>
      <c r="C121" s="417"/>
      <c r="D121" s="417"/>
      <c r="E121" s="592"/>
      <c r="F121" s="593"/>
      <c r="G121" s="960"/>
      <c r="H121" s="961"/>
      <c r="I121" s="961"/>
      <c r="J121" s="961"/>
      <c r="K121" s="961"/>
      <c r="L121" s="961"/>
      <c r="M121" s="961"/>
      <c r="N121" s="962"/>
      <c r="O121" s="417"/>
      <c r="P121" s="453"/>
    </row>
    <row r="122" spans="1:17" ht="25.5" customHeight="1" x14ac:dyDescent="0.2">
      <c r="A122" s="17"/>
      <c r="B122" s="417"/>
      <c r="C122" s="417"/>
      <c r="D122" s="417"/>
      <c r="E122" s="950" t="str">
        <f>Translations!$B$414</f>
        <v>Post or department responsible for the procedure and for any data generated</v>
      </c>
      <c r="F122" s="951"/>
      <c r="G122" s="902"/>
      <c r="H122" s="903"/>
      <c r="I122" s="903"/>
      <c r="J122" s="903"/>
      <c r="K122" s="903"/>
      <c r="L122" s="903"/>
      <c r="M122" s="903"/>
      <c r="N122" s="904"/>
      <c r="O122" s="417"/>
      <c r="P122" s="453"/>
    </row>
    <row r="123" spans="1:17" ht="12.75" customHeight="1" x14ac:dyDescent="0.2">
      <c r="A123" s="17"/>
      <c r="B123" s="417"/>
      <c r="C123" s="417"/>
      <c r="D123" s="417"/>
      <c r="E123" s="950" t="str">
        <f>Translations!$B$416</f>
        <v>Location where records are kept</v>
      </c>
      <c r="F123" s="951"/>
      <c r="G123" s="902"/>
      <c r="H123" s="851"/>
      <c r="I123" s="851"/>
      <c r="J123" s="851"/>
      <c r="K123" s="851"/>
      <c r="L123" s="851"/>
      <c r="M123" s="851"/>
      <c r="N123" s="852"/>
      <c r="O123" s="417"/>
      <c r="P123" s="453"/>
    </row>
    <row r="124" spans="1:17" ht="25.5" customHeight="1" x14ac:dyDescent="0.2">
      <c r="A124" s="17"/>
      <c r="B124" s="417"/>
      <c r="C124" s="417"/>
      <c r="D124" s="417"/>
      <c r="E124" s="950" t="str">
        <f>Translations!$B$418</f>
        <v>Name of IT system used (where applicable).</v>
      </c>
      <c r="F124" s="951"/>
      <c r="G124" s="902"/>
      <c r="H124" s="851"/>
      <c r="I124" s="851"/>
      <c r="J124" s="851"/>
      <c r="K124" s="851"/>
      <c r="L124" s="851"/>
      <c r="M124" s="851"/>
      <c r="N124" s="852"/>
      <c r="O124" s="417"/>
      <c r="P124" s="453"/>
    </row>
    <row r="125" spans="1:17" ht="25.5" customHeight="1" x14ac:dyDescent="0.2">
      <c r="A125" s="17"/>
      <c r="B125" s="417"/>
      <c r="C125" s="417"/>
      <c r="D125" s="417"/>
      <c r="E125" s="950" t="str">
        <f>Translations!$B$420</f>
        <v>List of EN or other standards applied (where relevant)</v>
      </c>
      <c r="F125" s="951"/>
      <c r="G125" s="902"/>
      <c r="H125" s="851"/>
      <c r="I125" s="851"/>
      <c r="J125" s="851"/>
      <c r="K125" s="851"/>
      <c r="L125" s="851"/>
      <c r="M125" s="851"/>
      <c r="N125" s="852"/>
      <c r="O125" s="417"/>
      <c r="P125" s="453"/>
    </row>
    <row r="126" spans="1:17" x14ac:dyDescent="0.2">
      <c r="A126" s="453"/>
      <c r="B126" s="417"/>
      <c r="C126" s="417"/>
      <c r="D126" s="417"/>
      <c r="E126" s="417"/>
      <c r="F126" s="417"/>
      <c r="G126" s="417"/>
      <c r="H126" s="417"/>
      <c r="I126" s="417"/>
      <c r="J126" s="417"/>
      <c r="K126" s="417"/>
      <c r="L126" s="417"/>
      <c r="M126" s="417"/>
      <c r="N126" s="417"/>
      <c r="O126" s="417"/>
    </row>
    <row r="127" spans="1:17" ht="42" customHeight="1" x14ac:dyDescent="0.2">
      <c r="A127" s="453"/>
      <c r="B127" s="417"/>
      <c r="C127" s="417"/>
      <c r="D127" s="14" t="s">
        <v>1019</v>
      </c>
      <c r="E127" s="949" t="str">
        <f>Translations!$B$1369</f>
        <v>For transport infrastructures, please provide details of the written procedure for ensuring that CO2(e) is transferred only to installations which have a valid greenhouse gas emission permit, or where any emitted CO2 or N2O is effectively monitored and accounted for in accordance with Articles 49 and 50.</v>
      </c>
      <c r="F127" s="752"/>
      <c r="G127" s="752"/>
      <c r="H127" s="752"/>
      <c r="I127" s="752"/>
      <c r="J127" s="752"/>
      <c r="K127" s="752"/>
      <c r="L127" s="752"/>
      <c r="M127" s="1004"/>
      <c r="N127" s="1004"/>
      <c r="O127" s="417"/>
    </row>
    <row r="128" spans="1:17" ht="5.0999999999999996" customHeight="1" x14ac:dyDescent="0.2">
      <c r="A128" s="250"/>
      <c r="B128" s="13"/>
      <c r="C128" s="13"/>
      <c r="D128" s="439"/>
      <c r="E128" s="411"/>
      <c r="F128" s="7"/>
      <c r="G128" s="411"/>
      <c r="H128" s="411"/>
      <c r="I128" s="411"/>
      <c r="J128" s="411"/>
      <c r="K128" s="411"/>
      <c r="L128" s="411"/>
      <c r="M128" s="411"/>
      <c r="N128" s="411"/>
      <c r="O128" s="417"/>
    </row>
    <row r="129" spans="1:17" ht="12.75" customHeight="1" x14ac:dyDescent="0.2">
      <c r="A129" s="17"/>
      <c r="B129" s="417"/>
      <c r="C129" s="417"/>
      <c r="D129" s="417"/>
      <c r="E129" s="950" t="str">
        <f>Translations!$B$405</f>
        <v>Title of procedure</v>
      </c>
      <c r="F129" s="951"/>
      <c r="G129" s="902"/>
      <c r="H129" s="851"/>
      <c r="I129" s="851"/>
      <c r="J129" s="851"/>
      <c r="K129" s="851"/>
      <c r="L129" s="851"/>
      <c r="M129" s="851"/>
      <c r="N129" s="852"/>
      <c r="O129" s="417"/>
      <c r="P129" s="453"/>
    </row>
    <row r="130" spans="1:17" ht="12.75" customHeight="1" x14ac:dyDescent="0.2">
      <c r="A130" s="17"/>
      <c r="B130" s="417"/>
      <c r="C130" s="417"/>
      <c r="D130" s="417"/>
      <c r="E130" s="950" t="str">
        <f>Translations!$B$407</f>
        <v>Reference for procedure</v>
      </c>
      <c r="F130" s="951"/>
      <c r="G130" s="902"/>
      <c r="H130" s="851"/>
      <c r="I130" s="851"/>
      <c r="J130" s="851"/>
      <c r="K130" s="851"/>
      <c r="L130" s="851"/>
      <c r="M130" s="851"/>
      <c r="N130" s="852"/>
      <c r="O130" s="417"/>
      <c r="P130" s="453"/>
    </row>
    <row r="131" spans="1:17" ht="25.5" customHeight="1" x14ac:dyDescent="0.2">
      <c r="A131" s="17"/>
      <c r="B131" s="417"/>
      <c r="C131" s="417"/>
      <c r="D131" s="417"/>
      <c r="E131" s="950" t="str">
        <f>Translations!$B$409</f>
        <v>Diagram reference (where applicable)</v>
      </c>
      <c r="F131" s="951"/>
      <c r="G131" s="902"/>
      <c r="H131" s="851"/>
      <c r="I131" s="851"/>
      <c r="J131" s="851"/>
      <c r="K131" s="851"/>
      <c r="L131" s="851"/>
      <c r="M131" s="851"/>
      <c r="N131" s="852"/>
      <c r="O131" s="417"/>
      <c r="P131" s="453"/>
    </row>
    <row r="132" spans="1:17" ht="25.5" customHeight="1" x14ac:dyDescent="0.2">
      <c r="A132" s="17"/>
      <c r="B132" s="417"/>
      <c r="C132" s="417"/>
      <c r="D132" s="417"/>
      <c r="E132" s="952" t="str">
        <f>Translations!$B$411</f>
        <v xml:space="preserve">Brief description of procedure    </v>
      </c>
      <c r="F132" s="953"/>
      <c r="G132" s="954"/>
      <c r="H132" s="955"/>
      <c r="I132" s="955"/>
      <c r="J132" s="955"/>
      <c r="K132" s="955"/>
      <c r="L132" s="955"/>
      <c r="M132" s="955"/>
      <c r="N132" s="956"/>
      <c r="O132" s="417"/>
      <c r="P132" s="453"/>
    </row>
    <row r="133" spans="1:17" ht="25.5" customHeight="1" x14ac:dyDescent="0.2">
      <c r="A133" s="17"/>
      <c r="B133" s="417"/>
      <c r="C133" s="417"/>
      <c r="D133" s="417"/>
      <c r="E133" s="590"/>
      <c r="F133" s="591"/>
      <c r="G133" s="957"/>
      <c r="H133" s="958"/>
      <c r="I133" s="958"/>
      <c r="J133" s="958"/>
      <c r="K133" s="958"/>
      <c r="L133" s="958"/>
      <c r="M133" s="958"/>
      <c r="N133" s="959"/>
      <c r="O133" s="417"/>
      <c r="P133" s="453"/>
    </row>
    <row r="134" spans="1:17" ht="25.5" customHeight="1" x14ac:dyDescent="0.2">
      <c r="A134" s="17"/>
      <c r="B134" s="417"/>
      <c r="C134" s="417"/>
      <c r="D134" s="417"/>
      <c r="E134" s="592"/>
      <c r="F134" s="593"/>
      <c r="G134" s="960"/>
      <c r="H134" s="961"/>
      <c r="I134" s="961"/>
      <c r="J134" s="961"/>
      <c r="K134" s="961"/>
      <c r="L134" s="961"/>
      <c r="M134" s="961"/>
      <c r="N134" s="962"/>
      <c r="O134" s="417"/>
      <c r="P134" s="453"/>
    </row>
    <row r="135" spans="1:17" ht="25.5" customHeight="1" x14ac:dyDescent="0.2">
      <c r="A135" s="17"/>
      <c r="B135" s="417"/>
      <c r="C135" s="417"/>
      <c r="D135" s="417"/>
      <c r="E135" s="950" t="str">
        <f>Translations!$B$414</f>
        <v>Post or department responsible for the procedure and for any data generated</v>
      </c>
      <c r="F135" s="951"/>
      <c r="G135" s="902"/>
      <c r="H135" s="903"/>
      <c r="I135" s="903"/>
      <c r="J135" s="903"/>
      <c r="K135" s="903"/>
      <c r="L135" s="903"/>
      <c r="M135" s="903"/>
      <c r="N135" s="904"/>
      <c r="O135" s="417"/>
      <c r="P135" s="453"/>
    </row>
    <row r="136" spans="1:17" ht="12.75" customHeight="1" x14ac:dyDescent="0.2">
      <c r="A136" s="17"/>
      <c r="B136" s="417"/>
      <c r="C136" s="417"/>
      <c r="D136" s="417"/>
      <c r="E136" s="950" t="str">
        <f>Translations!$B$416</f>
        <v>Location where records are kept</v>
      </c>
      <c r="F136" s="951"/>
      <c r="G136" s="902"/>
      <c r="H136" s="851"/>
      <c r="I136" s="851"/>
      <c r="J136" s="851"/>
      <c r="K136" s="851"/>
      <c r="L136" s="851"/>
      <c r="M136" s="851"/>
      <c r="N136" s="852"/>
      <c r="O136" s="417"/>
      <c r="P136" s="453"/>
    </row>
    <row r="137" spans="1:17" ht="25.5" customHeight="1" x14ac:dyDescent="0.2">
      <c r="A137" s="17"/>
      <c r="B137" s="417"/>
      <c r="C137" s="417"/>
      <c r="D137" s="417"/>
      <c r="E137" s="950" t="str">
        <f>Translations!$B$418</f>
        <v>Name of IT system used (where applicable).</v>
      </c>
      <c r="F137" s="951"/>
      <c r="G137" s="902"/>
      <c r="H137" s="851"/>
      <c r="I137" s="851"/>
      <c r="J137" s="851"/>
      <c r="K137" s="851"/>
      <c r="L137" s="851"/>
      <c r="M137" s="851"/>
      <c r="N137" s="852"/>
      <c r="O137" s="417"/>
      <c r="P137" s="453"/>
    </row>
    <row r="138" spans="1:17" ht="25.5" customHeight="1" x14ac:dyDescent="0.2">
      <c r="A138" s="17"/>
      <c r="B138" s="417"/>
      <c r="C138" s="417"/>
      <c r="D138" s="417"/>
      <c r="E138" s="950" t="str">
        <f>Translations!$B$420</f>
        <v>List of EN or other standards applied (where relevant)</v>
      </c>
      <c r="F138" s="951"/>
      <c r="G138" s="902"/>
      <c r="H138" s="851"/>
      <c r="I138" s="851"/>
      <c r="J138" s="851"/>
      <c r="K138" s="851"/>
      <c r="L138" s="851"/>
      <c r="M138" s="851"/>
      <c r="N138" s="852"/>
      <c r="O138" s="417"/>
      <c r="P138" s="453"/>
    </row>
    <row r="140" spans="1:17" ht="25.5" customHeight="1" x14ac:dyDescent="0.2">
      <c r="A140" s="453"/>
      <c r="B140" s="417"/>
      <c r="C140" s="417"/>
      <c r="D140" s="14" t="s">
        <v>1349</v>
      </c>
      <c r="E140" s="949" t="str">
        <f>Translations!$B$1370</f>
        <v>If Method B is applied for transport infrastructure, please provide here the description of the procedure used for validating the result of method B with method A at least annually:</v>
      </c>
      <c r="F140" s="752"/>
      <c r="G140" s="752"/>
      <c r="H140" s="752"/>
      <c r="I140" s="752"/>
      <c r="J140" s="752"/>
      <c r="K140" s="752"/>
      <c r="L140" s="752"/>
      <c r="M140" s="1004"/>
      <c r="N140" s="1004"/>
      <c r="O140" s="417"/>
      <c r="Q140" s="683" t="s">
        <v>727</v>
      </c>
    </row>
    <row r="141" spans="1:17" ht="5.0999999999999996" customHeight="1" x14ac:dyDescent="0.2">
      <c r="A141" s="250"/>
      <c r="B141" s="13"/>
      <c r="C141" s="13"/>
      <c r="D141" s="439"/>
      <c r="E141" s="411"/>
      <c r="F141" s="7"/>
      <c r="G141" s="411"/>
      <c r="H141" s="411"/>
      <c r="I141" s="411"/>
      <c r="J141" s="411"/>
      <c r="K141" s="411"/>
      <c r="L141" s="411"/>
      <c r="M141" s="411"/>
      <c r="N141" s="411"/>
      <c r="O141" s="417"/>
    </row>
    <row r="142" spans="1:17" ht="12.75" customHeight="1" x14ac:dyDescent="0.2">
      <c r="A142" s="17"/>
      <c r="B142" s="417"/>
      <c r="C142" s="417"/>
      <c r="D142" s="417"/>
      <c r="E142" s="950" t="str">
        <f>Translations!$B$405</f>
        <v>Title of procedure</v>
      </c>
      <c r="F142" s="951"/>
      <c r="G142" s="902"/>
      <c r="H142" s="851"/>
      <c r="I142" s="851"/>
      <c r="J142" s="851"/>
      <c r="K142" s="851"/>
      <c r="L142" s="851"/>
      <c r="M142" s="851"/>
      <c r="N142" s="852"/>
      <c r="O142" s="417"/>
      <c r="P142" s="453"/>
      <c r="Q142" s="623" t="b">
        <f>CNTR_TransportApproach=1</f>
        <v>0</v>
      </c>
    </row>
    <row r="143" spans="1:17" ht="12.75" customHeight="1" x14ac:dyDescent="0.2">
      <c r="A143" s="17"/>
      <c r="B143" s="417"/>
      <c r="C143" s="417"/>
      <c r="D143" s="417"/>
      <c r="E143" s="950" t="str">
        <f>Translations!$B$407</f>
        <v>Reference for procedure</v>
      </c>
      <c r="F143" s="951"/>
      <c r="G143" s="902"/>
      <c r="H143" s="851"/>
      <c r="I143" s="851"/>
      <c r="J143" s="851"/>
      <c r="K143" s="851"/>
      <c r="L143" s="851"/>
      <c r="M143" s="851"/>
      <c r="N143" s="852"/>
      <c r="O143" s="417"/>
      <c r="P143" s="453"/>
      <c r="Q143" s="623" t="b">
        <f>Q142</f>
        <v>0</v>
      </c>
    </row>
    <row r="144" spans="1:17" ht="25.5" customHeight="1" x14ac:dyDescent="0.2">
      <c r="A144" s="17"/>
      <c r="B144" s="417"/>
      <c r="C144" s="417"/>
      <c r="D144" s="417"/>
      <c r="E144" s="950" t="str">
        <f>Translations!$B$409</f>
        <v>Diagram reference (where applicable)</v>
      </c>
      <c r="F144" s="951"/>
      <c r="G144" s="902"/>
      <c r="H144" s="851"/>
      <c r="I144" s="851"/>
      <c r="J144" s="851"/>
      <c r="K144" s="851"/>
      <c r="L144" s="851"/>
      <c r="M144" s="851"/>
      <c r="N144" s="852"/>
      <c r="O144" s="417"/>
      <c r="P144" s="453"/>
      <c r="Q144" s="623" t="b">
        <f t="shared" ref="Q144:Q151" si="0">Q143</f>
        <v>0</v>
      </c>
    </row>
    <row r="145" spans="1:17" ht="25.5" customHeight="1" x14ac:dyDescent="0.2">
      <c r="A145" s="17"/>
      <c r="B145" s="417"/>
      <c r="C145" s="417"/>
      <c r="D145" s="417"/>
      <c r="E145" s="952" t="str">
        <f>Translations!$B$411</f>
        <v xml:space="preserve">Brief description of procedure    </v>
      </c>
      <c r="F145" s="953"/>
      <c r="G145" s="954"/>
      <c r="H145" s="955"/>
      <c r="I145" s="955"/>
      <c r="J145" s="955"/>
      <c r="K145" s="955"/>
      <c r="L145" s="955"/>
      <c r="M145" s="955"/>
      <c r="N145" s="956"/>
      <c r="O145" s="417"/>
      <c r="P145" s="453"/>
      <c r="Q145" s="623" t="b">
        <f t="shared" si="0"/>
        <v>0</v>
      </c>
    </row>
    <row r="146" spans="1:17" ht="25.5" customHeight="1" x14ac:dyDescent="0.2">
      <c r="A146" s="17"/>
      <c r="B146" s="417"/>
      <c r="C146" s="417"/>
      <c r="D146" s="417"/>
      <c r="E146" s="590"/>
      <c r="F146" s="591"/>
      <c r="G146" s="957"/>
      <c r="H146" s="958"/>
      <c r="I146" s="958"/>
      <c r="J146" s="958"/>
      <c r="K146" s="958"/>
      <c r="L146" s="958"/>
      <c r="M146" s="958"/>
      <c r="N146" s="959"/>
      <c r="O146" s="417"/>
      <c r="P146" s="453"/>
      <c r="Q146" s="623" t="b">
        <f t="shared" si="0"/>
        <v>0</v>
      </c>
    </row>
    <row r="147" spans="1:17" ht="25.5" customHeight="1" x14ac:dyDescent="0.2">
      <c r="A147" s="17"/>
      <c r="B147" s="417"/>
      <c r="C147" s="417"/>
      <c r="D147" s="417"/>
      <c r="E147" s="592"/>
      <c r="F147" s="593"/>
      <c r="G147" s="960"/>
      <c r="H147" s="961"/>
      <c r="I147" s="961"/>
      <c r="J147" s="961"/>
      <c r="K147" s="961"/>
      <c r="L147" s="961"/>
      <c r="M147" s="961"/>
      <c r="N147" s="962"/>
      <c r="O147" s="417"/>
      <c r="P147" s="453"/>
      <c r="Q147" s="623" t="b">
        <f t="shared" si="0"/>
        <v>0</v>
      </c>
    </row>
    <row r="148" spans="1:17" ht="25.5" customHeight="1" x14ac:dyDescent="0.2">
      <c r="A148" s="17"/>
      <c r="B148" s="417"/>
      <c r="C148" s="417"/>
      <c r="D148" s="417"/>
      <c r="E148" s="950" t="str">
        <f>Translations!$B$414</f>
        <v>Post or department responsible for the procedure and for any data generated</v>
      </c>
      <c r="F148" s="951"/>
      <c r="G148" s="902"/>
      <c r="H148" s="903"/>
      <c r="I148" s="903"/>
      <c r="J148" s="903"/>
      <c r="K148" s="903"/>
      <c r="L148" s="903"/>
      <c r="M148" s="903"/>
      <c r="N148" s="904"/>
      <c r="O148" s="417"/>
      <c r="P148" s="453"/>
      <c r="Q148" s="623" t="b">
        <f t="shared" si="0"/>
        <v>0</v>
      </c>
    </row>
    <row r="149" spans="1:17" ht="12.75" customHeight="1" x14ac:dyDescent="0.2">
      <c r="A149" s="17"/>
      <c r="B149" s="417"/>
      <c r="C149" s="417"/>
      <c r="D149" s="417"/>
      <c r="E149" s="950" t="str">
        <f>Translations!$B$416</f>
        <v>Location where records are kept</v>
      </c>
      <c r="F149" s="951"/>
      <c r="G149" s="902"/>
      <c r="H149" s="851"/>
      <c r="I149" s="851"/>
      <c r="J149" s="851"/>
      <c r="K149" s="851"/>
      <c r="L149" s="851"/>
      <c r="M149" s="851"/>
      <c r="N149" s="852"/>
      <c r="O149" s="417"/>
      <c r="P149" s="453"/>
      <c r="Q149" s="623" t="b">
        <f t="shared" si="0"/>
        <v>0</v>
      </c>
    </row>
    <row r="150" spans="1:17" ht="25.5" customHeight="1" x14ac:dyDescent="0.2">
      <c r="A150" s="17"/>
      <c r="B150" s="417"/>
      <c r="C150" s="417"/>
      <c r="D150" s="417"/>
      <c r="E150" s="950" t="str">
        <f>Translations!$B$418</f>
        <v>Name of IT system used (where applicable).</v>
      </c>
      <c r="F150" s="951"/>
      <c r="G150" s="902"/>
      <c r="H150" s="851"/>
      <c r="I150" s="851"/>
      <c r="J150" s="851"/>
      <c r="K150" s="851"/>
      <c r="L150" s="851"/>
      <c r="M150" s="851"/>
      <c r="N150" s="852"/>
      <c r="O150" s="417"/>
      <c r="P150" s="453"/>
      <c r="Q150" s="623" t="b">
        <f t="shared" si="0"/>
        <v>0</v>
      </c>
    </row>
    <row r="151" spans="1:17" ht="25.5" customHeight="1" x14ac:dyDescent="0.2">
      <c r="A151" s="17"/>
      <c r="B151" s="417"/>
      <c r="C151" s="417"/>
      <c r="D151" s="417"/>
      <c r="E151" s="950" t="str">
        <f>Translations!$B$420</f>
        <v>List of EN or other standards applied (where relevant)</v>
      </c>
      <c r="F151" s="951"/>
      <c r="G151" s="902"/>
      <c r="H151" s="851"/>
      <c r="I151" s="851"/>
      <c r="J151" s="851"/>
      <c r="K151" s="851"/>
      <c r="L151" s="851"/>
      <c r="M151" s="851"/>
      <c r="N151" s="852"/>
      <c r="O151" s="417"/>
      <c r="P151" s="453"/>
      <c r="Q151" s="623" t="b">
        <f t="shared" si="0"/>
        <v>0</v>
      </c>
    </row>
    <row r="153" spans="1:17" ht="12.75" customHeight="1" x14ac:dyDescent="0.2">
      <c r="A153" s="453"/>
      <c r="B153" s="417"/>
      <c r="C153" s="417"/>
      <c r="D153" s="14" t="s">
        <v>1351</v>
      </c>
      <c r="E153" s="949" t="str">
        <f>Translations!$B$714</f>
        <v>If method B is applied, provide here a description of the procedure used for determining fugitive emissions:</v>
      </c>
      <c r="F153" s="752"/>
      <c r="G153" s="752"/>
      <c r="H153" s="752"/>
      <c r="I153" s="752"/>
      <c r="J153" s="752"/>
      <c r="K153" s="752"/>
      <c r="L153" s="752"/>
      <c r="M153" s="1004"/>
      <c r="N153" s="1004"/>
      <c r="O153" s="417"/>
    </row>
    <row r="154" spans="1:17" ht="5.0999999999999996" customHeight="1" x14ac:dyDescent="0.2">
      <c r="A154" s="250"/>
      <c r="B154" s="13"/>
      <c r="C154" s="13"/>
      <c r="D154" s="439"/>
      <c r="E154" s="411"/>
      <c r="F154" s="7"/>
      <c r="G154" s="411"/>
      <c r="H154" s="411"/>
      <c r="I154" s="411"/>
      <c r="J154" s="411"/>
      <c r="K154" s="411"/>
      <c r="L154" s="411"/>
      <c r="M154" s="411"/>
      <c r="N154" s="411"/>
      <c r="O154" s="417"/>
    </row>
    <row r="155" spans="1:17" ht="12.75" customHeight="1" x14ac:dyDescent="0.2">
      <c r="A155" s="17"/>
      <c r="B155" s="417"/>
      <c r="C155" s="417"/>
      <c r="D155" s="417"/>
      <c r="E155" s="950" t="str">
        <f>Translations!$B$405</f>
        <v>Title of procedure</v>
      </c>
      <c r="F155" s="951"/>
      <c r="G155" s="902"/>
      <c r="H155" s="851"/>
      <c r="I155" s="851"/>
      <c r="J155" s="851"/>
      <c r="K155" s="851"/>
      <c r="L155" s="851"/>
      <c r="M155" s="851"/>
      <c r="N155" s="852"/>
      <c r="O155" s="417"/>
      <c r="P155" s="453"/>
      <c r="Q155" s="623" t="b">
        <f>Q142</f>
        <v>0</v>
      </c>
    </row>
    <row r="156" spans="1:17" ht="12.75" customHeight="1" x14ac:dyDescent="0.2">
      <c r="A156" s="17"/>
      <c r="B156" s="417"/>
      <c r="C156" s="417"/>
      <c r="D156" s="417"/>
      <c r="E156" s="950" t="str">
        <f>Translations!$B$407</f>
        <v>Reference for procedure</v>
      </c>
      <c r="F156" s="951"/>
      <c r="G156" s="902"/>
      <c r="H156" s="851"/>
      <c r="I156" s="851"/>
      <c r="J156" s="851"/>
      <c r="K156" s="851"/>
      <c r="L156" s="851"/>
      <c r="M156" s="851"/>
      <c r="N156" s="852"/>
      <c r="O156" s="417"/>
      <c r="P156" s="453"/>
      <c r="Q156" s="623" t="b">
        <f>Q155</f>
        <v>0</v>
      </c>
    </row>
    <row r="157" spans="1:17" ht="25.5" customHeight="1" x14ac:dyDescent="0.2">
      <c r="A157" s="17"/>
      <c r="B157" s="417"/>
      <c r="C157" s="417"/>
      <c r="D157" s="417"/>
      <c r="E157" s="950" t="str">
        <f>Translations!$B$409</f>
        <v>Diagram reference (where applicable)</v>
      </c>
      <c r="F157" s="951"/>
      <c r="G157" s="902"/>
      <c r="H157" s="851"/>
      <c r="I157" s="851"/>
      <c r="J157" s="851"/>
      <c r="K157" s="851"/>
      <c r="L157" s="851"/>
      <c r="M157" s="851"/>
      <c r="N157" s="852"/>
      <c r="O157" s="417"/>
      <c r="P157" s="453"/>
      <c r="Q157" s="623" t="b">
        <f t="shared" ref="Q157:Q164" si="1">Q156</f>
        <v>0</v>
      </c>
    </row>
    <row r="158" spans="1:17" ht="25.5" customHeight="1" x14ac:dyDescent="0.2">
      <c r="A158" s="17"/>
      <c r="B158" s="417"/>
      <c r="C158" s="417"/>
      <c r="D158" s="417"/>
      <c r="E158" s="952" t="str">
        <f>Translations!$B$411</f>
        <v xml:space="preserve">Brief description of procedure    </v>
      </c>
      <c r="F158" s="953"/>
      <c r="G158" s="902"/>
      <c r="H158" s="851"/>
      <c r="I158" s="851"/>
      <c r="J158" s="851"/>
      <c r="K158" s="851"/>
      <c r="L158" s="851"/>
      <c r="M158" s="851"/>
      <c r="N158" s="852"/>
      <c r="O158" s="417"/>
      <c r="P158" s="453"/>
      <c r="Q158" s="623" t="b">
        <f t="shared" si="1"/>
        <v>0</v>
      </c>
    </row>
    <row r="159" spans="1:17" ht="25.5" customHeight="1" x14ac:dyDescent="0.2">
      <c r="A159" s="17"/>
      <c r="B159" s="417"/>
      <c r="C159" s="417"/>
      <c r="D159" s="417"/>
      <c r="E159" s="590"/>
      <c r="F159" s="591"/>
      <c r="G159" s="954"/>
      <c r="H159" s="955"/>
      <c r="I159" s="955"/>
      <c r="J159" s="955"/>
      <c r="K159" s="955"/>
      <c r="L159" s="955"/>
      <c r="M159" s="955"/>
      <c r="N159" s="956"/>
      <c r="O159" s="417"/>
      <c r="P159" s="453"/>
      <c r="Q159" s="623" t="b">
        <f t="shared" si="1"/>
        <v>0</v>
      </c>
    </row>
    <row r="160" spans="1:17" ht="25.5" customHeight="1" x14ac:dyDescent="0.2">
      <c r="A160" s="17"/>
      <c r="B160" s="417"/>
      <c r="C160" s="417"/>
      <c r="D160" s="417"/>
      <c r="E160" s="592"/>
      <c r="F160" s="593"/>
      <c r="G160" s="957"/>
      <c r="H160" s="958"/>
      <c r="I160" s="958"/>
      <c r="J160" s="958"/>
      <c r="K160" s="958"/>
      <c r="L160" s="958"/>
      <c r="M160" s="958"/>
      <c r="N160" s="959"/>
      <c r="O160" s="417"/>
      <c r="P160" s="453"/>
      <c r="Q160" s="623" t="b">
        <f t="shared" si="1"/>
        <v>0</v>
      </c>
    </row>
    <row r="161" spans="1:17" ht="25.5" customHeight="1" x14ac:dyDescent="0.2">
      <c r="A161" s="17"/>
      <c r="B161" s="417"/>
      <c r="C161" s="417"/>
      <c r="D161" s="417"/>
      <c r="E161" s="950" t="str">
        <f>Translations!$B$414</f>
        <v>Post or department responsible for the procedure and for any data generated</v>
      </c>
      <c r="F161" s="951"/>
      <c r="G161" s="960"/>
      <c r="H161" s="961"/>
      <c r="I161" s="961"/>
      <c r="J161" s="961"/>
      <c r="K161" s="961"/>
      <c r="L161" s="961"/>
      <c r="M161" s="961"/>
      <c r="N161" s="962"/>
      <c r="O161" s="417"/>
      <c r="P161" s="453"/>
      <c r="Q161" s="623" t="b">
        <f t="shared" si="1"/>
        <v>0</v>
      </c>
    </row>
    <row r="162" spans="1:17" ht="12.75" customHeight="1" x14ac:dyDescent="0.2">
      <c r="A162" s="17"/>
      <c r="B162" s="417"/>
      <c r="C162" s="417"/>
      <c r="D162" s="417"/>
      <c r="E162" s="950" t="str">
        <f>Translations!$B$416</f>
        <v>Location where records are kept</v>
      </c>
      <c r="F162" s="951"/>
      <c r="G162" s="902"/>
      <c r="H162" s="903"/>
      <c r="I162" s="903"/>
      <c r="J162" s="903"/>
      <c r="K162" s="903"/>
      <c r="L162" s="903"/>
      <c r="M162" s="903"/>
      <c r="N162" s="904"/>
      <c r="O162" s="417"/>
      <c r="P162" s="453"/>
      <c r="Q162" s="623" t="b">
        <f t="shared" si="1"/>
        <v>0</v>
      </c>
    </row>
    <row r="163" spans="1:17" ht="25.5" customHeight="1" x14ac:dyDescent="0.2">
      <c r="A163" s="17"/>
      <c r="B163" s="417"/>
      <c r="C163" s="417"/>
      <c r="D163" s="417"/>
      <c r="E163" s="950" t="str">
        <f>Translations!$B$418</f>
        <v>Name of IT system used (where applicable).</v>
      </c>
      <c r="F163" s="951"/>
      <c r="G163" s="902"/>
      <c r="H163" s="851"/>
      <c r="I163" s="851"/>
      <c r="J163" s="851"/>
      <c r="K163" s="851"/>
      <c r="L163" s="851"/>
      <c r="M163" s="851"/>
      <c r="N163" s="852"/>
      <c r="O163" s="417"/>
      <c r="P163" s="453"/>
      <c r="Q163" s="623" t="b">
        <f t="shared" si="1"/>
        <v>0</v>
      </c>
    </row>
    <row r="164" spans="1:17" ht="25.5" customHeight="1" x14ac:dyDescent="0.2">
      <c r="A164" s="17"/>
      <c r="B164" s="417"/>
      <c r="C164" s="417"/>
      <c r="D164" s="417"/>
      <c r="E164" s="950" t="str">
        <f>Translations!$B$420</f>
        <v>List of EN or other standards applied (where relevant)</v>
      </c>
      <c r="F164" s="951"/>
      <c r="G164" s="902"/>
      <c r="H164" s="851"/>
      <c r="I164" s="851"/>
      <c r="J164" s="851"/>
      <c r="K164" s="851"/>
      <c r="L164" s="851"/>
      <c r="M164" s="851"/>
      <c r="N164" s="852"/>
      <c r="O164" s="417"/>
      <c r="P164" s="453"/>
      <c r="Q164" s="623" t="b">
        <f t="shared" si="1"/>
        <v>0</v>
      </c>
    </row>
    <row r="166" spans="1:17" ht="12.75" customHeight="1" x14ac:dyDescent="0.2">
      <c r="A166" s="453"/>
      <c r="B166" s="417"/>
      <c r="C166" s="417"/>
      <c r="D166" s="14" t="s">
        <v>1352</v>
      </c>
      <c r="E166" s="949" t="str">
        <f>Translations!$B$715</f>
        <v>If method B is applied, provide here a description of the procedure used for determining vented emissions:</v>
      </c>
      <c r="F166" s="752"/>
      <c r="G166" s="752"/>
      <c r="H166" s="752"/>
      <c r="I166" s="752"/>
      <c r="J166" s="752"/>
      <c r="K166" s="752"/>
      <c r="L166" s="752"/>
      <c r="M166" s="1004"/>
      <c r="N166" s="1004"/>
      <c r="O166" s="417"/>
    </row>
    <row r="167" spans="1:17" ht="5.0999999999999996" customHeight="1" x14ac:dyDescent="0.2">
      <c r="A167" s="250"/>
      <c r="B167" s="13"/>
      <c r="C167" s="13"/>
      <c r="D167" s="439"/>
      <c r="E167" s="411"/>
      <c r="F167" s="7"/>
      <c r="G167" s="411"/>
      <c r="H167" s="411"/>
      <c r="I167" s="411"/>
      <c r="J167" s="411"/>
      <c r="K167" s="411"/>
      <c r="L167" s="411"/>
      <c r="M167" s="411"/>
      <c r="N167" s="411"/>
      <c r="O167" s="417"/>
    </row>
    <row r="168" spans="1:17" ht="12.75" customHeight="1" x14ac:dyDescent="0.2">
      <c r="A168" s="17"/>
      <c r="B168" s="417"/>
      <c r="C168" s="417"/>
      <c r="D168" s="417"/>
      <c r="E168" s="950" t="str">
        <f>Translations!$B$405</f>
        <v>Title of procedure</v>
      </c>
      <c r="F168" s="951"/>
      <c r="G168" s="902"/>
      <c r="H168" s="851"/>
      <c r="I168" s="851"/>
      <c r="J168" s="851"/>
      <c r="K168" s="851"/>
      <c r="L168" s="851"/>
      <c r="M168" s="851"/>
      <c r="N168" s="852"/>
      <c r="O168" s="417"/>
      <c r="P168" s="453"/>
      <c r="Q168" s="623" t="b">
        <f>Q155</f>
        <v>0</v>
      </c>
    </row>
    <row r="169" spans="1:17" ht="12.75" customHeight="1" x14ac:dyDescent="0.2">
      <c r="A169" s="17"/>
      <c r="B169" s="417"/>
      <c r="C169" s="417"/>
      <c r="D169" s="417"/>
      <c r="E169" s="950" t="str">
        <f>Translations!$B$407</f>
        <v>Reference for procedure</v>
      </c>
      <c r="F169" s="951"/>
      <c r="G169" s="902"/>
      <c r="H169" s="851"/>
      <c r="I169" s="851"/>
      <c r="J169" s="851"/>
      <c r="K169" s="851"/>
      <c r="L169" s="851"/>
      <c r="M169" s="851"/>
      <c r="N169" s="852"/>
      <c r="O169" s="417"/>
      <c r="P169" s="453"/>
      <c r="Q169" s="623" t="b">
        <f>Q168</f>
        <v>0</v>
      </c>
    </row>
    <row r="170" spans="1:17" ht="25.5" customHeight="1" x14ac:dyDescent="0.2">
      <c r="A170" s="17"/>
      <c r="B170" s="417"/>
      <c r="C170" s="417"/>
      <c r="D170" s="417"/>
      <c r="E170" s="950" t="str">
        <f>Translations!$B$409</f>
        <v>Diagram reference (where applicable)</v>
      </c>
      <c r="F170" s="951"/>
      <c r="G170" s="902"/>
      <c r="H170" s="851"/>
      <c r="I170" s="851"/>
      <c r="J170" s="851"/>
      <c r="K170" s="851"/>
      <c r="L170" s="851"/>
      <c r="M170" s="851"/>
      <c r="N170" s="852"/>
      <c r="O170" s="417"/>
      <c r="P170" s="453"/>
      <c r="Q170" s="623" t="b">
        <f t="shared" ref="Q170:Q177" si="2">Q169</f>
        <v>0</v>
      </c>
    </row>
    <row r="171" spans="1:17" ht="25.5" customHeight="1" x14ac:dyDescent="0.2">
      <c r="A171" s="17"/>
      <c r="B171" s="417"/>
      <c r="C171" s="417"/>
      <c r="D171" s="417"/>
      <c r="E171" s="952" t="str">
        <f>Translations!$B$411</f>
        <v xml:space="preserve">Brief description of procedure    </v>
      </c>
      <c r="F171" s="953"/>
      <c r="G171" s="954"/>
      <c r="H171" s="955"/>
      <c r="I171" s="955"/>
      <c r="J171" s="955"/>
      <c r="K171" s="955"/>
      <c r="L171" s="955"/>
      <c r="M171" s="955"/>
      <c r="N171" s="956"/>
      <c r="O171" s="417"/>
      <c r="P171" s="453"/>
      <c r="Q171" s="623" t="b">
        <f t="shared" si="2"/>
        <v>0</v>
      </c>
    </row>
    <row r="172" spans="1:17" ht="25.5" customHeight="1" x14ac:dyDescent="0.2">
      <c r="A172" s="17"/>
      <c r="B172" s="417"/>
      <c r="C172" s="417"/>
      <c r="D172" s="417"/>
      <c r="E172" s="590"/>
      <c r="F172" s="591"/>
      <c r="G172" s="957"/>
      <c r="H172" s="958"/>
      <c r="I172" s="958"/>
      <c r="J172" s="958"/>
      <c r="K172" s="958"/>
      <c r="L172" s="958"/>
      <c r="M172" s="958"/>
      <c r="N172" s="959"/>
      <c r="O172" s="417"/>
      <c r="P172" s="453"/>
      <c r="Q172" s="623" t="b">
        <f t="shared" si="2"/>
        <v>0</v>
      </c>
    </row>
    <row r="173" spans="1:17" ht="25.5" customHeight="1" x14ac:dyDescent="0.2">
      <c r="A173" s="17"/>
      <c r="B173" s="417"/>
      <c r="C173" s="417"/>
      <c r="D173" s="417"/>
      <c r="E173" s="592"/>
      <c r="F173" s="593"/>
      <c r="G173" s="960"/>
      <c r="H173" s="961"/>
      <c r="I173" s="961"/>
      <c r="J173" s="961"/>
      <c r="K173" s="961"/>
      <c r="L173" s="961"/>
      <c r="M173" s="961"/>
      <c r="N173" s="962"/>
      <c r="O173" s="417"/>
      <c r="P173" s="453"/>
      <c r="Q173" s="623" t="b">
        <f t="shared" si="2"/>
        <v>0</v>
      </c>
    </row>
    <row r="174" spans="1:17" ht="25.5" customHeight="1" x14ac:dyDescent="0.2">
      <c r="A174" s="17"/>
      <c r="B174" s="417"/>
      <c r="C174" s="417"/>
      <c r="D174" s="417"/>
      <c r="E174" s="950" t="str">
        <f>Translations!$B$414</f>
        <v>Post or department responsible for the procedure and for any data generated</v>
      </c>
      <c r="F174" s="951"/>
      <c r="G174" s="902"/>
      <c r="H174" s="903"/>
      <c r="I174" s="903"/>
      <c r="J174" s="903"/>
      <c r="K174" s="903"/>
      <c r="L174" s="903"/>
      <c r="M174" s="903"/>
      <c r="N174" s="904"/>
      <c r="O174" s="417"/>
      <c r="P174" s="453"/>
      <c r="Q174" s="623" t="b">
        <f t="shared" si="2"/>
        <v>0</v>
      </c>
    </row>
    <row r="175" spans="1:17" ht="12.75" customHeight="1" x14ac:dyDescent="0.2">
      <c r="A175" s="17"/>
      <c r="B175" s="417"/>
      <c r="C175" s="417"/>
      <c r="D175" s="417"/>
      <c r="E175" s="950" t="str">
        <f>Translations!$B$416</f>
        <v>Location where records are kept</v>
      </c>
      <c r="F175" s="951"/>
      <c r="G175" s="902"/>
      <c r="H175" s="851"/>
      <c r="I175" s="851"/>
      <c r="J175" s="851"/>
      <c r="K175" s="851"/>
      <c r="L175" s="851"/>
      <c r="M175" s="851"/>
      <c r="N175" s="852"/>
      <c r="O175" s="417"/>
      <c r="P175" s="453"/>
      <c r="Q175" s="623" t="b">
        <f t="shared" si="2"/>
        <v>0</v>
      </c>
    </row>
    <row r="176" spans="1:17" ht="25.5" customHeight="1" x14ac:dyDescent="0.2">
      <c r="A176" s="17"/>
      <c r="B176" s="417"/>
      <c r="C176" s="417"/>
      <c r="D176" s="417"/>
      <c r="E176" s="950" t="str">
        <f>Translations!$B$418</f>
        <v>Name of IT system used (where applicable).</v>
      </c>
      <c r="F176" s="951"/>
      <c r="G176" s="902"/>
      <c r="H176" s="851"/>
      <c r="I176" s="851"/>
      <c r="J176" s="851"/>
      <c r="K176" s="851"/>
      <c r="L176" s="851"/>
      <c r="M176" s="851"/>
      <c r="N176" s="852"/>
      <c r="O176" s="417"/>
      <c r="P176" s="453"/>
      <c r="Q176" s="623" t="b">
        <f t="shared" si="2"/>
        <v>0</v>
      </c>
    </row>
    <row r="177" spans="1:17" ht="25.5" customHeight="1" x14ac:dyDescent="0.2">
      <c r="A177" s="17"/>
      <c r="B177" s="417"/>
      <c r="C177" s="417"/>
      <c r="D177" s="417"/>
      <c r="E177" s="950" t="str">
        <f>Translations!$B$420</f>
        <v>List of EN or other standards applied (where relevant)</v>
      </c>
      <c r="F177" s="951"/>
      <c r="G177" s="902"/>
      <c r="H177" s="851"/>
      <c r="I177" s="851"/>
      <c r="J177" s="851"/>
      <c r="K177" s="851"/>
      <c r="L177" s="851"/>
      <c r="M177" s="851"/>
      <c r="N177" s="852"/>
      <c r="O177" s="417"/>
      <c r="P177" s="453"/>
      <c r="Q177" s="623" t="b">
        <f t="shared" si="2"/>
        <v>0</v>
      </c>
    </row>
    <row r="178" spans="1:17" x14ac:dyDescent="0.2">
      <c r="O178" s="417"/>
    </row>
    <row r="179" spans="1:17" ht="25.5" customHeight="1" x14ac:dyDescent="0.2">
      <c r="A179" s="453"/>
      <c r="B179" s="417"/>
      <c r="C179" s="417"/>
      <c r="D179" s="14" t="s">
        <v>1516</v>
      </c>
      <c r="E179" s="949" t="str">
        <f>Translations!$B$1371</f>
        <v>If method A is applied, provide here a description of the procedure used for compiling inventory of CO2 annually entering and leaving the CO2 transport infrastructure and for monitoring any CO2 in transit, in accordance with Article 49(6).</v>
      </c>
      <c r="F179" s="752"/>
      <c r="G179" s="752"/>
      <c r="H179" s="752"/>
      <c r="I179" s="752"/>
      <c r="J179" s="752"/>
      <c r="K179" s="752"/>
      <c r="L179" s="752"/>
      <c r="M179" s="1004"/>
      <c r="N179" s="1004"/>
      <c r="O179" s="417"/>
    </row>
    <row r="180" spans="1:17" ht="5.0999999999999996" customHeight="1" x14ac:dyDescent="0.2">
      <c r="A180" s="250"/>
      <c r="B180" s="13"/>
      <c r="C180" s="13"/>
      <c r="D180" s="439"/>
      <c r="E180" s="411"/>
      <c r="F180" s="7"/>
      <c r="G180" s="411"/>
      <c r="H180" s="411"/>
      <c r="I180" s="411"/>
      <c r="J180" s="411"/>
      <c r="K180" s="411"/>
      <c r="L180" s="411"/>
      <c r="M180" s="411"/>
      <c r="N180" s="411"/>
      <c r="O180" s="417"/>
    </row>
    <row r="181" spans="1:17" ht="12.75" customHeight="1" x14ac:dyDescent="0.2">
      <c r="A181" s="17"/>
      <c r="B181" s="417"/>
      <c r="C181" s="417"/>
      <c r="D181" s="417"/>
      <c r="E181" s="950" t="str">
        <f>Translations!$B$405</f>
        <v>Title of procedure</v>
      </c>
      <c r="F181" s="951"/>
      <c r="G181" s="902"/>
      <c r="H181" s="851"/>
      <c r="I181" s="851"/>
      <c r="J181" s="851"/>
      <c r="K181" s="851"/>
      <c r="L181" s="851"/>
      <c r="M181" s="851"/>
      <c r="N181" s="852"/>
      <c r="O181" s="417"/>
      <c r="P181" s="453"/>
      <c r="Q181" s="623" t="b">
        <f>CNTR_TransportApproach=2</f>
        <v>0</v>
      </c>
    </row>
    <row r="182" spans="1:17" ht="12.75" customHeight="1" x14ac:dyDescent="0.2">
      <c r="A182" s="17"/>
      <c r="B182" s="417"/>
      <c r="C182" s="417"/>
      <c r="D182" s="417"/>
      <c r="E182" s="950" t="str">
        <f>Translations!$B$407</f>
        <v>Reference for procedure</v>
      </c>
      <c r="F182" s="951"/>
      <c r="G182" s="902"/>
      <c r="H182" s="851"/>
      <c r="I182" s="851"/>
      <c r="J182" s="851"/>
      <c r="K182" s="851"/>
      <c r="L182" s="851"/>
      <c r="M182" s="851"/>
      <c r="N182" s="852"/>
      <c r="O182" s="417"/>
      <c r="P182" s="453"/>
      <c r="Q182" s="623" t="b">
        <f>Q181</f>
        <v>0</v>
      </c>
    </row>
    <row r="183" spans="1:17" ht="25.5" customHeight="1" x14ac:dyDescent="0.2">
      <c r="A183" s="17"/>
      <c r="B183" s="417"/>
      <c r="C183" s="417"/>
      <c r="D183" s="417"/>
      <c r="E183" s="950" t="str">
        <f>Translations!$B$409</f>
        <v>Diagram reference (where applicable)</v>
      </c>
      <c r="F183" s="951"/>
      <c r="G183" s="902"/>
      <c r="H183" s="851"/>
      <c r="I183" s="851"/>
      <c r="J183" s="851"/>
      <c r="K183" s="851"/>
      <c r="L183" s="851"/>
      <c r="M183" s="851"/>
      <c r="N183" s="852"/>
      <c r="O183" s="417"/>
      <c r="P183" s="453"/>
      <c r="Q183" s="623" t="b">
        <f t="shared" ref="Q183:Q190" si="3">Q182</f>
        <v>0</v>
      </c>
    </row>
    <row r="184" spans="1:17" ht="25.5" customHeight="1" x14ac:dyDescent="0.2">
      <c r="A184" s="17"/>
      <c r="B184" s="417"/>
      <c r="C184" s="417"/>
      <c r="D184" s="417"/>
      <c r="E184" s="952" t="str">
        <f>Translations!$B$411</f>
        <v xml:space="preserve">Brief description of procedure    </v>
      </c>
      <c r="F184" s="953"/>
      <c r="G184" s="954"/>
      <c r="H184" s="955"/>
      <c r="I184" s="955"/>
      <c r="J184" s="955"/>
      <c r="K184" s="955"/>
      <c r="L184" s="955"/>
      <c r="M184" s="955"/>
      <c r="N184" s="956"/>
      <c r="O184" s="417"/>
      <c r="P184" s="453"/>
      <c r="Q184" s="623" t="b">
        <f t="shared" si="3"/>
        <v>0</v>
      </c>
    </row>
    <row r="185" spans="1:17" ht="25.5" customHeight="1" x14ac:dyDescent="0.2">
      <c r="A185" s="17"/>
      <c r="B185" s="417"/>
      <c r="C185" s="417"/>
      <c r="D185" s="417"/>
      <c r="E185" s="590"/>
      <c r="F185" s="591"/>
      <c r="G185" s="957"/>
      <c r="H185" s="958"/>
      <c r="I185" s="958"/>
      <c r="J185" s="958"/>
      <c r="K185" s="958"/>
      <c r="L185" s="958"/>
      <c r="M185" s="958"/>
      <c r="N185" s="959"/>
      <c r="O185" s="417"/>
      <c r="P185" s="453"/>
      <c r="Q185" s="623" t="b">
        <f t="shared" si="3"/>
        <v>0</v>
      </c>
    </row>
    <row r="186" spans="1:17" ht="25.5" customHeight="1" x14ac:dyDescent="0.2">
      <c r="A186" s="17"/>
      <c r="B186" s="417"/>
      <c r="C186" s="417"/>
      <c r="D186" s="417"/>
      <c r="E186" s="592"/>
      <c r="F186" s="593"/>
      <c r="G186" s="960"/>
      <c r="H186" s="961"/>
      <c r="I186" s="961"/>
      <c r="J186" s="961"/>
      <c r="K186" s="961"/>
      <c r="L186" s="961"/>
      <c r="M186" s="961"/>
      <c r="N186" s="962"/>
      <c r="O186" s="417"/>
      <c r="P186" s="453"/>
      <c r="Q186" s="623" t="b">
        <f t="shared" si="3"/>
        <v>0</v>
      </c>
    </row>
    <row r="187" spans="1:17" ht="25.5" customHeight="1" x14ac:dyDescent="0.2">
      <c r="A187" s="17"/>
      <c r="B187" s="417"/>
      <c r="C187" s="417"/>
      <c r="D187" s="417"/>
      <c r="E187" s="950" t="str">
        <f>Translations!$B$414</f>
        <v>Post or department responsible for the procedure and for any data generated</v>
      </c>
      <c r="F187" s="951"/>
      <c r="G187" s="902"/>
      <c r="H187" s="903"/>
      <c r="I187" s="903"/>
      <c r="J187" s="903"/>
      <c r="K187" s="903"/>
      <c r="L187" s="903"/>
      <c r="M187" s="903"/>
      <c r="N187" s="904"/>
      <c r="O187" s="417"/>
      <c r="P187" s="453"/>
      <c r="Q187" s="623" t="b">
        <f t="shared" si="3"/>
        <v>0</v>
      </c>
    </row>
    <row r="188" spans="1:17" ht="12.75" customHeight="1" x14ac:dyDescent="0.2">
      <c r="A188" s="17"/>
      <c r="B188" s="417"/>
      <c r="C188" s="417"/>
      <c r="D188" s="417"/>
      <c r="E188" s="950" t="str">
        <f>Translations!$B$416</f>
        <v>Location where records are kept</v>
      </c>
      <c r="F188" s="951"/>
      <c r="G188" s="902"/>
      <c r="H188" s="851"/>
      <c r="I188" s="851"/>
      <c r="J188" s="851"/>
      <c r="K188" s="851"/>
      <c r="L188" s="851"/>
      <c r="M188" s="851"/>
      <c r="N188" s="852"/>
      <c r="O188" s="417"/>
      <c r="P188" s="453"/>
      <c r="Q188" s="623" t="b">
        <f t="shared" si="3"/>
        <v>0</v>
      </c>
    </row>
    <row r="189" spans="1:17" ht="25.5" customHeight="1" x14ac:dyDescent="0.2">
      <c r="A189" s="17"/>
      <c r="B189" s="417"/>
      <c r="C189" s="417"/>
      <c r="D189" s="417"/>
      <c r="E189" s="950" t="str">
        <f>Translations!$B$418</f>
        <v>Name of IT system used (where applicable).</v>
      </c>
      <c r="F189" s="951"/>
      <c r="G189" s="902"/>
      <c r="H189" s="851"/>
      <c r="I189" s="851"/>
      <c r="J189" s="851"/>
      <c r="K189" s="851"/>
      <c r="L189" s="851"/>
      <c r="M189" s="851"/>
      <c r="N189" s="852"/>
      <c r="O189" s="417"/>
      <c r="P189" s="453"/>
      <c r="Q189" s="623" t="b">
        <f t="shared" si="3"/>
        <v>0</v>
      </c>
    </row>
    <row r="190" spans="1:17" ht="25.5" customHeight="1" x14ac:dyDescent="0.2">
      <c r="A190" s="17"/>
      <c r="B190" s="417"/>
      <c r="C190" s="417"/>
      <c r="D190" s="417"/>
      <c r="E190" s="950" t="str">
        <f>Translations!$B$420</f>
        <v>List of EN or other standards applied (where relevant)</v>
      </c>
      <c r="F190" s="951"/>
      <c r="G190" s="902"/>
      <c r="H190" s="851"/>
      <c r="I190" s="851"/>
      <c r="J190" s="851"/>
      <c r="K190" s="851"/>
      <c r="L190" s="851"/>
      <c r="M190" s="851"/>
      <c r="N190" s="852"/>
      <c r="O190" s="417"/>
      <c r="P190" s="453"/>
      <c r="Q190" s="623" t="b">
        <f t="shared" si="3"/>
        <v>0</v>
      </c>
    </row>
    <row r="193" spans="1:16" ht="15.75" x14ac:dyDescent="0.25">
      <c r="A193" s="453"/>
      <c r="B193" s="417"/>
      <c r="C193" s="77">
        <v>19</v>
      </c>
      <c r="D193" s="1199" t="str">
        <f>Translations!$B$35</f>
        <v>Information relevant for installations for the geological storage of CO2</v>
      </c>
      <c r="E193" s="1199"/>
      <c r="F193" s="1199"/>
      <c r="G193" s="1199"/>
      <c r="H193" s="1199"/>
      <c r="I193" s="1199"/>
      <c r="J193" s="1199"/>
      <c r="K193" s="1199"/>
      <c r="L193" s="1199"/>
      <c r="M193" s="1199"/>
      <c r="N193" s="1199"/>
      <c r="O193" s="440"/>
    </row>
    <row r="195" spans="1:16" ht="38.25" customHeight="1" x14ac:dyDescent="0.2">
      <c r="D195" s="769" t="str">
        <f>Translations!$B$716</f>
        <v xml:space="preserve">Note: In case of the geological storage of CO2, emissions from the storage complex as well as release of CO2 to the water column have to be monitored only where a leakage is detected. Where no leakage is detected, the monitoring plan may have no particular provisions for monitoring. </v>
      </c>
      <c r="E195" s="769"/>
      <c r="F195" s="769"/>
      <c r="G195" s="769"/>
      <c r="H195" s="769"/>
      <c r="I195" s="769"/>
      <c r="J195" s="769"/>
      <c r="K195" s="769"/>
      <c r="L195" s="769"/>
      <c r="M195" s="769"/>
      <c r="N195" s="769"/>
    </row>
    <row r="196" spans="1:16" ht="25.5" customHeight="1" x14ac:dyDescent="0.2">
      <c r="D196" s="769" t="str">
        <f>Translations!$B$717</f>
        <v>Therefore it is of utmost importance that a procedure is in place for immediate reaction if a leakage is detected. In such case the monitoring plan must be updated without undue delay.</v>
      </c>
      <c r="E196" s="1004"/>
      <c r="F196" s="1004"/>
      <c r="G196" s="1004"/>
      <c r="H196" s="1004"/>
      <c r="I196" s="1004"/>
      <c r="J196" s="1004"/>
      <c r="K196" s="1004"/>
      <c r="L196" s="1004"/>
      <c r="M196" s="1004"/>
      <c r="N196" s="1004"/>
    </row>
    <row r="197" spans="1:16" ht="25.5" customHeight="1" x14ac:dyDescent="0.2">
      <c r="D197" s="769" t="str">
        <f>Translations!$B$718</f>
        <v>Please provide details about the procedure used for regular evaluation of the monitoring plan's appropriateness. For this purpose, please use point 19(c) in sheet K_ManagementControl.</v>
      </c>
      <c r="E197" s="769"/>
      <c r="F197" s="769"/>
      <c r="G197" s="769"/>
      <c r="H197" s="769"/>
      <c r="I197" s="769"/>
      <c r="J197" s="769"/>
      <c r="K197" s="769"/>
      <c r="L197" s="769"/>
      <c r="M197" s="769"/>
      <c r="N197" s="769"/>
    </row>
    <row r="199" spans="1:16" ht="51" customHeight="1" x14ac:dyDescent="0.2">
      <c r="A199" s="453"/>
      <c r="B199" s="417"/>
      <c r="C199" s="417"/>
      <c r="D199" s="14" t="s">
        <v>1018</v>
      </c>
      <c r="E199" s="949" t="str">
        <f>Translations!$B$719</f>
        <v>Where applicable, please provide details of the written procedure which describe the quantification methodologies for emissions or CO2 released to the water column from potential leakages as well as the applied and possibly adapted quantification methodologies for actual emissions or CO2 released to the water column from leakages, as specified in section 23 of Annex IV.</v>
      </c>
      <c r="F199" s="1004"/>
      <c r="G199" s="1004"/>
      <c r="H199" s="1004"/>
      <c r="I199" s="1004"/>
      <c r="J199" s="1004"/>
      <c r="K199" s="1004"/>
      <c r="L199" s="1004"/>
      <c r="M199" s="1004"/>
      <c r="N199" s="1004"/>
      <c r="O199" s="465"/>
    </row>
    <row r="200" spans="1:16" ht="5.0999999999999996" customHeight="1" x14ac:dyDescent="0.2">
      <c r="A200" s="250"/>
      <c r="B200" s="13"/>
      <c r="C200" s="13"/>
      <c r="D200" s="439"/>
      <c r="E200" s="411"/>
      <c r="F200" s="7"/>
      <c r="G200" s="411"/>
      <c r="H200" s="411"/>
      <c r="I200" s="411"/>
      <c r="J200" s="411"/>
      <c r="K200" s="411"/>
      <c r="L200" s="411"/>
      <c r="M200" s="411"/>
      <c r="N200" s="411"/>
      <c r="O200" s="417"/>
    </row>
    <row r="201" spans="1:16" ht="12.75" customHeight="1" x14ac:dyDescent="0.2">
      <c r="A201" s="17"/>
      <c r="B201" s="417"/>
      <c r="C201" s="417"/>
      <c r="D201" s="417"/>
      <c r="E201" s="950" t="str">
        <f>Translations!$B$405</f>
        <v>Title of procedure</v>
      </c>
      <c r="F201" s="951"/>
      <c r="G201" s="902"/>
      <c r="H201" s="851"/>
      <c r="I201" s="851"/>
      <c r="J201" s="851"/>
      <c r="K201" s="851"/>
      <c r="L201" s="851"/>
      <c r="M201" s="851"/>
      <c r="N201" s="852"/>
      <c r="O201" s="417"/>
      <c r="P201" s="453"/>
    </row>
    <row r="202" spans="1:16" ht="12.75" customHeight="1" x14ac:dyDescent="0.2">
      <c r="A202" s="17"/>
      <c r="B202" s="417"/>
      <c r="C202" s="417"/>
      <c r="D202" s="417"/>
      <c r="E202" s="950" t="str">
        <f>Translations!$B$407</f>
        <v>Reference for procedure</v>
      </c>
      <c r="F202" s="951"/>
      <c r="G202" s="902"/>
      <c r="H202" s="851"/>
      <c r="I202" s="851"/>
      <c r="J202" s="851"/>
      <c r="K202" s="851"/>
      <c r="L202" s="851"/>
      <c r="M202" s="851"/>
      <c r="N202" s="852"/>
      <c r="O202" s="417"/>
      <c r="P202" s="453"/>
    </row>
    <row r="203" spans="1:16" ht="25.5" customHeight="1" x14ac:dyDescent="0.2">
      <c r="A203" s="17"/>
      <c r="B203" s="417"/>
      <c r="C203" s="417"/>
      <c r="D203" s="417"/>
      <c r="E203" s="950" t="str">
        <f>Translations!$B$409</f>
        <v>Diagram reference (where applicable)</v>
      </c>
      <c r="F203" s="951"/>
      <c r="G203" s="902"/>
      <c r="H203" s="851"/>
      <c r="I203" s="851"/>
      <c r="J203" s="851"/>
      <c r="K203" s="851"/>
      <c r="L203" s="851"/>
      <c r="M203" s="851"/>
      <c r="N203" s="852"/>
      <c r="O203" s="417"/>
      <c r="P203" s="453"/>
    </row>
    <row r="204" spans="1:16" ht="25.5" customHeight="1" x14ac:dyDescent="0.2">
      <c r="A204" s="17"/>
      <c r="B204" s="417"/>
      <c r="C204" s="417"/>
      <c r="D204" s="417"/>
      <c r="E204" s="952" t="str">
        <f>Translations!$B$411</f>
        <v xml:space="preserve">Brief description of procedure    </v>
      </c>
      <c r="F204" s="953"/>
      <c r="G204" s="954"/>
      <c r="H204" s="955"/>
      <c r="I204" s="955"/>
      <c r="J204" s="955"/>
      <c r="K204" s="955"/>
      <c r="L204" s="955"/>
      <c r="M204" s="955"/>
      <c r="N204" s="956"/>
      <c r="O204" s="417"/>
      <c r="P204" s="453"/>
    </row>
    <row r="205" spans="1:16" ht="25.5" customHeight="1" x14ac:dyDescent="0.2">
      <c r="A205" s="17"/>
      <c r="B205" s="417"/>
      <c r="C205" s="417"/>
      <c r="D205" s="417"/>
      <c r="E205" s="590"/>
      <c r="F205" s="591"/>
      <c r="G205" s="957"/>
      <c r="H205" s="958"/>
      <c r="I205" s="958"/>
      <c r="J205" s="958"/>
      <c r="K205" s="958"/>
      <c r="L205" s="958"/>
      <c r="M205" s="958"/>
      <c r="N205" s="959"/>
      <c r="O205" s="417"/>
      <c r="P205" s="453"/>
    </row>
    <row r="206" spans="1:16" ht="25.5" customHeight="1" x14ac:dyDescent="0.2">
      <c r="A206" s="17"/>
      <c r="B206" s="417"/>
      <c r="C206" s="417"/>
      <c r="D206" s="417"/>
      <c r="E206" s="592"/>
      <c r="F206" s="593"/>
      <c r="G206" s="960"/>
      <c r="H206" s="961"/>
      <c r="I206" s="961"/>
      <c r="J206" s="961"/>
      <c r="K206" s="961"/>
      <c r="L206" s="961"/>
      <c r="M206" s="961"/>
      <c r="N206" s="962"/>
      <c r="O206" s="417"/>
      <c r="P206" s="453"/>
    </row>
    <row r="207" spans="1:16" ht="25.5" customHeight="1" x14ac:dyDescent="0.2">
      <c r="A207" s="17"/>
      <c r="B207" s="417"/>
      <c r="C207" s="417"/>
      <c r="D207" s="417"/>
      <c r="E207" s="950" t="str">
        <f>Translations!$B$414</f>
        <v>Post or department responsible for the procedure and for any data generated</v>
      </c>
      <c r="F207" s="951"/>
      <c r="G207" s="902"/>
      <c r="H207" s="903"/>
      <c r="I207" s="903"/>
      <c r="J207" s="903"/>
      <c r="K207" s="903"/>
      <c r="L207" s="903"/>
      <c r="M207" s="903"/>
      <c r="N207" s="904"/>
      <c r="O207" s="417"/>
      <c r="P207" s="453"/>
    </row>
    <row r="208" spans="1:16" ht="12.75" customHeight="1" x14ac:dyDescent="0.2">
      <c r="A208" s="17"/>
      <c r="B208" s="417"/>
      <c r="C208" s="417"/>
      <c r="D208" s="417"/>
      <c r="E208" s="950" t="str">
        <f>Translations!$B$416</f>
        <v>Location where records are kept</v>
      </c>
      <c r="F208" s="951"/>
      <c r="G208" s="902"/>
      <c r="H208" s="851"/>
      <c r="I208" s="851"/>
      <c r="J208" s="851"/>
      <c r="K208" s="851"/>
      <c r="L208" s="851"/>
      <c r="M208" s="851"/>
      <c r="N208" s="852"/>
      <c r="O208" s="417"/>
      <c r="P208" s="453"/>
    </row>
    <row r="209" spans="1:16" ht="25.5" customHeight="1" x14ac:dyDescent="0.2">
      <c r="A209" s="17"/>
      <c r="B209" s="417"/>
      <c r="C209" s="417"/>
      <c r="D209" s="417"/>
      <c r="E209" s="950" t="str">
        <f>Translations!$B$418</f>
        <v>Name of IT system used (where applicable).</v>
      </c>
      <c r="F209" s="951"/>
      <c r="G209" s="902"/>
      <c r="H209" s="851"/>
      <c r="I209" s="851"/>
      <c r="J209" s="851"/>
      <c r="K209" s="851"/>
      <c r="L209" s="851"/>
      <c r="M209" s="851"/>
      <c r="N209" s="852"/>
      <c r="O209" s="417"/>
      <c r="P209" s="453"/>
    </row>
    <row r="210" spans="1:16" ht="25.5" customHeight="1" x14ac:dyDescent="0.2">
      <c r="A210" s="17"/>
      <c r="B210" s="417"/>
      <c r="C210" s="417"/>
      <c r="D210" s="417"/>
      <c r="E210" s="950" t="str">
        <f>Translations!$B$420</f>
        <v>List of EN or other standards applied (where relevant)</v>
      </c>
      <c r="F210" s="951"/>
      <c r="G210" s="902"/>
      <c r="H210" s="851"/>
      <c r="I210" s="851"/>
      <c r="J210" s="851"/>
      <c r="K210" s="851"/>
      <c r="L210" s="851"/>
      <c r="M210" s="851"/>
      <c r="N210" s="852"/>
      <c r="O210" s="417"/>
      <c r="P210" s="453"/>
    </row>
    <row r="212" spans="1:16" ht="38.25" customHeight="1" x14ac:dyDescent="0.2">
      <c r="A212" s="453"/>
      <c r="B212" s="417"/>
      <c r="C212" s="417"/>
      <c r="D212" s="14" t="s">
        <v>1020</v>
      </c>
      <c r="E212" s="949" t="str">
        <f>Translations!$B$720</f>
        <v>Please provide here a description of the methodology and procedure used to determine any fugitive or vented emissions, including from sites where enhanced hydrocarbon recovery is carried out. If measurement based methods in Accordance with Articles 41 to 46 are not applied, a justification regarding unreasonable costs must be enclosed.</v>
      </c>
      <c r="F212" s="1004"/>
      <c r="G212" s="1004"/>
      <c r="H212" s="1004"/>
      <c r="I212" s="1004"/>
      <c r="J212" s="1004"/>
      <c r="K212" s="1004"/>
      <c r="L212" s="1004"/>
      <c r="M212" s="1004"/>
      <c r="N212" s="1004"/>
      <c r="O212" s="465"/>
    </row>
    <row r="213" spans="1:16" ht="5.0999999999999996" customHeight="1" x14ac:dyDescent="0.2">
      <c r="A213" s="250"/>
      <c r="B213" s="13"/>
      <c r="C213" s="13"/>
      <c r="D213" s="439"/>
      <c r="E213" s="411"/>
      <c r="F213" s="7"/>
      <c r="G213" s="411"/>
      <c r="H213" s="411"/>
      <c r="I213" s="411"/>
      <c r="J213" s="411"/>
      <c r="K213" s="411"/>
      <c r="L213" s="411"/>
      <c r="M213" s="411"/>
      <c r="N213" s="411"/>
      <c r="O213" s="417"/>
    </row>
    <row r="214" spans="1:16" ht="12.75" customHeight="1" x14ac:dyDescent="0.2">
      <c r="A214" s="17"/>
      <c r="B214" s="417"/>
      <c r="C214" s="417"/>
      <c r="D214" s="417"/>
      <c r="E214" s="950" t="str">
        <f>Translations!$B$405</f>
        <v>Title of procedure</v>
      </c>
      <c r="F214" s="951"/>
      <c r="G214" s="902"/>
      <c r="H214" s="851"/>
      <c r="I214" s="851"/>
      <c r="J214" s="851"/>
      <c r="K214" s="851"/>
      <c r="L214" s="851"/>
      <c r="M214" s="851"/>
      <c r="N214" s="852"/>
      <c r="O214" s="417"/>
      <c r="P214" s="453"/>
    </row>
    <row r="215" spans="1:16" ht="12.75" customHeight="1" x14ac:dyDescent="0.2">
      <c r="A215" s="17"/>
      <c r="B215" s="417"/>
      <c r="C215" s="417"/>
      <c r="D215" s="417"/>
      <c r="E215" s="950" t="str">
        <f>Translations!$B$407</f>
        <v>Reference for procedure</v>
      </c>
      <c r="F215" s="951"/>
      <c r="G215" s="902"/>
      <c r="H215" s="851"/>
      <c r="I215" s="851"/>
      <c r="J215" s="851"/>
      <c r="K215" s="851"/>
      <c r="L215" s="851"/>
      <c r="M215" s="851"/>
      <c r="N215" s="852"/>
      <c r="O215" s="417"/>
      <c r="P215" s="453"/>
    </row>
    <row r="216" spans="1:16" ht="25.5" customHeight="1" x14ac:dyDescent="0.2">
      <c r="A216" s="17"/>
      <c r="B216" s="417"/>
      <c r="C216" s="417"/>
      <c r="D216" s="417"/>
      <c r="E216" s="950" t="str">
        <f>Translations!$B$409</f>
        <v>Diagram reference (where applicable)</v>
      </c>
      <c r="F216" s="951"/>
      <c r="G216" s="902"/>
      <c r="H216" s="851"/>
      <c r="I216" s="851"/>
      <c r="J216" s="851"/>
      <c r="K216" s="851"/>
      <c r="L216" s="851"/>
      <c r="M216" s="851"/>
      <c r="N216" s="852"/>
      <c r="O216" s="417"/>
      <c r="P216" s="453"/>
    </row>
    <row r="217" spans="1:16" ht="25.5" customHeight="1" x14ac:dyDescent="0.2">
      <c r="A217" s="17"/>
      <c r="B217" s="417"/>
      <c r="C217" s="417"/>
      <c r="D217" s="417"/>
      <c r="E217" s="952" t="str">
        <f>Translations!$B$411</f>
        <v xml:space="preserve">Brief description of procedure    </v>
      </c>
      <c r="F217" s="953"/>
      <c r="G217" s="954"/>
      <c r="H217" s="955"/>
      <c r="I217" s="955"/>
      <c r="J217" s="955"/>
      <c r="K217" s="955"/>
      <c r="L217" s="955"/>
      <c r="M217" s="955"/>
      <c r="N217" s="956"/>
      <c r="O217" s="417"/>
      <c r="P217" s="453"/>
    </row>
    <row r="218" spans="1:16" ht="25.5" customHeight="1" x14ac:dyDescent="0.2">
      <c r="A218" s="17"/>
      <c r="B218" s="417"/>
      <c r="C218" s="417"/>
      <c r="D218" s="417"/>
      <c r="E218" s="590"/>
      <c r="F218" s="591"/>
      <c r="G218" s="957"/>
      <c r="H218" s="958"/>
      <c r="I218" s="958"/>
      <c r="J218" s="958"/>
      <c r="K218" s="958"/>
      <c r="L218" s="958"/>
      <c r="M218" s="958"/>
      <c r="N218" s="959"/>
      <c r="O218" s="417"/>
      <c r="P218" s="453"/>
    </row>
    <row r="219" spans="1:16" ht="25.5" customHeight="1" x14ac:dyDescent="0.2">
      <c r="A219" s="17"/>
      <c r="B219" s="417"/>
      <c r="C219" s="417"/>
      <c r="D219" s="417"/>
      <c r="E219" s="592"/>
      <c r="F219" s="593"/>
      <c r="G219" s="960"/>
      <c r="H219" s="961"/>
      <c r="I219" s="961"/>
      <c r="J219" s="961"/>
      <c r="K219" s="961"/>
      <c r="L219" s="961"/>
      <c r="M219" s="961"/>
      <c r="N219" s="962"/>
      <c r="O219" s="417"/>
      <c r="P219" s="453"/>
    </row>
    <row r="220" spans="1:16" ht="25.5" customHeight="1" x14ac:dyDescent="0.2">
      <c r="A220" s="17"/>
      <c r="B220" s="417"/>
      <c r="C220" s="417"/>
      <c r="D220" s="417"/>
      <c r="E220" s="950" t="str">
        <f>Translations!$B$414</f>
        <v>Post or department responsible for the procedure and for any data generated</v>
      </c>
      <c r="F220" s="951"/>
      <c r="G220" s="902"/>
      <c r="H220" s="903"/>
      <c r="I220" s="903"/>
      <c r="J220" s="903"/>
      <c r="K220" s="903"/>
      <c r="L220" s="903"/>
      <c r="M220" s="903"/>
      <c r="N220" s="904"/>
      <c r="O220" s="417"/>
      <c r="P220" s="453"/>
    </row>
    <row r="221" spans="1:16" ht="12.75" customHeight="1" x14ac:dyDescent="0.2">
      <c r="A221" s="17"/>
      <c r="B221" s="417"/>
      <c r="C221" s="417"/>
      <c r="D221" s="417"/>
      <c r="E221" s="950" t="str">
        <f>Translations!$B$416</f>
        <v>Location where records are kept</v>
      </c>
      <c r="F221" s="951"/>
      <c r="G221" s="902"/>
      <c r="H221" s="851"/>
      <c r="I221" s="851"/>
      <c r="J221" s="851"/>
      <c r="K221" s="851"/>
      <c r="L221" s="851"/>
      <c r="M221" s="851"/>
      <c r="N221" s="852"/>
      <c r="O221" s="417"/>
      <c r="P221" s="453"/>
    </row>
    <row r="222" spans="1:16" ht="25.5" customHeight="1" x14ac:dyDescent="0.2">
      <c r="A222" s="17"/>
      <c r="B222" s="417"/>
      <c r="C222" s="417"/>
      <c r="D222" s="417"/>
      <c r="E222" s="950" t="str">
        <f>Translations!$B$418</f>
        <v>Name of IT system used (where applicable).</v>
      </c>
      <c r="F222" s="951"/>
      <c r="G222" s="902"/>
      <c r="H222" s="851"/>
      <c r="I222" s="851"/>
      <c r="J222" s="851"/>
      <c r="K222" s="851"/>
      <c r="L222" s="851"/>
      <c r="M222" s="851"/>
      <c r="N222" s="852"/>
      <c r="O222" s="417"/>
      <c r="P222" s="453"/>
    </row>
    <row r="223" spans="1:16" ht="25.5" customHeight="1" x14ac:dyDescent="0.2">
      <c r="A223" s="17"/>
      <c r="B223" s="417"/>
      <c r="C223" s="417"/>
      <c r="D223" s="417"/>
      <c r="E223" s="950" t="str">
        <f>Translations!$B$420</f>
        <v>List of EN or other standards applied (where relevant)</v>
      </c>
      <c r="F223" s="951"/>
      <c r="G223" s="902"/>
      <c r="H223" s="851"/>
      <c r="I223" s="851"/>
      <c r="J223" s="851"/>
      <c r="K223" s="851"/>
      <c r="L223" s="851"/>
      <c r="M223" s="851"/>
      <c r="N223" s="852"/>
      <c r="O223" s="417"/>
      <c r="P223" s="453"/>
    </row>
    <row r="225" spans="1:17" ht="25.5" customHeight="1" x14ac:dyDescent="0.2">
      <c r="A225" s="453"/>
      <c r="B225" s="417"/>
      <c r="C225" s="417"/>
      <c r="D225" s="14" t="s">
        <v>554</v>
      </c>
      <c r="E225" s="949" t="str">
        <f>Translations!$B$721</f>
        <v>Provide here a description of the procedure used to determine the uncertainty of emissions from leakages, if applicable, for the purpose of correcting the emissions figure in accordance with subsection B.3 of section 23 of Annex IV of the MRR.</v>
      </c>
      <c r="F225" s="1004"/>
      <c r="G225" s="1004"/>
      <c r="H225" s="1004"/>
      <c r="I225" s="1004"/>
      <c r="J225" s="1004"/>
      <c r="K225" s="1004"/>
      <c r="L225" s="1004"/>
      <c r="M225" s="1004"/>
      <c r="N225" s="1004"/>
      <c r="O225" s="465"/>
    </row>
    <row r="226" spans="1:17" ht="5.0999999999999996" customHeight="1" x14ac:dyDescent="0.2">
      <c r="A226" s="250"/>
      <c r="B226" s="13"/>
      <c r="C226" s="13"/>
      <c r="D226" s="439"/>
      <c r="E226" s="411"/>
      <c r="F226" s="7"/>
      <c r="G226" s="411"/>
      <c r="H226" s="411"/>
      <c r="I226" s="411"/>
      <c r="J226" s="411"/>
      <c r="K226" s="411"/>
      <c r="L226" s="411"/>
      <c r="M226" s="411"/>
      <c r="N226" s="411"/>
      <c r="O226" s="417"/>
    </row>
    <row r="227" spans="1:17" ht="12.75" customHeight="1" x14ac:dyDescent="0.2">
      <c r="A227" s="17"/>
      <c r="B227" s="417"/>
      <c r="C227" s="417"/>
      <c r="D227" s="417"/>
      <c r="E227" s="950" t="str">
        <f>Translations!$B$405</f>
        <v>Title of procedure</v>
      </c>
      <c r="F227" s="951"/>
      <c r="G227" s="902"/>
      <c r="H227" s="851"/>
      <c r="I227" s="851"/>
      <c r="J227" s="851"/>
      <c r="K227" s="851"/>
      <c r="L227" s="851"/>
      <c r="M227" s="851"/>
      <c r="N227" s="852"/>
      <c r="O227" s="417"/>
      <c r="P227" s="453"/>
    </row>
    <row r="228" spans="1:17" ht="12.75" customHeight="1" x14ac:dyDescent="0.2">
      <c r="A228" s="17"/>
      <c r="B228" s="417"/>
      <c r="C228" s="417"/>
      <c r="D228" s="417"/>
      <c r="E228" s="950" t="str">
        <f>Translations!$B$407</f>
        <v>Reference for procedure</v>
      </c>
      <c r="F228" s="951"/>
      <c r="G228" s="902"/>
      <c r="H228" s="851"/>
      <c r="I228" s="851"/>
      <c r="J228" s="851"/>
      <c r="K228" s="851"/>
      <c r="L228" s="851"/>
      <c r="M228" s="851"/>
      <c r="N228" s="852"/>
      <c r="O228" s="417"/>
      <c r="P228" s="453"/>
    </row>
    <row r="229" spans="1:17" ht="25.5" customHeight="1" x14ac:dyDescent="0.2">
      <c r="A229" s="17"/>
      <c r="B229" s="417"/>
      <c r="C229" s="417"/>
      <c r="D229" s="417"/>
      <c r="E229" s="950" t="str">
        <f>Translations!$B$409</f>
        <v>Diagram reference (where applicable)</v>
      </c>
      <c r="F229" s="951"/>
      <c r="G229" s="902"/>
      <c r="H229" s="851"/>
      <c r="I229" s="851"/>
      <c r="J229" s="851"/>
      <c r="K229" s="851"/>
      <c r="L229" s="851"/>
      <c r="M229" s="851"/>
      <c r="N229" s="852"/>
      <c r="O229" s="417"/>
      <c r="P229" s="453"/>
    </row>
    <row r="230" spans="1:17" ht="25.5" customHeight="1" x14ac:dyDescent="0.2">
      <c r="A230" s="17"/>
      <c r="B230" s="417"/>
      <c r="C230" s="417"/>
      <c r="D230" s="417"/>
      <c r="E230" s="952" t="str">
        <f>Translations!$B$411</f>
        <v xml:space="preserve">Brief description of procedure    </v>
      </c>
      <c r="F230" s="953"/>
      <c r="G230" s="954"/>
      <c r="H230" s="955"/>
      <c r="I230" s="955"/>
      <c r="J230" s="955"/>
      <c r="K230" s="955"/>
      <c r="L230" s="955"/>
      <c r="M230" s="955"/>
      <c r="N230" s="956"/>
      <c r="O230" s="417"/>
      <c r="P230" s="453"/>
    </row>
    <row r="231" spans="1:17" ht="25.5" customHeight="1" x14ac:dyDescent="0.2">
      <c r="A231" s="17"/>
      <c r="B231" s="417"/>
      <c r="C231" s="417"/>
      <c r="D231" s="417"/>
      <c r="E231" s="590"/>
      <c r="F231" s="591"/>
      <c r="G231" s="957"/>
      <c r="H231" s="958"/>
      <c r="I231" s="958"/>
      <c r="J231" s="958"/>
      <c r="K231" s="958"/>
      <c r="L231" s="958"/>
      <c r="M231" s="958"/>
      <c r="N231" s="959"/>
      <c r="O231" s="417"/>
      <c r="P231" s="453"/>
    </row>
    <row r="232" spans="1:17" ht="25.5" customHeight="1" x14ac:dyDescent="0.2">
      <c r="A232" s="17"/>
      <c r="B232" s="417"/>
      <c r="C232" s="417"/>
      <c r="D232" s="417"/>
      <c r="E232" s="592"/>
      <c r="F232" s="593"/>
      <c r="G232" s="960"/>
      <c r="H232" s="961"/>
      <c r="I232" s="961"/>
      <c r="J232" s="961"/>
      <c r="K232" s="961"/>
      <c r="L232" s="961"/>
      <c r="M232" s="961"/>
      <c r="N232" s="962"/>
      <c r="O232" s="417"/>
      <c r="P232" s="453"/>
    </row>
    <row r="233" spans="1:17" ht="25.5" customHeight="1" x14ac:dyDescent="0.2">
      <c r="A233" s="17"/>
      <c r="B233" s="417"/>
      <c r="C233" s="417"/>
      <c r="D233" s="417"/>
      <c r="E233" s="950" t="str">
        <f>Translations!$B$414</f>
        <v>Post or department responsible for the procedure and for any data generated</v>
      </c>
      <c r="F233" s="951"/>
      <c r="G233" s="902"/>
      <c r="H233" s="903"/>
      <c r="I233" s="903"/>
      <c r="J233" s="903"/>
      <c r="K233" s="903"/>
      <c r="L233" s="903"/>
      <c r="M233" s="903"/>
      <c r="N233" s="904"/>
      <c r="O233" s="417"/>
      <c r="P233" s="453"/>
    </row>
    <row r="234" spans="1:17" ht="12.75" customHeight="1" x14ac:dyDescent="0.2">
      <c r="A234" s="17"/>
      <c r="B234" s="417"/>
      <c r="C234" s="417"/>
      <c r="D234" s="417"/>
      <c r="E234" s="950" t="str">
        <f>Translations!$B$416</f>
        <v>Location where records are kept</v>
      </c>
      <c r="F234" s="951"/>
      <c r="G234" s="902"/>
      <c r="H234" s="851"/>
      <c r="I234" s="851"/>
      <c r="J234" s="851"/>
      <c r="K234" s="851"/>
      <c r="L234" s="851"/>
      <c r="M234" s="851"/>
      <c r="N234" s="852"/>
      <c r="O234" s="417"/>
      <c r="P234" s="453"/>
    </row>
    <row r="235" spans="1:17" ht="25.5" customHeight="1" x14ac:dyDescent="0.2">
      <c r="A235" s="17"/>
      <c r="B235" s="417"/>
      <c r="C235" s="417"/>
      <c r="D235" s="417"/>
      <c r="E235" s="950" t="str">
        <f>Translations!$B$418</f>
        <v>Name of IT system used (where applicable).</v>
      </c>
      <c r="F235" s="951"/>
      <c r="G235" s="902"/>
      <c r="H235" s="851"/>
      <c r="I235" s="851"/>
      <c r="J235" s="851"/>
      <c r="K235" s="851"/>
      <c r="L235" s="851"/>
      <c r="M235" s="851"/>
      <c r="N235" s="852"/>
      <c r="O235" s="417"/>
      <c r="P235" s="453"/>
    </row>
    <row r="236" spans="1:17" ht="25.5" customHeight="1" x14ac:dyDescent="0.2">
      <c r="A236" s="17"/>
      <c r="B236" s="417"/>
      <c r="C236" s="417"/>
      <c r="D236" s="417"/>
      <c r="E236" s="950" t="str">
        <f>Translations!$B$420</f>
        <v>List of EN or other standards applied (where relevant)</v>
      </c>
      <c r="F236" s="951"/>
      <c r="G236" s="902"/>
      <c r="H236" s="851"/>
      <c r="I236" s="851"/>
      <c r="J236" s="851"/>
      <c r="K236" s="851"/>
      <c r="L236" s="851"/>
      <c r="M236" s="851"/>
      <c r="N236" s="852"/>
      <c r="O236" s="417"/>
      <c r="P236" s="453"/>
    </row>
    <row r="237" spans="1:17" ht="12.75" hidden="1" customHeight="1" x14ac:dyDescent="0.2">
      <c r="A237" s="17" t="s">
        <v>1090</v>
      </c>
      <c r="B237" s="417"/>
      <c r="C237" s="417"/>
      <c r="D237" s="417"/>
      <c r="E237" s="417"/>
      <c r="F237" s="417"/>
      <c r="G237" s="417"/>
      <c r="H237" s="417"/>
      <c r="I237" s="417"/>
      <c r="J237" s="417"/>
      <c r="K237" s="417"/>
      <c r="L237" s="417"/>
      <c r="M237" s="417"/>
      <c r="N237" s="417"/>
      <c r="P237" s="453"/>
    </row>
    <row r="238" spans="1:17" s="316" customFormat="1" ht="12.75" hidden="1" customHeight="1" x14ac:dyDescent="0.2">
      <c r="A238" s="17" t="s">
        <v>1090</v>
      </c>
      <c r="B238" s="417"/>
      <c r="C238" s="417"/>
      <c r="D238" s="417"/>
      <c r="E238" s="717" t="str">
        <f>Translations!$B$1150</f>
        <v>Further procedure added by the operator</v>
      </c>
      <c r="F238" s="717"/>
      <c r="G238" s="717"/>
      <c r="H238" s="717"/>
      <c r="I238" s="717"/>
      <c r="J238" s="717"/>
      <c r="K238" s="717"/>
      <c r="L238" s="717"/>
      <c r="M238" s="717"/>
      <c r="N238" s="717"/>
      <c r="O238" s="417"/>
      <c r="P238" s="317"/>
      <c r="Q238" s="681"/>
    </row>
    <row r="239" spans="1:17" ht="12.75" hidden="1" customHeight="1" x14ac:dyDescent="0.2">
      <c r="A239" s="17" t="s">
        <v>1090</v>
      </c>
      <c r="B239" s="417"/>
      <c r="C239" s="417"/>
      <c r="D239" s="417"/>
      <c r="E239" s="417"/>
      <c r="F239" s="417"/>
      <c r="G239" s="417"/>
      <c r="H239" s="417"/>
      <c r="I239" s="417"/>
      <c r="J239" s="417"/>
      <c r="K239" s="417"/>
      <c r="L239" s="417"/>
      <c r="M239" s="417"/>
      <c r="N239" s="417"/>
      <c r="O239" s="417"/>
    </row>
    <row r="240" spans="1:17" ht="12.75" hidden="1" customHeight="1" x14ac:dyDescent="0.2">
      <c r="A240" s="17" t="s">
        <v>1090</v>
      </c>
      <c r="B240" s="417"/>
      <c r="C240" s="417"/>
      <c r="D240" s="417"/>
      <c r="E240" s="950" t="str">
        <f>Translations!$B$405</f>
        <v>Title of procedure</v>
      </c>
      <c r="F240" s="951"/>
      <c r="G240" s="902"/>
      <c r="H240" s="851"/>
      <c r="I240" s="851"/>
      <c r="J240" s="851"/>
      <c r="K240" s="851"/>
      <c r="L240" s="851"/>
      <c r="M240" s="851"/>
      <c r="N240" s="852"/>
      <c r="O240" s="417"/>
    </row>
    <row r="241" spans="1:23" ht="12.75" hidden="1" customHeight="1" x14ac:dyDescent="0.2">
      <c r="A241" s="17" t="s">
        <v>1090</v>
      </c>
      <c r="B241" s="417"/>
      <c r="C241" s="417"/>
      <c r="D241" s="417"/>
      <c r="E241" s="950" t="str">
        <f>Translations!$B$407</f>
        <v>Reference for procedure</v>
      </c>
      <c r="F241" s="951"/>
      <c r="G241" s="902"/>
      <c r="H241" s="851"/>
      <c r="I241" s="851"/>
      <c r="J241" s="851"/>
      <c r="K241" s="851"/>
      <c r="L241" s="851"/>
      <c r="M241" s="851"/>
      <c r="N241" s="852"/>
      <c r="O241" s="417"/>
    </row>
    <row r="242" spans="1:23" ht="12.75" hidden="1" customHeight="1" x14ac:dyDescent="0.2">
      <c r="A242" s="17" t="s">
        <v>1090</v>
      </c>
      <c r="B242" s="417"/>
      <c r="C242" s="417"/>
      <c r="D242" s="417"/>
      <c r="E242" s="950" t="str">
        <f>Translations!$B$409</f>
        <v>Diagram reference (where applicable)</v>
      </c>
      <c r="F242" s="951"/>
      <c r="G242" s="902"/>
      <c r="H242" s="851"/>
      <c r="I242" s="851"/>
      <c r="J242" s="851"/>
      <c r="K242" s="851"/>
      <c r="L242" s="851"/>
      <c r="M242" s="851"/>
      <c r="N242" s="852"/>
      <c r="O242" s="417"/>
    </row>
    <row r="243" spans="1:23" ht="25.5" hidden="1" customHeight="1" x14ac:dyDescent="0.2">
      <c r="A243" s="17" t="s">
        <v>1090</v>
      </c>
      <c r="B243" s="417"/>
      <c r="C243" s="417"/>
      <c r="D243" s="417"/>
      <c r="E243" s="952" t="str">
        <f>Translations!$B$411</f>
        <v xml:space="preserve">Brief description of procedure    </v>
      </c>
      <c r="F243" s="953"/>
      <c r="G243" s="954"/>
      <c r="H243" s="955"/>
      <c r="I243" s="955"/>
      <c r="J243" s="955"/>
      <c r="K243" s="955"/>
      <c r="L243" s="955"/>
      <c r="M243" s="955"/>
      <c r="N243" s="956"/>
      <c r="O243" s="417"/>
    </row>
    <row r="244" spans="1:23" ht="25.5" hidden="1" customHeight="1" x14ac:dyDescent="0.2">
      <c r="A244" s="17" t="s">
        <v>1090</v>
      </c>
      <c r="B244" s="417"/>
      <c r="C244" s="417"/>
      <c r="D244" s="417"/>
      <c r="E244" s="590"/>
      <c r="F244" s="591"/>
      <c r="G244" s="957"/>
      <c r="H244" s="958"/>
      <c r="I244" s="958"/>
      <c r="J244" s="958"/>
      <c r="K244" s="958"/>
      <c r="L244" s="958"/>
      <c r="M244" s="958"/>
      <c r="N244" s="959"/>
      <c r="O244" s="417"/>
    </row>
    <row r="245" spans="1:23" ht="25.5" hidden="1" customHeight="1" x14ac:dyDescent="0.2">
      <c r="A245" s="17" t="s">
        <v>1090</v>
      </c>
      <c r="B245" s="417"/>
      <c r="C245" s="417"/>
      <c r="D245" s="417"/>
      <c r="E245" s="592"/>
      <c r="F245" s="593"/>
      <c r="G245" s="960"/>
      <c r="H245" s="961"/>
      <c r="I245" s="961"/>
      <c r="J245" s="961"/>
      <c r="K245" s="961"/>
      <c r="L245" s="961"/>
      <c r="M245" s="961"/>
      <c r="N245" s="962"/>
      <c r="O245" s="417"/>
    </row>
    <row r="246" spans="1:23" ht="38.25" hidden="1" customHeight="1" x14ac:dyDescent="0.2">
      <c r="A246" s="17" t="s">
        <v>1090</v>
      </c>
      <c r="B246" s="417"/>
      <c r="C246" s="417"/>
      <c r="D246" s="417"/>
      <c r="E246" s="950" t="str">
        <f>Translations!$B$414</f>
        <v>Post or department responsible for the procedure and for any data generated</v>
      </c>
      <c r="F246" s="951"/>
      <c r="G246" s="902"/>
      <c r="H246" s="903"/>
      <c r="I246" s="903"/>
      <c r="J246" s="903"/>
      <c r="K246" s="903"/>
      <c r="L246" s="903"/>
      <c r="M246" s="903"/>
      <c r="N246" s="904"/>
      <c r="O246" s="417"/>
    </row>
    <row r="247" spans="1:23" ht="12.75" hidden="1" customHeight="1" x14ac:dyDescent="0.2">
      <c r="A247" s="17" t="s">
        <v>1090</v>
      </c>
      <c r="B247" s="417"/>
      <c r="C247" s="417"/>
      <c r="D247" s="417"/>
      <c r="E247" s="950" t="str">
        <f>Translations!$B$416</f>
        <v>Location where records are kept</v>
      </c>
      <c r="F247" s="951"/>
      <c r="G247" s="902"/>
      <c r="H247" s="851"/>
      <c r="I247" s="851"/>
      <c r="J247" s="851"/>
      <c r="K247" s="851"/>
      <c r="L247" s="851"/>
      <c r="M247" s="851"/>
      <c r="N247" s="852"/>
      <c r="O247" s="417"/>
    </row>
    <row r="248" spans="1:23" ht="25.5" hidden="1" customHeight="1" x14ac:dyDescent="0.2">
      <c r="A248" s="17" t="s">
        <v>1090</v>
      </c>
      <c r="B248" s="417"/>
      <c r="C248" s="417"/>
      <c r="D248" s="417"/>
      <c r="E248" s="950" t="str">
        <f>Translations!$B$418</f>
        <v>Name of IT system used (where applicable).</v>
      </c>
      <c r="F248" s="951"/>
      <c r="G248" s="902"/>
      <c r="H248" s="851"/>
      <c r="I248" s="851"/>
      <c r="J248" s="851"/>
      <c r="K248" s="851"/>
      <c r="L248" s="851"/>
      <c r="M248" s="851"/>
      <c r="N248" s="852"/>
      <c r="O248" s="417"/>
    </row>
    <row r="249" spans="1:23" ht="25.5" hidden="1" customHeight="1" x14ac:dyDescent="0.2">
      <c r="A249" s="17" t="s">
        <v>1090</v>
      </c>
      <c r="B249" s="417"/>
      <c r="C249" s="417"/>
      <c r="D249" s="417"/>
      <c r="E249" s="950" t="str">
        <f>Translations!$B$420</f>
        <v>List of EN or other standards applied (where relevant)</v>
      </c>
      <c r="F249" s="951"/>
      <c r="G249" s="902"/>
      <c r="H249" s="851"/>
      <c r="I249" s="851"/>
      <c r="J249" s="851"/>
      <c r="K249" s="851"/>
      <c r="L249" s="851"/>
      <c r="M249" s="851"/>
      <c r="N249" s="852"/>
      <c r="O249" s="417"/>
    </row>
    <row r="250" spans="1:23" ht="12.75" customHeight="1" x14ac:dyDescent="0.2">
      <c r="A250" s="72" t="s">
        <v>5</v>
      </c>
      <c r="B250" s="417"/>
      <c r="C250" s="417"/>
      <c r="D250" s="417"/>
      <c r="E250" s="417"/>
      <c r="F250" s="417"/>
      <c r="G250" s="417"/>
      <c r="H250" s="417"/>
      <c r="I250" s="417"/>
      <c r="J250" s="417"/>
      <c r="K250" s="417"/>
      <c r="L250" s="417"/>
      <c r="M250" s="417"/>
      <c r="N250" s="417"/>
      <c r="O250" s="417"/>
    </row>
    <row r="251" spans="1:23" ht="5.0999999999999996" customHeight="1" x14ac:dyDescent="0.2">
      <c r="A251" s="17"/>
      <c r="B251" s="417"/>
      <c r="C251" s="430"/>
      <c r="D251" s="14"/>
      <c r="E251" s="417"/>
      <c r="F251" s="417"/>
      <c r="G251" s="1025" t="str">
        <f>Translations!$B$429</f>
        <v>Click "+" to add more procedures</v>
      </c>
      <c r="H251" s="1026"/>
      <c r="I251" s="1026"/>
      <c r="J251" s="1026"/>
      <c r="K251" s="1027"/>
      <c r="L251" s="417"/>
      <c r="M251" s="322"/>
      <c r="N251" s="417"/>
      <c r="O251" s="337"/>
    </row>
    <row r="252" spans="1:23" ht="12.75" customHeight="1" x14ac:dyDescent="0.2">
      <c r="A252" s="17"/>
      <c r="B252" s="417"/>
      <c r="C252" s="430"/>
      <c r="D252" s="14"/>
      <c r="E252" s="417"/>
      <c r="F252" s="417"/>
      <c r="G252" s="1028"/>
      <c r="H252" s="1029"/>
      <c r="I252" s="1029"/>
      <c r="J252" s="1029"/>
      <c r="K252" s="854"/>
      <c r="L252" s="417"/>
      <c r="M252" s="322"/>
      <c r="N252" s="417"/>
      <c r="O252" s="337"/>
    </row>
    <row r="253" spans="1:23" ht="5.0999999999999996" customHeight="1" x14ac:dyDescent="0.2">
      <c r="A253" s="17"/>
      <c r="B253" s="417"/>
      <c r="C253" s="430"/>
      <c r="D253" s="14"/>
      <c r="E253" s="417"/>
      <c r="F253" s="417"/>
      <c r="G253" s="1030"/>
      <c r="H253" s="1031"/>
      <c r="I253" s="1031"/>
      <c r="J253" s="1031"/>
      <c r="K253" s="1032"/>
      <c r="L253" s="417"/>
      <c r="M253" s="322"/>
      <c r="N253" s="417"/>
      <c r="O253" s="337"/>
    </row>
    <row r="254" spans="1:23" x14ac:dyDescent="0.2">
      <c r="A254" s="72"/>
      <c r="B254" s="417"/>
      <c r="C254" s="417"/>
      <c r="D254" s="417"/>
      <c r="E254" s="417"/>
      <c r="F254" s="417"/>
      <c r="G254" s="417"/>
      <c r="H254" s="417"/>
      <c r="I254" s="417"/>
      <c r="J254" s="417"/>
      <c r="K254" s="417"/>
      <c r="L254" s="417"/>
      <c r="M254" s="417"/>
      <c r="N254" s="417"/>
      <c r="O254" s="417"/>
    </row>
    <row r="255" spans="1:23" s="11" customFormat="1" ht="15" customHeight="1" x14ac:dyDescent="0.2">
      <c r="A255" s="6"/>
      <c r="E255" s="218"/>
      <c r="F255" s="770" t="str">
        <f>EUconst_MsgNextSheet</f>
        <v xml:space="preserve">&lt;&lt;&lt; Click here to proceed to next sheet &gt;&gt;&gt; </v>
      </c>
      <c r="G255" s="770"/>
      <c r="H255" s="770"/>
      <c r="I255" s="770"/>
      <c r="J255" s="770"/>
      <c r="K255" s="770"/>
      <c r="L255" s="770"/>
      <c r="M255" s="218"/>
      <c r="N255" s="218"/>
      <c r="P255" s="6"/>
      <c r="Q255" s="679"/>
      <c r="R255" s="8"/>
      <c r="S255" s="8"/>
      <c r="T255" s="8"/>
      <c r="U255" s="8"/>
      <c r="V255" s="8"/>
      <c r="W255" s="8"/>
    </row>
  </sheetData>
  <sheetProtection sheet="1" objects="1" scenarios="1" formatCells="0" formatColumns="0" formatRows="0"/>
  <mergeCells count="350">
    <mergeCell ref="G251:K253"/>
    <mergeCell ref="E247:F247"/>
    <mergeCell ref="G247:N247"/>
    <mergeCell ref="E248:F248"/>
    <mergeCell ref="G248:N248"/>
    <mergeCell ref="G242:N242"/>
    <mergeCell ref="E234:F234"/>
    <mergeCell ref="E236:F236"/>
    <mergeCell ref="G236:N236"/>
    <mergeCell ref="G234:N234"/>
    <mergeCell ref="G235:N235"/>
    <mergeCell ref="G232:N232"/>
    <mergeCell ref="E249:F249"/>
    <mergeCell ref="E235:F235"/>
    <mergeCell ref="E246:F246"/>
    <mergeCell ref="G246:N246"/>
    <mergeCell ref="E238:N238"/>
    <mergeCell ref="E240:F240"/>
    <mergeCell ref="G240:N240"/>
    <mergeCell ref="G241:N241"/>
    <mergeCell ref="E241:F241"/>
    <mergeCell ref="E242:F242"/>
    <mergeCell ref="G249:N249"/>
    <mergeCell ref="G244:N244"/>
    <mergeCell ref="E243:F243"/>
    <mergeCell ref="G243:N243"/>
    <mergeCell ref="G245:N245"/>
    <mergeCell ref="G220:N220"/>
    <mergeCell ref="G222:N222"/>
    <mergeCell ref="E222:F222"/>
    <mergeCell ref="E223:F223"/>
    <mergeCell ref="G229:N229"/>
    <mergeCell ref="E230:F230"/>
    <mergeCell ref="G230:N230"/>
    <mergeCell ref="E229:F229"/>
    <mergeCell ref="E233:F233"/>
    <mergeCell ref="G233:N233"/>
    <mergeCell ref="G231:N231"/>
    <mergeCell ref="E228:F228"/>
    <mergeCell ref="G228:N228"/>
    <mergeCell ref="E225:N225"/>
    <mergeCell ref="E217:F217"/>
    <mergeCell ref="E227:F227"/>
    <mergeCell ref="D195:N195"/>
    <mergeCell ref="D196:N196"/>
    <mergeCell ref="D197:N197"/>
    <mergeCell ref="E202:F202"/>
    <mergeCell ref="G214:N214"/>
    <mergeCell ref="G208:N208"/>
    <mergeCell ref="E209:F209"/>
    <mergeCell ref="E208:F208"/>
    <mergeCell ref="G227:N227"/>
    <mergeCell ref="E215:F215"/>
    <mergeCell ref="G215:N215"/>
    <mergeCell ref="E212:N212"/>
    <mergeCell ref="E214:F214"/>
    <mergeCell ref="G218:N218"/>
    <mergeCell ref="G219:N219"/>
    <mergeCell ref="E216:F216"/>
    <mergeCell ref="G217:N217"/>
    <mergeCell ref="G216:N216"/>
    <mergeCell ref="E220:F220"/>
    <mergeCell ref="G223:N223"/>
    <mergeCell ref="E221:F221"/>
    <mergeCell ref="G221:N221"/>
    <mergeCell ref="E28:N28"/>
    <mergeCell ref="E32:N32"/>
    <mergeCell ref="E29:N29"/>
    <mergeCell ref="M57:N57"/>
    <mergeCell ref="F57:G57"/>
    <mergeCell ref="H57:I57"/>
    <mergeCell ref="F48:N48"/>
    <mergeCell ref="F49:N49"/>
    <mergeCell ref="K56:L56"/>
    <mergeCell ref="E30:N30"/>
    <mergeCell ref="E31:N31"/>
    <mergeCell ref="M94:N94"/>
    <mergeCell ref="M54:N54"/>
    <mergeCell ref="E68:F68"/>
    <mergeCell ref="K57:L57"/>
    <mergeCell ref="D82:N82"/>
    <mergeCell ref="F55:G55"/>
    <mergeCell ref="H55:I55"/>
    <mergeCell ref="K55:L55"/>
    <mergeCell ref="E75:F75"/>
    <mergeCell ref="M58:N58"/>
    <mergeCell ref="F45:N45"/>
    <mergeCell ref="K53:L53"/>
    <mergeCell ref="K54:L54"/>
    <mergeCell ref="E35:N35"/>
    <mergeCell ref="F53:G53"/>
    <mergeCell ref="H61:L63"/>
    <mergeCell ref="E66:N66"/>
    <mergeCell ref="F58:G58"/>
    <mergeCell ref="H58:I58"/>
    <mergeCell ref="M59:N59"/>
    <mergeCell ref="K59:L59"/>
    <mergeCell ref="F59:G59"/>
    <mergeCell ref="D10:N10"/>
    <mergeCell ref="D12:N12"/>
    <mergeCell ref="D13:N13"/>
    <mergeCell ref="D14:N14"/>
    <mergeCell ref="E26:N26"/>
    <mergeCell ref="E16:N16"/>
    <mergeCell ref="E17:N17"/>
    <mergeCell ref="E18:N18"/>
    <mergeCell ref="E19:N19"/>
    <mergeCell ref="E22:N22"/>
    <mergeCell ref="E24:N24"/>
    <mergeCell ref="E23:N23"/>
    <mergeCell ref="E27:N27"/>
    <mergeCell ref="E20:N20"/>
    <mergeCell ref="M99:N99"/>
    <mergeCell ref="F98:G98"/>
    <mergeCell ref="E37:N37"/>
    <mergeCell ref="E41:N41"/>
    <mergeCell ref="E43:N43"/>
    <mergeCell ref="F46:N46"/>
    <mergeCell ref="M53:N53"/>
    <mergeCell ref="E40:N40"/>
    <mergeCell ref="E25:N25"/>
    <mergeCell ref="M95:N95"/>
    <mergeCell ref="G75:N75"/>
    <mergeCell ref="F54:G54"/>
    <mergeCell ref="F56:G56"/>
    <mergeCell ref="M56:N56"/>
    <mergeCell ref="M55:N55"/>
    <mergeCell ref="H54:I54"/>
    <mergeCell ref="E69:F69"/>
    <mergeCell ref="E88:J88"/>
    <mergeCell ref="H56:I56"/>
    <mergeCell ref="H53:I53"/>
    <mergeCell ref="E33:N33"/>
    <mergeCell ref="E34:N34"/>
    <mergeCell ref="E38:N38"/>
    <mergeCell ref="F47:N47"/>
    <mergeCell ref="E36:N36"/>
    <mergeCell ref="E89:N89"/>
    <mergeCell ref="E91:N91"/>
    <mergeCell ref="H95:L95"/>
    <mergeCell ref="E76:F76"/>
    <mergeCell ref="K58:L58"/>
    <mergeCell ref="G74:N74"/>
    <mergeCell ref="E44:N44"/>
    <mergeCell ref="E51:N51"/>
    <mergeCell ref="H59:I59"/>
    <mergeCell ref="G70:N70"/>
    <mergeCell ref="E71:F71"/>
    <mergeCell ref="G68:N68"/>
    <mergeCell ref="K88:N88"/>
    <mergeCell ref="G71:N71"/>
    <mergeCell ref="E74:F74"/>
    <mergeCell ref="G76:N76"/>
    <mergeCell ref="E86:N86"/>
    <mergeCell ref="G72:N72"/>
    <mergeCell ref="G69:N69"/>
    <mergeCell ref="M84:N84"/>
    <mergeCell ref="E77:F77"/>
    <mergeCell ref="E50:N50"/>
    <mergeCell ref="E39:N39"/>
    <mergeCell ref="H97:L97"/>
    <mergeCell ref="H99:L99"/>
    <mergeCell ref="E70:F70"/>
    <mergeCell ref="H94:L94"/>
    <mergeCell ref="F99:G99"/>
    <mergeCell ref="M97:N97"/>
    <mergeCell ref="M96:N96"/>
    <mergeCell ref="E85:N85"/>
    <mergeCell ref="D80:N80"/>
    <mergeCell ref="F95:G95"/>
    <mergeCell ref="E92:N92"/>
    <mergeCell ref="F96:G96"/>
    <mergeCell ref="H96:L96"/>
    <mergeCell ref="G77:N77"/>
    <mergeCell ref="G122:N122"/>
    <mergeCell ref="E129:F129"/>
    <mergeCell ref="E124:F124"/>
    <mergeCell ref="E125:F125"/>
    <mergeCell ref="G125:N125"/>
    <mergeCell ref="F102:G102"/>
    <mergeCell ref="F101:G101"/>
    <mergeCell ref="H100:L100"/>
    <mergeCell ref="H101:L101"/>
    <mergeCell ref="F100:G100"/>
    <mergeCell ref="M100:N100"/>
    <mergeCell ref="F103:G103"/>
    <mergeCell ref="E117:F117"/>
    <mergeCell ref="H102:L102"/>
    <mergeCell ref="E114:N114"/>
    <mergeCell ref="E127:N127"/>
    <mergeCell ref="M101:N101"/>
    <mergeCell ref="G116:N116"/>
    <mergeCell ref="G117:N117"/>
    <mergeCell ref="H104:L104"/>
    <mergeCell ref="M105:N105"/>
    <mergeCell ref="E135:F135"/>
    <mergeCell ref="G133:N133"/>
    <mergeCell ref="G129:N129"/>
    <mergeCell ref="E132:F132"/>
    <mergeCell ref="G131:N131"/>
    <mergeCell ref="J111:N111"/>
    <mergeCell ref="H103:L103"/>
    <mergeCell ref="H105:L105"/>
    <mergeCell ref="F104:G104"/>
    <mergeCell ref="M104:N104"/>
    <mergeCell ref="E123:F123"/>
    <mergeCell ref="G123:N123"/>
    <mergeCell ref="F105:G105"/>
    <mergeCell ref="E119:F119"/>
    <mergeCell ref="G120:N120"/>
    <mergeCell ref="M103:N103"/>
    <mergeCell ref="E122:F122"/>
    <mergeCell ref="G135:N135"/>
    <mergeCell ref="G170:N170"/>
    <mergeCell ref="E171:F171"/>
    <mergeCell ref="G171:N171"/>
    <mergeCell ref="E161:F161"/>
    <mergeCell ref="G158:N158"/>
    <mergeCell ref="G168:N168"/>
    <mergeCell ref="E166:N166"/>
    <mergeCell ref="G164:N164"/>
    <mergeCell ref="E137:F137"/>
    <mergeCell ref="G137:N137"/>
    <mergeCell ref="E144:F144"/>
    <mergeCell ref="E157:F157"/>
    <mergeCell ref="E162:F162"/>
    <mergeCell ref="E164:F164"/>
    <mergeCell ref="G147:N147"/>
    <mergeCell ref="E148:F148"/>
    <mergeCell ref="E156:F156"/>
    <mergeCell ref="G169:N169"/>
    <mergeCell ref="E145:F145"/>
    <mergeCell ref="E210:F210"/>
    <mergeCell ref="E203:F203"/>
    <mergeCell ref="G207:N207"/>
    <mergeCell ref="G206:N206"/>
    <mergeCell ref="G210:N210"/>
    <mergeCell ref="G205:N205"/>
    <mergeCell ref="E204:F204"/>
    <mergeCell ref="G204:N204"/>
    <mergeCell ref="G209:N209"/>
    <mergeCell ref="E201:F201"/>
    <mergeCell ref="D193:N193"/>
    <mergeCell ref="G201:N201"/>
    <mergeCell ref="E199:N199"/>
    <mergeCell ref="G177:N177"/>
    <mergeCell ref="E175:F175"/>
    <mergeCell ref="E174:F174"/>
    <mergeCell ref="E176:F176"/>
    <mergeCell ref="G175:N175"/>
    <mergeCell ref="E207:F207"/>
    <mergeCell ref="G149:N149"/>
    <mergeCell ref="G155:N155"/>
    <mergeCell ref="G150:N150"/>
    <mergeCell ref="E153:N153"/>
    <mergeCell ref="E155:F155"/>
    <mergeCell ref="G203:N203"/>
    <mergeCell ref="E170:F170"/>
    <mergeCell ref="G161:N161"/>
    <mergeCell ref="G162:N162"/>
    <mergeCell ref="G202:N202"/>
    <mergeCell ref="G176:N176"/>
    <mergeCell ref="G172:N172"/>
    <mergeCell ref="G163:N163"/>
    <mergeCell ref="E169:F169"/>
    <mergeCell ref="E168:F168"/>
    <mergeCell ref="K3:L3"/>
    <mergeCell ref="I4:J4"/>
    <mergeCell ref="E131:F131"/>
    <mergeCell ref="G121:N121"/>
    <mergeCell ref="G118:N118"/>
    <mergeCell ref="G73:N73"/>
    <mergeCell ref="G119:N119"/>
    <mergeCell ref="K2:L2"/>
    <mergeCell ref="M2:N2"/>
    <mergeCell ref="M3:N3"/>
    <mergeCell ref="E2:F2"/>
    <mergeCell ref="G3:H3"/>
    <mergeCell ref="I3:J3"/>
    <mergeCell ref="G2:H2"/>
    <mergeCell ref="I2:J2"/>
    <mergeCell ref="C6:K6"/>
    <mergeCell ref="L6:N6"/>
    <mergeCell ref="E3:F3"/>
    <mergeCell ref="B2:D4"/>
    <mergeCell ref="E4:F4"/>
    <mergeCell ref="M102:N102"/>
    <mergeCell ref="G124:N124"/>
    <mergeCell ref="G130:N130"/>
    <mergeCell ref="E130:F130"/>
    <mergeCell ref="F255:L255"/>
    <mergeCell ref="K8:N8"/>
    <mergeCell ref="E111:I111"/>
    <mergeCell ref="E116:F116"/>
    <mergeCell ref="E118:F118"/>
    <mergeCell ref="E112:N112"/>
    <mergeCell ref="H107:L109"/>
    <mergeCell ref="M98:N98"/>
    <mergeCell ref="K4:L4"/>
    <mergeCell ref="M4:N4"/>
    <mergeCell ref="G4:H4"/>
    <mergeCell ref="G160:N160"/>
    <mergeCell ref="E138:F138"/>
    <mergeCell ref="G138:N138"/>
    <mergeCell ref="E151:F151"/>
    <mergeCell ref="G151:N151"/>
    <mergeCell ref="E150:F150"/>
    <mergeCell ref="G144:N144"/>
    <mergeCell ref="G159:N159"/>
    <mergeCell ref="G157:N157"/>
    <mergeCell ref="G145:N145"/>
    <mergeCell ref="G156:N156"/>
    <mergeCell ref="G146:N146"/>
    <mergeCell ref="G148:N148"/>
    <mergeCell ref="E179:N179"/>
    <mergeCell ref="E181:F181"/>
    <mergeCell ref="G181:N181"/>
    <mergeCell ref="E182:F182"/>
    <mergeCell ref="G182:N182"/>
    <mergeCell ref="E183:F183"/>
    <mergeCell ref="G183:N183"/>
    <mergeCell ref="H98:L98"/>
    <mergeCell ref="F97:G97"/>
    <mergeCell ref="E158:F158"/>
    <mergeCell ref="E140:N140"/>
    <mergeCell ref="E142:F142"/>
    <mergeCell ref="E143:F143"/>
    <mergeCell ref="G132:N132"/>
    <mergeCell ref="G134:N134"/>
    <mergeCell ref="E136:F136"/>
    <mergeCell ref="G136:N136"/>
    <mergeCell ref="G142:N142"/>
    <mergeCell ref="G143:N143"/>
    <mergeCell ref="G173:N173"/>
    <mergeCell ref="G174:N174"/>
    <mergeCell ref="E177:F177"/>
    <mergeCell ref="E163:F163"/>
    <mergeCell ref="E149:F149"/>
    <mergeCell ref="E188:F188"/>
    <mergeCell ref="G188:N188"/>
    <mergeCell ref="E189:F189"/>
    <mergeCell ref="G189:N189"/>
    <mergeCell ref="E190:F190"/>
    <mergeCell ref="G190:N190"/>
    <mergeCell ref="E184:F184"/>
    <mergeCell ref="G184:N184"/>
    <mergeCell ref="G185:N185"/>
    <mergeCell ref="G186:N186"/>
    <mergeCell ref="E187:F187"/>
    <mergeCell ref="G187:N187"/>
  </mergeCells>
  <phoneticPr fontId="39" type="noConversion"/>
  <conditionalFormatting sqref="E22:E41">
    <cfRule type="expression" dxfId="64" priority="7" stopIfTrue="1">
      <formula>$L$6=EUconst_NotRelevant</formula>
    </cfRule>
  </conditionalFormatting>
  <conditionalFormatting sqref="F95:N105">
    <cfRule type="expression" dxfId="63" priority="11" stopIfTrue="1">
      <formula>(EUconst_TransportApproaches=1)</formula>
    </cfRule>
  </conditionalFormatting>
  <conditionalFormatting sqref="J111:N111">
    <cfRule type="expression" dxfId="62" priority="12" stopIfTrue="1">
      <formula>(EUconst_TransportApproaches=1)</formula>
    </cfRule>
  </conditionalFormatting>
  <conditionalFormatting sqref="G240:N249">
    <cfRule type="expression" dxfId="61" priority="6" stopIfTrue="1">
      <formula>$W$27</formula>
    </cfRule>
  </conditionalFormatting>
  <conditionalFormatting sqref="G142:N151">
    <cfRule type="expression" dxfId="60" priority="5" stopIfTrue="1">
      <formula>$Q142</formula>
    </cfRule>
  </conditionalFormatting>
  <conditionalFormatting sqref="G155:N155">
    <cfRule type="expression" dxfId="59" priority="4" stopIfTrue="1">
      <formula>$Q155</formula>
    </cfRule>
  </conditionalFormatting>
  <conditionalFormatting sqref="G156:N164">
    <cfRule type="expression" dxfId="58" priority="3" stopIfTrue="1">
      <formula>$Q156</formula>
    </cfRule>
  </conditionalFormatting>
  <conditionalFormatting sqref="G168:N177">
    <cfRule type="expression" dxfId="57" priority="2" stopIfTrue="1">
      <formula>$Q168</formula>
    </cfRule>
  </conditionalFormatting>
  <conditionalFormatting sqref="G181:N190">
    <cfRule type="expression" dxfId="56" priority="1" stopIfTrue="1">
      <formula>$Q181</formula>
    </cfRule>
  </conditionalFormatting>
  <dataValidations count="3">
    <dataValidation type="list" allowBlank="1" showInputMessage="1" showErrorMessage="1" sqref="M54:N59" xr:uid="{00000000-0002-0000-0B00-000000000000}">
      <formula1>EUconst_TransCO2Approach</formula1>
    </dataValidation>
    <dataValidation type="list" allowBlank="1" showInputMessage="1" showErrorMessage="1" sqref="K54:L58" xr:uid="{00000000-0002-0000-0B00-000001000000}">
      <formula1>EUconst_CO2TransferTypes</formula1>
    </dataValidation>
    <dataValidation type="list" allowBlank="1" showInputMessage="1" showErrorMessage="1" sqref="M84:N84" xr:uid="{00000000-0002-0000-0B00-000002000000}">
      <formula1>EUconst_TransportApproaches</formula1>
    </dataValidation>
  </dataValidations>
  <hyperlinks>
    <hyperlink ref="F255:L255" location="JUMP_J2_Top" display="JUMP_J2_Top" xr:uid="{00000000-0004-0000-0B00-000000000000}"/>
    <hyperlink ref="E4:F4" location="JUMP_J_Bottom" display="JUMP_J_Bottom" xr:uid="{00000000-0004-0000-0B00-000001000000}"/>
    <hyperlink ref="E3:F3" location="JUMP_J_Top" display="JUMP_J_Top" xr:uid="{00000000-0004-0000-0B00-000002000000}"/>
    <hyperlink ref="G2:H2" location="JUMP_a_Content" display="Table of contents" xr:uid="{00000000-0004-0000-0B00-000003000000}"/>
    <hyperlink ref="I2:J2" location="JUMP_I_Top" display="JUMP_I_Top" xr:uid="{00000000-0004-0000-0B00-000004000000}"/>
    <hyperlink ref="K2:L2" location="JUMP_J2_Top" display="JUMP_J2_Top" xr:uid="{00000000-0004-0000-0B00-000005000000}"/>
  </hyperlinks>
  <pageMargins left="0.78740157480314965" right="0.78740157480314965" top="0.78740157480314965" bottom="0.78740157480314965" header="0.39370078740157483" footer="0.39370078740157483"/>
  <pageSetup paperSize="9" scale="59" fitToHeight="10" orientation="portrait" r:id="rId1"/>
  <headerFooter alignWithMargins="0">
    <oddHeader>&amp;L&amp;F, &amp;A&amp;R&amp;D, &amp;T</oddHeader>
    <oddFooter>&amp;C&amp;P / &amp;N</oddFooter>
  </headerFooter>
  <rowBreaks count="2" manualBreakCount="2">
    <brk id="65" min="1" max="14" man="1"/>
    <brk id="126"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0">
    <tabColor rgb="FF00B0F0"/>
  </sheetPr>
  <dimension ref="A1:W67"/>
  <sheetViews>
    <sheetView topLeftCell="B1" workbookViewId="0">
      <pane ySplit="4" topLeftCell="A5" activePane="bottomLeft" state="frozen"/>
      <selection pane="bottomLeft" activeCell="I2" sqref="I2:J2"/>
    </sheetView>
  </sheetViews>
  <sheetFormatPr defaultColWidth="11.42578125" defaultRowHeight="12.75" x14ac:dyDescent="0.2"/>
  <cols>
    <col min="1" max="1" width="2.7109375" style="65" hidden="1" customWidth="1"/>
    <col min="2" max="2" width="2.7109375" style="8" customWidth="1"/>
    <col min="3" max="4" width="4.7109375" style="8" customWidth="1"/>
    <col min="5" max="14" width="12.7109375" style="8" customWidth="1"/>
    <col min="15" max="15" width="4.7109375" style="8" customWidth="1"/>
    <col min="16" max="17" width="11.42578125" style="679" hidden="1" customWidth="1"/>
    <col min="18" max="16384" width="11.42578125" style="692"/>
  </cols>
  <sheetData>
    <row r="1" spans="1:17" ht="13.5" hidden="1" thickBot="1" x14ac:dyDescent="0.25">
      <c r="A1" s="12" t="s">
        <v>1090</v>
      </c>
      <c r="B1" s="72"/>
      <c r="C1" s="72"/>
      <c r="D1" s="75"/>
      <c r="E1" s="72"/>
      <c r="F1" s="72"/>
      <c r="G1" s="72"/>
      <c r="H1" s="72"/>
      <c r="I1" s="72"/>
      <c r="J1" s="72"/>
      <c r="K1" s="72"/>
      <c r="L1" s="72"/>
      <c r="M1" s="72"/>
      <c r="N1" s="72"/>
      <c r="O1" s="65"/>
      <c r="P1" s="12" t="s">
        <v>1090</v>
      </c>
      <c r="Q1" s="12" t="s">
        <v>1090</v>
      </c>
    </row>
    <row r="2" spans="1:17" ht="13.5" thickBot="1" x14ac:dyDescent="0.25">
      <c r="A2" s="12"/>
      <c r="B2" s="803" t="str">
        <f>Translations!$B$1372</f>
        <v>J2. Permanent CCU</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row>
    <row r="3" spans="1:17" x14ac:dyDescent="0.2">
      <c r="A3" s="12"/>
      <c r="B3" s="806"/>
      <c r="C3" s="807"/>
      <c r="D3" s="808"/>
      <c r="E3" s="776" t="str">
        <f>Translations!$B$63</f>
        <v>Top of sheet</v>
      </c>
      <c r="F3" s="776"/>
      <c r="G3" s="1193"/>
      <c r="H3" s="1194"/>
      <c r="I3" s="1195"/>
      <c r="J3" s="1196"/>
      <c r="K3" s="1187"/>
      <c r="L3" s="1188"/>
      <c r="M3" s="1131"/>
      <c r="N3" s="778"/>
      <c r="O3" s="7"/>
    </row>
    <row r="4" spans="1:17" ht="13.5" thickBot="1" x14ac:dyDescent="0.25">
      <c r="A4" s="12"/>
      <c r="B4" s="809"/>
      <c r="C4" s="810"/>
      <c r="D4" s="811"/>
      <c r="E4" s="776" t="str">
        <f>Translations!$B$64</f>
        <v>End of sheet</v>
      </c>
      <c r="F4" s="776"/>
      <c r="G4" s="1197"/>
      <c r="H4" s="1185"/>
      <c r="I4" s="1185"/>
      <c r="J4" s="1185"/>
      <c r="K4" s="1185"/>
      <c r="L4" s="1186"/>
      <c r="M4" s="1131"/>
      <c r="N4" s="778"/>
      <c r="O4" s="7"/>
    </row>
    <row r="5" spans="1:17" ht="13.5" thickBot="1" x14ac:dyDescent="0.25">
      <c r="C5" s="9"/>
      <c r="D5" s="10"/>
      <c r="F5" s="10"/>
      <c r="G5" s="10"/>
      <c r="H5" s="10"/>
      <c r="M5" s="7"/>
      <c r="N5" s="7"/>
      <c r="O5" s="7"/>
    </row>
    <row r="6" spans="1:17" ht="25.5" customHeight="1" thickBot="1" x14ac:dyDescent="0.25">
      <c r="A6" s="248"/>
      <c r="B6" s="34"/>
      <c r="C6" s="812" t="str">
        <f>Translations!$B$1373</f>
        <v>J2. CO2 permanently chemically bound in a product</v>
      </c>
      <c r="D6" s="812"/>
      <c r="E6" s="812"/>
      <c r="F6" s="812"/>
      <c r="G6" s="812"/>
      <c r="H6" s="812"/>
      <c r="I6" s="812"/>
      <c r="J6" s="812"/>
      <c r="K6" s="812"/>
      <c r="L6" s="1000" t="str">
        <f>IF(AND(NOT(ISBLANK(CNTR_InstHasCCU)), CNTR_InstHasCCU=FALSE),EUconst_NotRelevant,EUconst_Relevant)</f>
        <v>relevant</v>
      </c>
      <c r="M6" s="1001"/>
      <c r="N6" s="1002"/>
      <c r="O6" s="417"/>
    </row>
    <row r="7" spans="1:17" ht="5.0999999999999996" customHeight="1" x14ac:dyDescent="0.2">
      <c r="A7" s="248"/>
      <c r="B7" s="34"/>
      <c r="C7" s="216"/>
      <c r="D7" s="221"/>
      <c r="E7" s="216"/>
      <c r="F7" s="216"/>
      <c r="G7" s="216"/>
      <c r="H7" s="216"/>
      <c r="I7" s="216"/>
      <c r="J7" s="216"/>
      <c r="K7" s="216"/>
      <c r="L7" s="219"/>
      <c r="M7" s="219"/>
      <c r="N7" s="219"/>
      <c r="O7" s="417"/>
    </row>
    <row r="8" spans="1:17" x14ac:dyDescent="0.2">
      <c r="D8" s="10"/>
      <c r="K8" s="918" t="str">
        <f>IF(L6=EUconst_NotRelevant,HYPERLINK("#JUMP_K_Top",EUconst_MsgNextSheet),HYPERLINK("",EUconst_MsgEnterThisSection))</f>
        <v>Please enter data in this section</v>
      </c>
      <c r="L8" s="918"/>
      <c r="M8" s="918"/>
      <c r="N8" s="918"/>
      <c r="O8" s="417"/>
    </row>
    <row r="9" spans="1:17" ht="5.0999999999999996" customHeight="1" x14ac:dyDescent="0.2">
      <c r="A9" s="250"/>
      <c r="B9" s="13"/>
      <c r="C9" s="13"/>
      <c r="D9" s="439"/>
      <c r="E9" s="411"/>
      <c r="F9" s="7"/>
      <c r="G9" s="411"/>
      <c r="H9" s="411"/>
      <c r="I9" s="411"/>
      <c r="J9" s="411"/>
      <c r="K9" s="411"/>
      <c r="L9" s="411"/>
      <c r="M9" s="411"/>
      <c r="N9" s="411"/>
      <c r="O9" s="417"/>
    </row>
    <row r="10" spans="1:17" ht="15.75" x14ac:dyDescent="0.25">
      <c r="A10" s="453"/>
      <c r="B10" s="417"/>
      <c r="C10" s="77" t="s">
        <v>1799</v>
      </c>
      <c r="D10" s="1199" t="str">
        <f>Translations!$B$1374</f>
        <v>Determination of amounts of CO2 permanently chemically bound</v>
      </c>
      <c r="E10" s="1199"/>
      <c r="F10" s="1199"/>
      <c r="G10" s="1199"/>
      <c r="H10" s="1199"/>
      <c r="I10" s="1199"/>
      <c r="J10" s="1199"/>
      <c r="K10" s="1199"/>
      <c r="L10" s="1199"/>
      <c r="M10" s="1199"/>
      <c r="N10" s="1199"/>
      <c r="O10" s="417"/>
    </row>
    <row r="11" spans="1:17" x14ac:dyDescent="0.2">
      <c r="A11" s="453"/>
      <c r="B11" s="417"/>
      <c r="C11" s="328"/>
      <c r="D11" s="68"/>
      <c r="E11" s="440"/>
      <c r="F11" s="440"/>
      <c r="G11" s="440"/>
      <c r="H11" s="440"/>
      <c r="I11" s="440"/>
      <c r="J11" s="440"/>
      <c r="K11" s="440"/>
      <c r="L11" s="440"/>
      <c r="M11" s="440"/>
      <c r="N11" s="440"/>
      <c r="O11" s="417"/>
    </row>
    <row r="12" spans="1:17" ht="25.5" customHeight="1" x14ac:dyDescent="0.2">
      <c r="A12" s="453"/>
      <c r="B12" s="417"/>
      <c r="C12" s="417"/>
      <c r="D12" s="769" t="str">
        <f>Translations!$B$1375</f>
        <v>Note: this section is to be completed where CO2 is captured and used (CCU) in a product where the CO2 is permanently chemically bound, in accordance with Article 49a. CO2 bound in any products not meeting the specifications set out in Article 49a is not covered here.</v>
      </c>
      <c r="E12" s="1004"/>
      <c r="F12" s="1004"/>
      <c r="G12" s="1004"/>
      <c r="H12" s="1004"/>
      <c r="I12" s="1004"/>
      <c r="J12" s="1004"/>
      <c r="K12" s="1004"/>
      <c r="L12" s="1004"/>
      <c r="M12" s="1004"/>
      <c r="N12" s="1004"/>
      <c r="O12" s="417"/>
    </row>
    <row r="13" spans="1:17" x14ac:dyDescent="0.2">
      <c r="A13" s="453"/>
      <c r="B13" s="417"/>
      <c r="C13" s="417"/>
      <c r="D13" s="769"/>
      <c r="E13" s="1004"/>
      <c r="F13" s="1004"/>
      <c r="G13" s="1004"/>
      <c r="H13" s="1004"/>
      <c r="I13" s="1004"/>
      <c r="J13" s="1004"/>
      <c r="K13" s="1004"/>
      <c r="L13" s="1004"/>
      <c r="M13" s="1004"/>
      <c r="N13" s="1004"/>
      <c r="O13" s="417"/>
    </row>
    <row r="14" spans="1:17" x14ac:dyDescent="0.2">
      <c r="A14" s="453"/>
      <c r="B14" s="417"/>
      <c r="C14" s="417"/>
      <c r="D14" s="14" t="s">
        <v>1018</v>
      </c>
      <c r="E14" s="717" t="str">
        <f>Translations!$B$1376</f>
        <v xml:space="preserve">Please provide a detailed description of the process in which the CO2 is permanently chemically bound. </v>
      </c>
      <c r="F14" s="1004"/>
      <c r="G14" s="1004"/>
      <c r="H14" s="1004"/>
      <c r="I14" s="1004"/>
      <c r="J14" s="1004"/>
      <c r="K14" s="1004"/>
      <c r="L14" s="1004"/>
      <c r="M14" s="1004"/>
      <c r="N14" s="1004"/>
      <c r="O14" s="417"/>
    </row>
    <row r="15" spans="1:17" ht="25.5" customHeight="1" x14ac:dyDescent="0.2">
      <c r="A15" s="453"/>
      <c r="B15" s="417"/>
      <c r="C15" s="417"/>
      <c r="D15" s="417"/>
      <c r="E15" s="869" t="str">
        <f>Translations!$B$1377</f>
        <v>Please provide a concise description of the monitoring approach, including formulae, used to determine the annual amount of CO2 being permanently chemically bound in a product.</v>
      </c>
      <c r="F15" s="869"/>
      <c r="G15" s="869"/>
      <c r="H15" s="869"/>
      <c r="I15" s="869"/>
      <c r="J15" s="869"/>
      <c r="K15" s="869"/>
      <c r="L15" s="869"/>
      <c r="M15" s="869"/>
      <c r="N15" s="869"/>
      <c r="O15" s="417"/>
    </row>
    <row r="16" spans="1:17" ht="38.25" customHeight="1" x14ac:dyDescent="0.2">
      <c r="A16" s="453"/>
      <c r="B16" s="417"/>
      <c r="C16" s="417"/>
      <c r="D16" s="417"/>
      <c r="E16" s="869" t="str">
        <f>Translations!$B$1378</f>
        <v>This should cover in particular the process in which the CO2 is chemically bound, the system boundaries of the process, the location (either onsite or in another installation or entity), and the relevant input and output material and their chemical composition, in particular the carbon contents. Please make sure that this calculation is in line with Article 49a of the MRR.</v>
      </c>
      <c r="F16" s="869"/>
      <c r="G16" s="869"/>
      <c r="H16" s="869"/>
      <c r="I16" s="869"/>
      <c r="J16" s="869"/>
      <c r="K16" s="869"/>
      <c r="L16" s="869"/>
      <c r="M16" s="869"/>
      <c r="N16" s="869"/>
      <c r="O16" s="417"/>
    </row>
    <row r="17" spans="1:15" ht="25.5" customHeight="1" x14ac:dyDescent="0.2">
      <c r="A17" s="453"/>
      <c r="B17" s="417"/>
      <c r="C17" s="417"/>
      <c r="D17" s="417"/>
      <c r="E17" s="869" t="str">
        <f>Translations!$B$680</f>
        <v>If the description is too complex, e.g. complex formulas are applied or a diagram is needed for facilitating the description, you may provide the description in a separate document using a file format acceptable for the CA. In this case please reference this file here, by using the file name and date.</v>
      </c>
      <c r="F17" s="869"/>
      <c r="G17" s="869"/>
      <c r="H17" s="869"/>
      <c r="I17" s="869"/>
      <c r="J17" s="869"/>
      <c r="K17" s="869"/>
      <c r="L17" s="869"/>
      <c r="M17" s="869"/>
      <c r="N17" s="869"/>
      <c r="O17" s="417"/>
    </row>
    <row r="18" spans="1:15" ht="25.5" customHeight="1" x14ac:dyDescent="0.2">
      <c r="A18" s="453"/>
      <c r="B18" s="417"/>
      <c r="C18" s="417"/>
      <c r="D18" s="417"/>
      <c r="E18" s="869" t="str">
        <f>Translations!$B$195</f>
        <v>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v>
      </c>
      <c r="F18" s="869"/>
      <c r="G18" s="869"/>
      <c r="H18" s="869"/>
      <c r="I18" s="869"/>
      <c r="J18" s="869"/>
      <c r="K18" s="869"/>
      <c r="L18" s="869"/>
      <c r="M18" s="869"/>
      <c r="N18" s="869"/>
      <c r="O18" s="417"/>
    </row>
    <row r="19" spans="1:15" ht="5.0999999999999996" customHeight="1" x14ac:dyDescent="0.2">
      <c r="A19" s="453"/>
      <c r="B19" s="417"/>
      <c r="C19" s="417"/>
      <c r="D19" s="417"/>
      <c r="E19" s="431"/>
      <c r="F19" s="431"/>
      <c r="G19" s="431"/>
      <c r="H19" s="431"/>
      <c r="I19" s="431"/>
      <c r="J19" s="431"/>
      <c r="K19" s="431"/>
      <c r="L19" s="431"/>
      <c r="M19" s="417"/>
      <c r="N19" s="417"/>
      <c r="O19" s="417"/>
    </row>
    <row r="20" spans="1:15" x14ac:dyDescent="0.2">
      <c r="A20" s="453"/>
      <c r="B20" s="417"/>
      <c r="C20" s="417"/>
      <c r="D20" s="417"/>
      <c r="E20" s="936"/>
      <c r="F20" s="1210"/>
      <c r="G20" s="1210"/>
      <c r="H20" s="1210"/>
      <c r="I20" s="1210"/>
      <c r="J20" s="1210"/>
      <c r="K20" s="1210"/>
      <c r="L20" s="1210"/>
      <c r="M20" s="1210"/>
      <c r="N20" s="1211"/>
      <c r="O20" s="417"/>
    </row>
    <row r="21" spans="1:15" x14ac:dyDescent="0.2">
      <c r="A21" s="453"/>
      <c r="B21" s="417"/>
      <c r="C21" s="417"/>
      <c r="D21" s="417"/>
      <c r="E21" s="863"/>
      <c r="F21" s="1201"/>
      <c r="G21" s="1201"/>
      <c r="H21" s="1201"/>
      <c r="I21" s="1201"/>
      <c r="J21" s="1201"/>
      <c r="K21" s="1201"/>
      <c r="L21" s="1201"/>
      <c r="M21" s="1201"/>
      <c r="N21" s="1202"/>
      <c r="O21" s="417"/>
    </row>
    <row r="22" spans="1:15" x14ac:dyDescent="0.2">
      <c r="A22" s="453"/>
      <c r="B22" s="417"/>
      <c r="C22" s="417"/>
      <c r="D22" s="417"/>
      <c r="E22" s="863"/>
      <c r="F22" s="1201"/>
      <c r="G22" s="1201"/>
      <c r="H22" s="1201"/>
      <c r="I22" s="1201"/>
      <c r="J22" s="1201"/>
      <c r="K22" s="1201"/>
      <c r="L22" s="1201"/>
      <c r="M22" s="1201"/>
      <c r="N22" s="1202"/>
      <c r="O22" s="417"/>
    </row>
    <row r="23" spans="1:15" x14ac:dyDescent="0.2">
      <c r="A23" s="453"/>
      <c r="B23" s="417"/>
      <c r="C23" s="417"/>
      <c r="D23" s="417"/>
      <c r="E23" s="863"/>
      <c r="F23" s="1201"/>
      <c r="G23" s="1201"/>
      <c r="H23" s="1201"/>
      <c r="I23" s="1201"/>
      <c r="J23" s="1201"/>
      <c r="K23" s="1201"/>
      <c r="L23" s="1201"/>
      <c r="M23" s="1201"/>
      <c r="N23" s="1202"/>
      <c r="O23" s="417"/>
    </row>
    <row r="24" spans="1:15" x14ac:dyDescent="0.2">
      <c r="A24" s="453"/>
      <c r="B24" s="417"/>
      <c r="C24" s="417"/>
      <c r="D24" s="417"/>
      <c r="E24" s="863"/>
      <c r="F24" s="1201"/>
      <c r="G24" s="1201"/>
      <c r="H24" s="1201"/>
      <c r="I24" s="1201"/>
      <c r="J24" s="1201"/>
      <c r="K24" s="1201"/>
      <c r="L24" s="1201"/>
      <c r="M24" s="1201"/>
      <c r="N24" s="1202"/>
      <c r="O24" s="417"/>
    </row>
    <row r="25" spans="1:15" x14ac:dyDescent="0.2">
      <c r="A25" s="453"/>
      <c r="B25" s="417"/>
      <c r="C25" s="417"/>
      <c r="D25" s="417"/>
      <c r="E25" s="863"/>
      <c r="F25" s="1201"/>
      <c r="G25" s="1201"/>
      <c r="H25" s="1201"/>
      <c r="I25" s="1201"/>
      <c r="J25" s="1201"/>
      <c r="K25" s="1201"/>
      <c r="L25" s="1201"/>
      <c r="M25" s="1201"/>
      <c r="N25" s="1202"/>
      <c r="O25" s="417"/>
    </row>
    <row r="26" spans="1:15" x14ac:dyDescent="0.2">
      <c r="A26" s="453"/>
      <c r="B26" s="417"/>
      <c r="C26" s="417"/>
      <c r="D26" s="417"/>
      <c r="E26" s="863"/>
      <c r="F26" s="1201"/>
      <c r="G26" s="1201"/>
      <c r="H26" s="1201"/>
      <c r="I26" s="1201"/>
      <c r="J26" s="1201"/>
      <c r="K26" s="1201"/>
      <c r="L26" s="1201"/>
      <c r="M26" s="1201"/>
      <c r="N26" s="1202"/>
      <c r="O26" s="417"/>
    </row>
    <row r="27" spans="1:15" x14ac:dyDescent="0.2">
      <c r="A27" s="453"/>
      <c r="B27" s="417"/>
      <c r="C27" s="417"/>
      <c r="D27" s="417"/>
      <c r="E27" s="863"/>
      <c r="F27" s="1201"/>
      <c r="G27" s="1201"/>
      <c r="H27" s="1201"/>
      <c r="I27" s="1201"/>
      <c r="J27" s="1201"/>
      <c r="K27" s="1201"/>
      <c r="L27" s="1201"/>
      <c r="M27" s="1201"/>
      <c r="N27" s="1202"/>
      <c r="O27" s="417"/>
    </row>
    <row r="28" spans="1:15" x14ac:dyDescent="0.2">
      <c r="A28" s="453"/>
      <c r="B28" s="417"/>
      <c r="C28" s="417"/>
      <c r="D28" s="417"/>
      <c r="E28" s="863"/>
      <c r="F28" s="1201"/>
      <c r="G28" s="1201"/>
      <c r="H28" s="1201"/>
      <c r="I28" s="1201"/>
      <c r="J28" s="1201"/>
      <c r="K28" s="1201"/>
      <c r="L28" s="1201"/>
      <c r="M28" s="1201"/>
      <c r="N28" s="1202"/>
      <c r="O28" s="417"/>
    </row>
    <row r="29" spans="1:15" x14ac:dyDescent="0.2">
      <c r="A29" s="453"/>
      <c r="B29" s="417"/>
      <c r="C29" s="417"/>
      <c r="D29" s="417"/>
      <c r="E29" s="863"/>
      <c r="F29" s="1201"/>
      <c r="G29" s="1201"/>
      <c r="H29" s="1201"/>
      <c r="I29" s="1201"/>
      <c r="J29" s="1201"/>
      <c r="K29" s="1201"/>
      <c r="L29" s="1201"/>
      <c r="M29" s="1201"/>
      <c r="N29" s="1202"/>
      <c r="O29" s="417"/>
    </row>
    <row r="30" spans="1:15" x14ac:dyDescent="0.2">
      <c r="A30" s="453"/>
      <c r="B30" s="417"/>
      <c r="C30" s="417"/>
      <c r="D30" s="417"/>
      <c r="E30" s="863"/>
      <c r="F30" s="1201"/>
      <c r="G30" s="1201"/>
      <c r="H30" s="1201"/>
      <c r="I30" s="1201"/>
      <c r="J30" s="1201"/>
      <c r="K30" s="1201"/>
      <c r="L30" s="1201"/>
      <c r="M30" s="1201"/>
      <c r="N30" s="1202"/>
      <c r="O30" s="417"/>
    </row>
    <row r="31" spans="1:15" x14ac:dyDescent="0.2">
      <c r="A31" s="453"/>
      <c r="B31" s="417"/>
      <c r="C31" s="417"/>
      <c r="D31" s="417"/>
      <c r="E31" s="863"/>
      <c r="F31" s="1201"/>
      <c r="G31" s="1201"/>
      <c r="H31" s="1201"/>
      <c r="I31" s="1201"/>
      <c r="J31" s="1201"/>
      <c r="K31" s="1201"/>
      <c r="L31" s="1201"/>
      <c r="M31" s="1201"/>
      <c r="N31" s="1202"/>
      <c r="O31" s="417"/>
    </row>
    <row r="32" spans="1:15" x14ac:dyDescent="0.2">
      <c r="A32" s="453"/>
      <c r="B32" s="417"/>
      <c r="C32" s="417"/>
      <c r="D32" s="417"/>
      <c r="E32" s="863"/>
      <c r="F32" s="1201"/>
      <c r="G32" s="1201"/>
      <c r="H32" s="1201"/>
      <c r="I32" s="1201"/>
      <c r="J32" s="1201"/>
      <c r="K32" s="1201"/>
      <c r="L32" s="1201"/>
      <c r="M32" s="1201"/>
      <c r="N32" s="1202"/>
      <c r="O32" s="417"/>
    </row>
    <row r="33" spans="1:17" x14ac:dyDescent="0.2">
      <c r="A33" s="453"/>
      <c r="B33" s="417"/>
      <c r="C33" s="417"/>
      <c r="D33" s="417"/>
      <c r="E33" s="863"/>
      <c r="F33" s="1201"/>
      <c r="G33" s="1201"/>
      <c r="H33" s="1201"/>
      <c r="I33" s="1201"/>
      <c r="J33" s="1201"/>
      <c r="K33" s="1201"/>
      <c r="L33" s="1201"/>
      <c r="M33" s="1201"/>
      <c r="N33" s="1202"/>
      <c r="O33" s="417"/>
    </row>
    <row r="34" spans="1:17" x14ac:dyDescent="0.2">
      <c r="A34" s="453"/>
      <c r="B34" s="417"/>
      <c r="C34" s="417"/>
      <c r="D34" s="417"/>
      <c r="E34" s="863"/>
      <c r="F34" s="1201"/>
      <c r="G34" s="1201"/>
      <c r="H34" s="1201"/>
      <c r="I34" s="1201"/>
      <c r="J34" s="1201"/>
      <c r="K34" s="1201"/>
      <c r="L34" s="1201"/>
      <c r="M34" s="1201"/>
      <c r="N34" s="1202"/>
      <c r="O34" s="417"/>
    </row>
    <row r="35" spans="1:17" x14ac:dyDescent="0.2">
      <c r="A35" s="453"/>
      <c r="B35" s="417"/>
      <c r="C35" s="417"/>
      <c r="D35" s="417"/>
      <c r="E35" s="863"/>
      <c r="F35" s="1201"/>
      <c r="G35" s="1201"/>
      <c r="H35" s="1201"/>
      <c r="I35" s="1201"/>
      <c r="J35" s="1201"/>
      <c r="K35" s="1201"/>
      <c r="L35" s="1201"/>
      <c r="M35" s="1201"/>
      <c r="N35" s="1202"/>
      <c r="O35" s="417"/>
    </row>
    <row r="36" spans="1:17" x14ac:dyDescent="0.2">
      <c r="A36" s="453"/>
      <c r="B36" s="417"/>
      <c r="C36" s="417"/>
      <c r="D36" s="417"/>
      <c r="E36" s="863"/>
      <c r="F36" s="1201"/>
      <c r="G36" s="1201"/>
      <c r="H36" s="1201"/>
      <c r="I36" s="1201"/>
      <c r="J36" s="1201"/>
      <c r="K36" s="1201"/>
      <c r="L36" s="1201"/>
      <c r="M36" s="1201"/>
      <c r="N36" s="1202"/>
      <c r="O36" s="417"/>
    </row>
    <row r="37" spans="1:17" x14ac:dyDescent="0.2">
      <c r="A37" s="453"/>
      <c r="B37" s="417"/>
      <c r="C37" s="417"/>
      <c r="D37" s="417"/>
      <c r="E37" s="863"/>
      <c r="F37" s="1201"/>
      <c r="G37" s="1201"/>
      <c r="H37" s="1201"/>
      <c r="I37" s="1201"/>
      <c r="J37" s="1201"/>
      <c r="K37" s="1201"/>
      <c r="L37" s="1201"/>
      <c r="M37" s="1201"/>
      <c r="N37" s="1202"/>
      <c r="O37" s="417"/>
    </row>
    <row r="38" spans="1:17" x14ac:dyDescent="0.2">
      <c r="A38" s="453"/>
      <c r="B38" s="417"/>
      <c r="C38" s="417"/>
      <c r="D38" s="417"/>
      <c r="E38" s="863"/>
      <c r="F38" s="1201"/>
      <c r="G38" s="1201"/>
      <c r="H38" s="1201"/>
      <c r="I38" s="1201"/>
      <c r="J38" s="1201"/>
      <c r="K38" s="1201"/>
      <c r="L38" s="1201"/>
      <c r="M38" s="1201"/>
      <c r="N38" s="1202"/>
      <c r="O38" s="417"/>
    </row>
    <row r="39" spans="1:17" x14ac:dyDescent="0.2">
      <c r="A39" s="453"/>
      <c r="B39" s="337"/>
      <c r="C39" s="337"/>
      <c r="D39" s="417"/>
      <c r="E39" s="866"/>
      <c r="F39" s="1206"/>
      <c r="G39" s="1206"/>
      <c r="H39" s="1206"/>
      <c r="I39" s="1206"/>
      <c r="J39" s="1206"/>
      <c r="K39" s="1206"/>
      <c r="L39" s="1206"/>
      <c r="M39" s="1206"/>
      <c r="N39" s="1207"/>
      <c r="O39" s="417"/>
    </row>
    <row r="40" spans="1:17" s="8" customFormat="1" x14ac:dyDescent="0.2">
      <c r="A40" s="65"/>
      <c r="O40" s="417"/>
      <c r="P40" s="624"/>
      <c r="Q40" s="679"/>
    </row>
    <row r="41" spans="1:17" s="8" customFormat="1" ht="38.25" customHeight="1" x14ac:dyDescent="0.2">
      <c r="A41" s="453"/>
      <c r="B41" s="417"/>
      <c r="C41" s="417"/>
      <c r="D41" s="14" t="s">
        <v>1020</v>
      </c>
      <c r="E41" s="949" t="str">
        <f>Translations!$B$1379</f>
        <v>Provide here a description of the procedure used to determine whether or not a product in which the CO2 is permanently chemically bound in accordance with Article 49a(1) of this Regulation, meets the requirements set out in the delegated Regulation pursuant to Article 12(3b) of Directive 2003/87/EC and the types of uses of those products.</v>
      </c>
      <c r="F41" s="1004"/>
      <c r="G41" s="1004"/>
      <c r="H41" s="1004"/>
      <c r="I41" s="1004"/>
      <c r="J41" s="1004"/>
      <c r="K41" s="1004"/>
      <c r="L41" s="1004"/>
      <c r="M41" s="1004"/>
      <c r="N41" s="1004"/>
      <c r="O41" s="417"/>
      <c r="P41" s="679"/>
      <c r="Q41" s="679"/>
    </row>
    <row r="42" spans="1:17" s="8" customFormat="1" ht="5.0999999999999996" customHeight="1" x14ac:dyDescent="0.2">
      <c r="A42" s="250"/>
      <c r="B42" s="13"/>
      <c r="C42" s="13"/>
      <c r="D42" s="439"/>
      <c r="E42" s="411"/>
      <c r="F42" s="7"/>
      <c r="G42" s="411"/>
      <c r="H42" s="411"/>
      <c r="I42" s="411"/>
      <c r="J42" s="411"/>
      <c r="K42" s="411"/>
      <c r="L42" s="411"/>
      <c r="M42" s="411"/>
      <c r="N42" s="411"/>
      <c r="O42" s="417"/>
      <c r="P42" s="679"/>
      <c r="Q42" s="679"/>
    </row>
    <row r="43" spans="1:17" s="8" customFormat="1" ht="12.75" customHeight="1" x14ac:dyDescent="0.2">
      <c r="A43" s="17"/>
      <c r="B43" s="417"/>
      <c r="C43" s="417"/>
      <c r="D43" s="417"/>
      <c r="E43" s="950" t="str">
        <f>Translations!$B$405</f>
        <v>Title of procedure</v>
      </c>
      <c r="F43" s="951"/>
      <c r="G43" s="902"/>
      <c r="H43" s="851"/>
      <c r="I43" s="851"/>
      <c r="J43" s="851"/>
      <c r="K43" s="851"/>
      <c r="L43" s="851"/>
      <c r="M43" s="851"/>
      <c r="N43" s="852"/>
      <c r="O43" s="417"/>
      <c r="P43" s="686"/>
      <c r="Q43" s="679"/>
    </row>
    <row r="44" spans="1:17" s="8" customFormat="1" ht="12.75" customHeight="1" x14ac:dyDescent="0.2">
      <c r="A44" s="17"/>
      <c r="B44" s="417"/>
      <c r="C44" s="417"/>
      <c r="D44" s="417"/>
      <c r="E44" s="950" t="str">
        <f>Translations!$B$407</f>
        <v>Reference for procedure</v>
      </c>
      <c r="F44" s="951"/>
      <c r="G44" s="902"/>
      <c r="H44" s="851"/>
      <c r="I44" s="851"/>
      <c r="J44" s="851"/>
      <c r="K44" s="851"/>
      <c r="L44" s="851"/>
      <c r="M44" s="851"/>
      <c r="N44" s="852"/>
      <c r="O44" s="417"/>
      <c r="P44" s="686"/>
      <c r="Q44" s="679"/>
    </row>
    <row r="45" spans="1:17" s="8" customFormat="1" ht="25.5" customHeight="1" x14ac:dyDescent="0.2">
      <c r="A45" s="17"/>
      <c r="B45" s="417"/>
      <c r="C45" s="417"/>
      <c r="D45" s="417"/>
      <c r="E45" s="950" t="str">
        <f>Translations!$B$409</f>
        <v>Diagram reference (where applicable)</v>
      </c>
      <c r="F45" s="951"/>
      <c r="G45" s="902"/>
      <c r="H45" s="851"/>
      <c r="I45" s="851"/>
      <c r="J45" s="851"/>
      <c r="K45" s="851"/>
      <c r="L45" s="851"/>
      <c r="M45" s="851"/>
      <c r="N45" s="852"/>
      <c r="O45" s="417"/>
      <c r="P45" s="686"/>
      <c r="Q45" s="679"/>
    </row>
    <row r="46" spans="1:17" s="8" customFormat="1" ht="25.5" customHeight="1" x14ac:dyDescent="0.2">
      <c r="A46" s="17"/>
      <c r="B46" s="417"/>
      <c r="C46" s="417"/>
      <c r="D46" s="417"/>
      <c r="E46" s="952" t="str">
        <f>Translations!$B$411</f>
        <v xml:space="preserve">Brief description of procedure    </v>
      </c>
      <c r="F46" s="953"/>
      <c r="G46" s="954"/>
      <c r="H46" s="955"/>
      <c r="I46" s="955"/>
      <c r="J46" s="955"/>
      <c r="K46" s="955"/>
      <c r="L46" s="955"/>
      <c r="M46" s="955"/>
      <c r="N46" s="956"/>
      <c r="O46" s="417"/>
      <c r="P46" s="686"/>
      <c r="Q46" s="679"/>
    </row>
    <row r="47" spans="1:17" s="8" customFormat="1" ht="25.5" customHeight="1" x14ac:dyDescent="0.2">
      <c r="A47" s="17"/>
      <c r="B47" s="417"/>
      <c r="C47" s="417"/>
      <c r="D47" s="417"/>
      <c r="E47" s="590"/>
      <c r="F47" s="591"/>
      <c r="G47" s="957"/>
      <c r="H47" s="958"/>
      <c r="I47" s="958"/>
      <c r="J47" s="958"/>
      <c r="K47" s="958"/>
      <c r="L47" s="958"/>
      <c r="M47" s="958"/>
      <c r="N47" s="959"/>
      <c r="O47" s="417"/>
      <c r="P47" s="686"/>
      <c r="Q47" s="679"/>
    </row>
    <row r="48" spans="1:17" s="8" customFormat="1" ht="25.5" customHeight="1" x14ac:dyDescent="0.2">
      <c r="A48" s="17"/>
      <c r="B48" s="417"/>
      <c r="C48" s="417"/>
      <c r="D48" s="417"/>
      <c r="E48" s="592"/>
      <c r="F48" s="593"/>
      <c r="G48" s="960"/>
      <c r="H48" s="961"/>
      <c r="I48" s="961"/>
      <c r="J48" s="961"/>
      <c r="K48" s="961"/>
      <c r="L48" s="961"/>
      <c r="M48" s="961"/>
      <c r="N48" s="962"/>
      <c r="O48" s="417"/>
      <c r="P48" s="686"/>
      <c r="Q48" s="679"/>
    </row>
    <row r="49" spans="1:17" s="8" customFormat="1" ht="25.5" customHeight="1" x14ac:dyDescent="0.2">
      <c r="A49" s="17"/>
      <c r="B49" s="417"/>
      <c r="C49" s="417"/>
      <c r="D49" s="417"/>
      <c r="E49" s="950" t="str">
        <f>Translations!$B$414</f>
        <v>Post or department responsible for the procedure and for any data generated</v>
      </c>
      <c r="F49" s="951"/>
      <c r="G49" s="902"/>
      <c r="H49" s="903"/>
      <c r="I49" s="903"/>
      <c r="J49" s="903"/>
      <c r="K49" s="903"/>
      <c r="L49" s="903"/>
      <c r="M49" s="903"/>
      <c r="N49" s="904"/>
      <c r="O49" s="417"/>
      <c r="P49" s="686"/>
      <c r="Q49" s="679"/>
    </row>
    <row r="50" spans="1:17" s="8" customFormat="1" ht="12.75" customHeight="1" x14ac:dyDescent="0.2">
      <c r="A50" s="17"/>
      <c r="B50" s="417"/>
      <c r="C50" s="417"/>
      <c r="D50" s="417"/>
      <c r="E50" s="950" t="str">
        <f>Translations!$B$416</f>
        <v>Location where records are kept</v>
      </c>
      <c r="F50" s="951"/>
      <c r="G50" s="902"/>
      <c r="H50" s="851"/>
      <c r="I50" s="851"/>
      <c r="J50" s="851"/>
      <c r="K50" s="851"/>
      <c r="L50" s="851"/>
      <c r="M50" s="851"/>
      <c r="N50" s="852"/>
      <c r="O50" s="417"/>
      <c r="P50" s="686"/>
      <c r="Q50" s="679"/>
    </row>
    <row r="51" spans="1:17" s="8" customFormat="1" ht="25.5" customHeight="1" x14ac:dyDescent="0.2">
      <c r="A51" s="17"/>
      <c r="B51" s="417"/>
      <c r="C51" s="417"/>
      <c r="D51" s="417"/>
      <c r="E51" s="950" t="str">
        <f>Translations!$B$418</f>
        <v>Name of IT system used (where applicable).</v>
      </c>
      <c r="F51" s="951"/>
      <c r="G51" s="902"/>
      <c r="H51" s="851"/>
      <c r="I51" s="851"/>
      <c r="J51" s="851"/>
      <c r="K51" s="851"/>
      <c r="L51" s="851"/>
      <c r="M51" s="851"/>
      <c r="N51" s="852"/>
      <c r="O51" s="417"/>
      <c r="P51" s="686"/>
      <c r="Q51" s="679"/>
    </row>
    <row r="52" spans="1:17" s="8" customFormat="1" ht="25.5" customHeight="1" x14ac:dyDescent="0.2">
      <c r="A52" s="17"/>
      <c r="B52" s="417"/>
      <c r="C52" s="417"/>
      <c r="D52" s="417"/>
      <c r="E52" s="950" t="str">
        <f>Translations!$B$420</f>
        <v>List of EN or other standards applied (where relevant)</v>
      </c>
      <c r="F52" s="951"/>
      <c r="G52" s="902"/>
      <c r="H52" s="851"/>
      <c r="I52" s="851"/>
      <c r="J52" s="851"/>
      <c r="K52" s="851"/>
      <c r="L52" s="851"/>
      <c r="M52" s="851"/>
      <c r="N52" s="852"/>
      <c r="O52" s="417"/>
      <c r="P52" s="686"/>
      <c r="Q52" s="679"/>
    </row>
    <row r="53" spans="1:17" s="8" customFormat="1" x14ac:dyDescent="0.2">
      <c r="A53" s="65"/>
      <c r="O53" s="417"/>
      <c r="P53" s="679"/>
      <c r="Q53" s="679"/>
    </row>
    <row r="54" spans="1:17" s="8" customFormat="1" ht="25.5" customHeight="1" x14ac:dyDescent="0.2">
      <c r="A54" s="453"/>
      <c r="B54" s="417"/>
      <c r="C54" s="417"/>
      <c r="D54" s="14" t="s">
        <v>554</v>
      </c>
      <c r="E54" s="949" t="str">
        <f>Translations!$B$1380</f>
        <v xml:space="preserve">Provide here a description of the procedure used for the calculation methodology for determining the CO2 amounts permanently chemically bound in accordance with Article 49a(2). </v>
      </c>
      <c r="F54" s="1004"/>
      <c r="G54" s="1004"/>
      <c r="H54" s="1004"/>
      <c r="I54" s="1004"/>
      <c r="J54" s="1004"/>
      <c r="K54" s="1004"/>
      <c r="L54" s="1004"/>
      <c r="M54" s="1004"/>
      <c r="N54" s="1004"/>
      <c r="O54" s="417"/>
      <c r="P54" s="679"/>
      <c r="Q54" s="679"/>
    </row>
    <row r="55" spans="1:17" s="8" customFormat="1" ht="5.0999999999999996" customHeight="1" x14ac:dyDescent="0.2">
      <c r="A55" s="250"/>
      <c r="B55" s="13"/>
      <c r="C55" s="13"/>
      <c r="D55" s="439"/>
      <c r="E55" s="411"/>
      <c r="F55" s="7"/>
      <c r="G55" s="411"/>
      <c r="H55" s="411"/>
      <c r="I55" s="411"/>
      <c r="J55" s="411"/>
      <c r="K55" s="411"/>
      <c r="L55" s="411"/>
      <c r="M55" s="411"/>
      <c r="N55" s="411"/>
      <c r="O55" s="417"/>
      <c r="P55" s="679"/>
      <c r="Q55" s="679"/>
    </row>
    <row r="56" spans="1:17" s="8" customFormat="1" ht="12.75" customHeight="1" x14ac:dyDescent="0.2">
      <c r="A56" s="17"/>
      <c r="B56" s="417"/>
      <c r="C56" s="417"/>
      <c r="D56" s="417"/>
      <c r="E56" s="950" t="str">
        <f>Translations!$B$405</f>
        <v>Title of procedure</v>
      </c>
      <c r="F56" s="951"/>
      <c r="G56" s="902"/>
      <c r="H56" s="851"/>
      <c r="I56" s="851"/>
      <c r="J56" s="851"/>
      <c r="K56" s="851"/>
      <c r="L56" s="851"/>
      <c r="M56" s="851"/>
      <c r="N56" s="852"/>
      <c r="O56" s="417"/>
      <c r="P56" s="686"/>
      <c r="Q56" s="679"/>
    </row>
    <row r="57" spans="1:17" s="8" customFormat="1" ht="12.75" customHeight="1" x14ac:dyDescent="0.2">
      <c r="A57" s="17"/>
      <c r="B57" s="417"/>
      <c r="C57" s="417"/>
      <c r="D57" s="417"/>
      <c r="E57" s="950" t="str">
        <f>Translations!$B$407</f>
        <v>Reference for procedure</v>
      </c>
      <c r="F57" s="951"/>
      <c r="G57" s="902"/>
      <c r="H57" s="851"/>
      <c r="I57" s="851"/>
      <c r="J57" s="851"/>
      <c r="K57" s="851"/>
      <c r="L57" s="851"/>
      <c r="M57" s="851"/>
      <c r="N57" s="852"/>
      <c r="O57" s="417"/>
      <c r="P57" s="686"/>
      <c r="Q57" s="679"/>
    </row>
    <row r="58" spans="1:17" s="8" customFormat="1" ht="25.5" customHeight="1" x14ac:dyDescent="0.2">
      <c r="A58" s="17"/>
      <c r="B58" s="417"/>
      <c r="C58" s="417"/>
      <c r="D58" s="417"/>
      <c r="E58" s="950" t="str">
        <f>Translations!$B$409</f>
        <v>Diagram reference (where applicable)</v>
      </c>
      <c r="F58" s="951"/>
      <c r="G58" s="902"/>
      <c r="H58" s="851"/>
      <c r="I58" s="851"/>
      <c r="J58" s="851"/>
      <c r="K58" s="851"/>
      <c r="L58" s="851"/>
      <c r="M58" s="851"/>
      <c r="N58" s="852"/>
      <c r="O58" s="417"/>
      <c r="P58" s="686"/>
      <c r="Q58" s="679"/>
    </row>
    <row r="59" spans="1:17" s="8" customFormat="1" ht="25.5" customHeight="1" x14ac:dyDescent="0.2">
      <c r="A59" s="17"/>
      <c r="B59" s="417"/>
      <c r="C59" s="417"/>
      <c r="D59" s="417"/>
      <c r="E59" s="952" t="str">
        <f>Translations!$B$411</f>
        <v xml:space="preserve">Brief description of procedure    </v>
      </c>
      <c r="F59" s="953"/>
      <c r="G59" s="954"/>
      <c r="H59" s="955"/>
      <c r="I59" s="955"/>
      <c r="J59" s="955"/>
      <c r="K59" s="955"/>
      <c r="L59" s="955"/>
      <c r="M59" s="955"/>
      <c r="N59" s="956"/>
      <c r="O59" s="417"/>
      <c r="P59" s="686"/>
      <c r="Q59" s="679"/>
    </row>
    <row r="60" spans="1:17" s="8" customFormat="1" ht="25.5" customHeight="1" x14ac:dyDescent="0.2">
      <c r="A60" s="17"/>
      <c r="B60" s="417"/>
      <c r="C60" s="417"/>
      <c r="D60" s="417"/>
      <c r="E60" s="590"/>
      <c r="F60" s="591"/>
      <c r="G60" s="957"/>
      <c r="H60" s="958"/>
      <c r="I60" s="958"/>
      <c r="J60" s="958"/>
      <c r="K60" s="958"/>
      <c r="L60" s="958"/>
      <c r="M60" s="958"/>
      <c r="N60" s="959"/>
      <c r="O60" s="417"/>
      <c r="P60" s="686"/>
      <c r="Q60" s="679"/>
    </row>
    <row r="61" spans="1:17" s="8" customFormat="1" ht="25.5" customHeight="1" x14ac:dyDescent="0.2">
      <c r="A61" s="17"/>
      <c r="B61" s="417"/>
      <c r="C61" s="417"/>
      <c r="D61" s="417"/>
      <c r="E61" s="592"/>
      <c r="F61" s="593"/>
      <c r="G61" s="960"/>
      <c r="H61" s="961"/>
      <c r="I61" s="961"/>
      <c r="J61" s="961"/>
      <c r="K61" s="961"/>
      <c r="L61" s="961"/>
      <c r="M61" s="961"/>
      <c r="N61" s="962"/>
      <c r="O61" s="417"/>
      <c r="P61" s="686"/>
      <c r="Q61" s="679"/>
    </row>
    <row r="62" spans="1:17" s="8" customFormat="1" ht="25.5" customHeight="1" x14ac:dyDescent="0.2">
      <c r="A62" s="17"/>
      <c r="B62" s="417"/>
      <c r="C62" s="417"/>
      <c r="D62" s="417"/>
      <c r="E62" s="950" t="str">
        <f>Translations!$B$414</f>
        <v>Post or department responsible for the procedure and for any data generated</v>
      </c>
      <c r="F62" s="951"/>
      <c r="G62" s="902"/>
      <c r="H62" s="903"/>
      <c r="I62" s="903"/>
      <c r="J62" s="903"/>
      <c r="K62" s="903"/>
      <c r="L62" s="903"/>
      <c r="M62" s="903"/>
      <c r="N62" s="904"/>
      <c r="O62" s="417"/>
      <c r="P62" s="686"/>
      <c r="Q62" s="679"/>
    </row>
    <row r="63" spans="1:17" s="8" customFormat="1" ht="12.75" customHeight="1" x14ac:dyDescent="0.2">
      <c r="A63" s="17"/>
      <c r="B63" s="417"/>
      <c r="C63" s="417"/>
      <c r="D63" s="417"/>
      <c r="E63" s="950" t="str">
        <f>Translations!$B$416</f>
        <v>Location where records are kept</v>
      </c>
      <c r="F63" s="951"/>
      <c r="G63" s="902"/>
      <c r="H63" s="851"/>
      <c r="I63" s="851"/>
      <c r="J63" s="851"/>
      <c r="K63" s="851"/>
      <c r="L63" s="851"/>
      <c r="M63" s="851"/>
      <c r="N63" s="852"/>
      <c r="O63" s="417"/>
      <c r="P63" s="686"/>
      <c r="Q63" s="679"/>
    </row>
    <row r="64" spans="1:17" s="8" customFormat="1" ht="25.5" customHeight="1" x14ac:dyDescent="0.2">
      <c r="A64" s="17"/>
      <c r="B64" s="417"/>
      <c r="C64" s="417"/>
      <c r="D64" s="417"/>
      <c r="E64" s="950" t="str">
        <f>Translations!$B$418</f>
        <v>Name of IT system used (where applicable).</v>
      </c>
      <c r="F64" s="951"/>
      <c r="G64" s="902"/>
      <c r="H64" s="851"/>
      <c r="I64" s="851"/>
      <c r="J64" s="851"/>
      <c r="K64" s="851"/>
      <c r="L64" s="851"/>
      <c r="M64" s="851"/>
      <c r="N64" s="852"/>
      <c r="O64" s="417"/>
      <c r="P64" s="686"/>
      <c r="Q64" s="679"/>
    </row>
    <row r="65" spans="1:23" s="8" customFormat="1" ht="25.5" customHeight="1" x14ac:dyDescent="0.2">
      <c r="A65" s="17"/>
      <c r="B65" s="417"/>
      <c r="C65" s="417"/>
      <c r="D65" s="417"/>
      <c r="E65" s="950" t="str">
        <f>Translations!$B$420</f>
        <v>List of EN or other standards applied (where relevant)</v>
      </c>
      <c r="F65" s="951"/>
      <c r="G65" s="902"/>
      <c r="H65" s="851"/>
      <c r="I65" s="851"/>
      <c r="J65" s="851"/>
      <c r="K65" s="851"/>
      <c r="L65" s="851"/>
      <c r="M65" s="851"/>
      <c r="N65" s="852"/>
      <c r="O65" s="417"/>
      <c r="P65" s="686"/>
      <c r="Q65" s="679"/>
    </row>
    <row r="67" spans="1:23" s="11" customFormat="1" ht="15" customHeight="1" x14ac:dyDescent="0.2">
      <c r="A67" s="6"/>
      <c r="E67" s="218"/>
      <c r="F67" s="770" t="str">
        <f>EUconst_MsgNextSheet</f>
        <v xml:space="preserve">&lt;&lt;&lt; Click here to proceed to next sheet &gt;&gt;&gt; </v>
      </c>
      <c r="G67" s="770"/>
      <c r="H67" s="770"/>
      <c r="I67" s="770"/>
      <c r="J67" s="770"/>
      <c r="K67" s="770"/>
      <c r="L67" s="770"/>
      <c r="M67" s="218"/>
      <c r="N67" s="218"/>
      <c r="P67" s="6"/>
      <c r="Q67" s="679"/>
      <c r="R67" s="8"/>
      <c r="S67" s="8"/>
      <c r="T67" s="8"/>
      <c r="U67" s="8"/>
      <c r="V67" s="8"/>
      <c r="W67" s="8"/>
    </row>
  </sheetData>
  <sheetProtection sheet="1" objects="1" scenarios="1" formatCells="0" formatColumns="0" formatRows="0"/>
  <mergeCells count="86">
    <mergeCell ref="M2:N2"/>
    <mergeCell ref="E3:F3"/>
    <mergeCell ref="G3:H3"/>
    <mergeCell ref="I3:J3"/>
    <mergeCell ref="K3:L3"/>
    <mergeCell ref="B2:D4"/>
    <mergeCell ref="E2:F2"/>
    <mergeCell ref="G2:H2"/>
    <mergeCell ref="I2:J2"/>
    <mergeCell ref="K2:L2"/>
    <mergeCell ref="M3:N3"/>
    <mergeCell ref="E4:F4"/>
    <mergeCell ref="G4:H4"/>
    <mergeCell ref="I4:J4"/>
    <mergeCell ref="K4:L4"/>
    <mergeCell ref="M4:N4"/>
    <mergeCell ref="E25:N25"/>
    <mergeCell ref="E16:N16"/>
    <mergeCell ref="C6:K6"/>
    <mergeCell ref="L6:N6"/>
    <mergeCell ref="K8:N8"/>
    <mergeCell ref="D10:N10"/>
    <mergeCell ref="D12:N12"/>
    <mergeCell ref="D13:N13"/>
    <mergeCell ref="E14:N14"/>
    <mergeCell ref="E15:N15"/>
    <mergeCell ref="E20:N20"/>
    <mergeCell ref="E21:N21"/>
    <mergeCell ref="E22:N22"/>
    <mergeCell ref="E23:N23"/>
    <mergeCell ref="E24:N24"/>
    <mergeCell ref="E37:N37"/>
    <mergeCell ref="E26:N26"/>
    <mergeCell ref="E27:N27"/>
    <mergeCell ref="E28:N28"/>
    <mergeCell ref="E29:N29"/>
    <mergeCell ref="E30:N30"/>
    <mergeCell ref="E31:N31"/>
    <mergeCell ref="E32:N32"/>
    <mergeCell ref="E33:N33"/>
    <mergeCell ref="E34:N34"/>
    <mergeCell ref="E35:N35"/>
    <mergeCell ref="E36:N36"/>
    <mergeCell ref="E64:F64"/>
    <mergeCell ref="G64:N64"/>
    <mergeCell ref="E65:F65"/>
    <mergeCell ref="G65:N65"/>
    <mergeCell ref="E38:N38"/>
    <mergeCell ref="E39:N39"/>
    <mergeCell ref="G61:N61"/>
    <mergeCell ref="E62:F62"/>
    <mergeCell ref="G62:N62"/>
    <mergeCell ref="E63:F63"/>
    <mergeCell ref="G63:N63"/>
    <mergeCell ref="E58:F58"/>
    <mergeCell ref="G58:N58"/>
    <mergeCell ref="E59:F59"/>
    <mergeCell ref="G59:N59"/>
    <mergeCell ref="G60:N60"/>
    <mergeCell ref="E54:N54"/>
    <mergeCell ref="E56:F56"/>
    <mergeCell ref="G56:N56"/>
    <mergeCell ref="E57:F57"/>
    <mergeCell ref="G57:N57"/>
    <mergeCell ref="E50:F50"/>
    <mergeCell ref="G50:N50"/>
    <mergeCell ref="E51:F51"/>
    <mergeCell ref="G51:N51"/>
    <mergeCell ref="E52:F52"/>
    <mergeCell ref="G52:N52"/>
    <mergeCell ref="E17:N17"/>
    <mergeCell ref="E18:N18"/>
    <mergeCell ref="F67:L67"/>
    <mergeCell ref="E41:N41"/>
    <mergeCell ref="E43:F43"/>
    <mergeCell ref="G43:N43"/>
    <mergeCell ref="E44:F44"/>
    <mergeCell ref="G44:N44"/>
    <mergeCell ref="E45:F45"/>
    <mergeCell ref="G45:N45"/>
    <mergeCell ref="E46:F46"/>
    <mergeCell ref="G46:N46"/>
    <mergeCell ref="G47:N47"/>
    <mergeCell ref="G48:N48"/>
    <mergeCell ref="E49:F49"/>
    <mergeCell ref="G49:N49"/>
  </mergeCells>
  <conditionalFormatting sqref="E20:E39">
    <cfRule type="expression" dxfId="55" priority="9" stopIfTrue="1">
      <formula>$L$6=EUconst_NotRelevant</formula>
    </cfRule>
  </conditionalFormatting>
  <hyperlinks>
    <hyperlink ref="E4:F4" location="JUMP_J2_Bottom" display="JUMP_J2_Bottom" xr:uid="{00000000-0004-0000-0C00-000000000000}"/>
    <hyperlink ref="E3:F3" location="JUMP_J2_Top" display="JUMP_J2_Top" xr:uid="{00000000-0004-0000-0C00-000001000000}"/>
    <hyperlink ref="G2:H2" location="JUMP_a_Content" display="Table of contents" xr:uid="{00000000-0004-0000-0C00-000002000000}"/>
    <hyperlink ref="I2:J2" location="JUMP_J_Top" display="JUMP_J_Top" xr:uid="{00000000-0004-0000-0C00-000003000000}"/>
    <hyperlink ref="F67:L67" location="JUMP_K_Top" display="JUMP_K_Top" xr:uid="{00000000-0004-0000-0C00-000004000000}"/>
    <hyperlink ref="K2:L2" location="JUMP_K_Top" display="JUMP_K_Top" xr:uid="{00000000-0004-0000-0C00-000005000000}"/>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indexed="13"/>
    <pageSetUpPr fitToPage="1"/>
  </sheetPr>
  <dimension ref="A1:W286"/>
  <sheetViews>
    <sheetView topLeftCell="B1" workbookViewId="0">
      <pane ySplit="4" topLeftCell="A5" activePane="bottomLeft" state="frozen"/>
      <selection activeCell="B2" sqref="B2"/>
      <selection pane="bottomLeft" activeCell="B2" sqref="B2:D4"/>
    </sheetView>
  </sheetViews>
  <sheetFormatPr defaultColWidth="9.140625" defaultRowHeight="12.75" x14ac:dyDescent="0.2"/>
  <cols>
    <col min="1" max="1" width="2.7109375" style="8" hidden="1" customWidth="1"/>
    <col min="2" max="2" width="2.7109375" style="8" customWidth="1"/>
    <col min="3" max="4" width="4.7109375" style="8" customWidth="1"/>
    <col min="5" max="5" width="12.7109375" style="78" customWidth="1"/>
    <col min="6" max="14" width="12.7109375" style="8" customWidth="1"/>
    <col min="15" max="15" width="4.7109375" style="8" customWidth="1"/>
    <col min="16" max="17" width="9.140625" style="8" hidden="1" customWidth="1"/>
    <col min="18" max="16384" width="9.140625" style="8"/>
  </cols>
  <sheetData>
    <row r="1" spans="1:17" ht="13.5" hidden="1" thickBot="1" x14ac:dyDescent="0.25">
      <c r="A1" s="17" t="s">
        <v>1090</v>
      </c>
      <c r="B1" s="72"/>
      <c r="C1" s="72"/>
      <c r="D1" s="75"/>
      <c r="E1" s="72"/>
      <c r="F1" s="72"/>
      <c r="G1" s="72"/>
      <c r="H1" s="72"/>
      <c r="I1" s="72"/>
      <c r="J1" s="72"/>
      <c r="K1" s="72"/>
      <c r="L1" s="72"/>
      <c r="M1" s="72"/>
      <c r="N1" s="72"/>
      <c r="O1" s="17"/>
      <c r="P1" s="17" t="s">
        <v>1090</v>
      </c>
      <c r="Q1" s="17" t="s">
        <v>1090</v>
      </c>
    </row>
    <row r="2" spans="1:17" ht="13.5" customHeight="1" thickBot="1" x14ac:dyDescent="0.25">
      <c r="A2" s="17"/>
      <c r="B2" s="803" t="str">
        <f>Translations!$B$722</f>
        <v>K.
Management Control</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P2" s="72"/>
      <c r="Q2" s="72"/>
    </row>
    <row r="3" spans="1:17" ht="12.75" customHeight="1" x14ac:dyDescent="0.2">
      <c r="A3" s="17"/>
      <c r="B3" s="806"/>
      <c r="C3" s="807"/>
      <c r="D3" s="808"/>
      <c r="E3" s="776" t="str">
        <f>Translations!$B$63</f>
        <v>Top of sheet</v>
      </c>
      <c r="F3" s="776"/>
      <c r="G3" s="776" t="str">
        <f>Translations!$B$37</f>
        <v xml:space="preserve">Management </v>
      </c>
      <c r="H3" s="776"/>
      <c r="I3" s="776" t="str">
        <f>Translations!$B$38</f>
        <v>Data flow activities</v>
      </c>
      <c r="J3" s="776"/>
      <c r="K3" s="776" t="str">
        <f>Translations!$B$39</f>
        <v>Control activities</v>
      </c>
      <c r="L3" s="776"/>
      <c r="M3" s="777"/>
      <c r="N3" s="778"/>
      <c r="P3" s="72"/>
      <c r="Q3" s="72"/>
    </row>
    <row r="4" spans="1:17" ht="13.5" customHeight="1" thickBot="1" x14ac:dyDescent="0.25">
      <c r="A4" s="17"/>
      <c r="B4" s="809"/>
      <c r="C4" s="810"/>
      <c r="D4" s="811"/>
      <c r="E4" s="776" t="str">
        <f>Translations!$B$64</f>
        <v>End of sheet</v>
      </c>
      <c r="F4" s="776"/>
      <c r="G4" s="776" t="str">
        <f>Translations!$B$723</f>
        <v>Definitions and abbreviations</v>
      </c>
      <c r="H4" s="776"/>
      <c r="I4" s="776" t="str">
        <f>Translations!$B$41</f>
        <v>Additional information</v>
      </c>
      <c r="J4" s="776"/>
      <c r="K4" s="776" t="str">
        <f>Translations!$B$1152</f>
        <v>Further procedures</v>
      </c>
      <c r="L4" s="776"/>
      <c r="M4" s="777"/>
      <c r="N4" s="778"/>
      <c r="P4" s="72"/>
      <c r="Q4" s="72"/>
    </row>
    <row r="5" spans="1:17" ht="12.75" customHeight="1" thickBot="1" x14ac:dyDescent="0.25">
      <c r="A5" s="72"/>
      <c r="C5" s="9"/>
      <c r="D5" s="10"/>
      <c r="E5" s="8"/>
      <c r="F5" s="10"/>
      <c r="G5" s="10"/>
      <c r="H5" s="10"/>
      <c r="M5" s="7"/>
      <c r="N5" s="7"/>
      <c r="P5" s="72"/>
      <c r="Q5" s="72"/>
    </row>
    <row r="6" spans="1:17" s="184" customFormat="1" ht="25.5" customHeight="1" thickBot="1" x14ac:dyDescent="0.25">
      <c r="A6" s="248"/>
      <c r="B6" s="34"/>
      <c r="C6" s="812" t="str">
        <f>Translations!$B$36</f>
        <v>K. Management &amp; Control</v>
      </c>
      <c r="D6" s="812"/>
      <c r="E6" s="812"/>
      <c r="F6" s="812"/>
      <c r="G6" s="812"/>
      <c r="H6" s="812"/>
      <c r="I6" s="812"/>
      <c r="J6" s="812"/>
      <c r="K6" s="812"/>
      <c r="L6" s="1000" t="str">
        <f>EUconst_Relevant</f>
        <v>relevant</v>
      </c>
      <c r="M6" s="1001"/>
      <c r="N6" s="1002"/>
      <c r="O6" s="36"/>
      <c r="P6" s="72"/>
      <c r="Q6" s="72"/>
    </row>
    <row r="7" spans="1:17" s="184" customFormat="1" ht="5.0999999999999996" customHeight="1" x14ac:dyDescent="0.2">
      <c r="A7" s="248"/>
      <c r="B7" s="34"/>
      <c r="C7" s="216"/>
      <c r="D7" s="221"/>
      <c r="E7" s="216"/>
      <c r="F7" s="216"/>
      <c r="G7" s="216"/>
      <c r="H7" s="216"/>
      <c r="I7" s="216"/>
      <c r="J7" s="216"/>
      <c r="K7" s="216"/>
      <c r="L7" s="219"/>
      <c r="M7" s="219"/>
      <c r="N7" s="219"/>
      <c r="O7" s="36"/>
      <c r="P7" s="72"/>
      <c r="Q7" s="72"/>
    </row>
    <row r="8" spans="1:17" x14ac:dyDescent="0.2">
      <c r="A8" s="65"/>
      <c r="C8" s="769" t="str">
        <f>Translations!$B$724</f>
        <v>This sheet is relevant for all types of installations</v>
      </c>
      <c r="D8" s="769"/>
      <c r="E8" s="769"/>
      <c r="F8" s="769"/>
      <c r="G8" s="769"/>
      <c r="H8" s="769"/>
      <c r="I8" s="769"/>
      <c r="J8" s="1249"/>
      <c r="K8" s="918" t="str">
        <f>IF(L6=EUconst_NotRelevant,HYPERLINK("#JUMP_L_Top",EUconst_MsgNextSheet),HYPERLINK("",EUconst_MsgEnterThisSection))</f>
        <v>Please enter data in this section</v>
      </c>
      <c r="L8" s="918"/>
      <c r="M8" s="918"/>
      <c r="N8" s="918"/>
      <c r="P8" s="72"/>
      <c r="Q8" s="72"/>
    </row>
    <row r="9" spans="1:17" x14ac:dyDescent="0.2">
      <c r="A9" s="72"/>
      <c r="B9" s="417"/>
      <c r="C9" s="417"/>
      <c r="D9" s="417"/>
      <c r="E9" s="430"/>
      <c r="F9" s="417"/>
      <c r="G9" s="417"/>
      <c r="H9" s="417"/>
      <c r="I9" s="417"/>
      <c r="J9" s="417"/>
      <c r="K9" s="417"/>
      <c r="L9" s="417"/>
      <c r="M9" s="417"/>
      <c r="N9" s="417"/>
      <c r="P9" s="72"/>
      <c r="Q9" s="72"/>
    </row>
    <row r="10" spans="1:17" s="34" customFormat="1" ht="18.75" customHeight="1" x14ac:dyDescent="0.2">
      <c r="A10" s="76"/>
      <c r="B10" s="414"/>
      <c r="C10" s="53">
        <v>20</v>
      </c>
      <c r="D10" s="884" t="str">
        <f>Translations!$B$37</f>
        <v xml:space="preserve">Management </v>
      </c>
      <c r="E10" s="884"/>
      <c r="F10" s="884"/>
      <c r="G10" s="884"/>
      <c r="H10" s="884"/>
      <c r="I10" s="884"/>
      <c r="J10" s="884"/>
      <c r="K10" s="884"/>
      <c r="L10" s="884"/>
      <c r="M10" s="884"/>
      <c r="N10" s="884"/>
      <c r="O10" s="8"/>
      <c r="P10" s="72"/>
      <c r="Q10" s="72"/>
    </row>
    <row r="11" spans="1:17" x14ac:dyDescent="0.2">
      <c r="A11" s="72"/>
      <c r="B11" s="417"/>
      <c r="C11" s="417"/>
      <c r="D11" s="417"/>
      <c r="E11" s="440"/>
      <c r="F11" s="316"/>
      <c r="G11" s="316"/>
      <c r="H11" s="316"/>
      <c r="I11" s="316"/>
      <c r="J11" s="316"/>
      <c r="K11" s="316"/>
      <c r="L11" s="316"/>
      <c r="M11" s="316"/>
      <c r="N11" s="417"/>
      <c r="P11" s="72"/>
      <c r="Q11" s="72"/>
    </row>
    <row r="12" spans="1:17" ht="12.75" customHeight="1" x14ac:dyDescent="0.2">
      <c r="A12" s="72"/>
      <c r="B12" s="417"/>
      <c r="C12" s="417"/>
      <c r="D12" s="68" t="s">
        <v>1018</v>
      </c>
      <c r="E12" s="949" t="str">
        <f>Translations!$B$1216</f>
        <v>Please identify the responsibilities for monitoring and reporting emissions from the installation, in accordance with Article 62 of the MRR.</v>
      </c>
      <c r="F12" s="949"/>
      <c r="G12" s="949"/>
      <c r="H12" s="949"/>
      <c r="I12" s="949"/>
      <c r="J12" s="949"/>
      <c r="K12" s="949"/>
      <c r="L12" s="949"/>
      <c r="M12" s="949"/>
      <c r="N12" s="949"/>
      <c r="O12" s="417"/>
      <c r="P12" s="72"/>
      <c r="Q12" s="72"/>
    </row>
    <row r="13" spans="1:17" ht="25.5" customHeight="1" x14ac:dyDescent="0.2">
      <c r="A13" s="109" t="s">
        <v>904</v>
      </c>
      <c r="B13" s="443"/>
      <c r="C13" s="443"/>
      <c r="D13" s="134"/>
      <c r="E13" s="1191" t="str">
        <f>Translations!$B$726</f>
        <v>Please identify the relevant job titles/posts and provide a succinct summary of their role relevant to monitoring and reporting. Only those with overall responsibility and other key roles should be listed below (i.e. do not include delegated responsibilities).</v>
      </c>
      <c r="F13" s="1191"/>
      <c r="G13" s="1191"/>
      <c r="H13" s="1191"/>
      <c r="I13" s="1191"/>
      <c r="J13" s="1191"/>
      <c r="K13" s="1191"/>
      <c r="L13" s="1191"/>
      <c r="M13" s="1191"/>
      <c r="N13" s="1191"/>
      <c r="O13" s="417"/>
      <c r="P13" s="227"/>
      <c r="Q13" s="72"/>
    </row>
    <row r="14" spans="1:17" ht="18.75" customHeight="1" x14ac:dyDescent="0.2">
      <c r="A14" s="72"/>
      <c r="B14" s="417"/>
      <c r="C14" s="417"/>
      <c r="D14" s="134"/>
      <c r="E14" s="1191" t="str">
        <f>Translations!$B$727</f>
        <v>These could be outlined in a tree diagram or organisational chart attached to your submission</v>
      </c>
      <c r="F14" s="1191"/>
      <c r="G14" s="1191"/>
      <c r="H14" s="1191"/>
      <c r="I14" s="1191"/>
      <c r="J14" s="1191"/>
      <c r="K14" s="1191"/>
      <c r="L14" s="1191"/>
      <c r="M14" s="1191"/>
      <c r="N14" s="1191"/>
      <c r="O14" s="417"/>
      <c r="P14" s="72"/>
      <c r="Q14" s="72"/>
    </row>
    <row r="15" spans="1:17" ht="18.75" customHeight="1" x14ac:dyDescent="0.2">
      <c r="A15" s="72"/>
      <c r="B15" s="417"/>
      <c r="C15" s="417"/>
      <c r="D15" s="134"/>
      <c r="E15" s="1191" t="str">
        <f>Translations!$B$728</f>
        <v>If the data flow (and audit trail) is complete, all responsibilities should be found in descriptions of procedures and no further persons need to be added.</v>
      </c>
      <c r="F15" s="1191"/>
      <c r="G15" s="1191"/>
      <c r="H15" s="1191"/>
      <c r="I15" s="1191"/>
      <c r="J15" s="1191"/>
      <c r="K15" s="1191"/>
      <c r="L15" s="1191"/>
      <c r="M15" s="1191"/>
      <c r="N15" s="1191"/>
      <c r="O15" s="417"/>
      <c r="P15" s="72"/>
      <c r="Q15" s="72"/>
    </row>
    <row r="16" spans="1:17" ht="12.75" customHeight="1" x14ac:dyDescent="0.2">
      <c r="A16" s="72"/>
      <c r="B16" s="417"/>
      <c r="C16" s="417"/>
      <c r="D16" s="430"/>
      <c r="E16" s="879" t="str">
        <f>Translations!$B$729</f>
        <v>Job title/post</v>
      </c>
      <c r="F16" s="905"/>
      <c r="G16" s="906"/>
      <c r="H16" s="926" t="str">
        <f>Translations!$B$730</f>
        <v>Responsibilities</v>
      </c>
      <c r="I16" s="927"/>
      <c r="J16" s="927"/>
      <c r="K16" s="927"/>
      <c r="L16" s="927"/>
      <c r="M16" s="927"/>
      <c r="N16" s="927"/>
      <c r="O16" s="417"/>
      <c r="P16" s="72"/>
      <c r="Q16" s="72"/>
    </row>
    <row r="17" spans="1:17" ht="12.75" customHeight="1" x14ac:dyDescent="0.2">
      <c r="A17" s="72"/>
      <c r="B17" s="417"/>
      <c r="C17" s="417"/>
      <c r="D17" s="430"/>
      <c r="E17" s="870"/>
      <c r="F17" s="1036"/>
      <c r="G17" s="972"/>
      <c r="H17" s="817"/>
      <c r="I17" s="817"/>
      <c r="J17" s="817"/>
      <c r="K17" s="817"/>
      <c r="L17" s="817"/>
      <c r="M17" s="817"/>
      <c r="N17" s="817"/>
      <c r="O17" s="417"/>
      <c r="P17" s="72"/>
      <c r="Q17" s="72"/>
    </row>
    <row r="18" spans="1:17" x14ac:dyDescent="0.2">
      <c r="A18" s="72"/>
      <c r="B18" s="417"/>
      <c r="C18" s="417"/>
      <c r="D18" s="430"/>
      <c r="E18" s="870"/>
      <c r="F18" s="1036"/>
      <c r="G18" s="972"/>
      <c r="H18" s="817"/>
      <c r="I18" s="817"/>
      <c r="J18" s="817"/>
      <c r="K18" s="817"/>
      <c r="L18" s="817"/>
      <c r="M18" s="817"/>
      <c r="N18" s="817"/>
      <c r="O18" s="417"/>
      <c r="P18" s="72"/>
      <c r="Q18" s="72"/>
    </row>
    <row r="19" spans="1:17" x14ac:dyDescent="0.2">
      <c r="A19" s="72"/>
      <c r="B19" s="417"/>
      <c r="C19" s="417"/>
      <c r="D19" s="430"/>
      <c r="E19" s="870"/>
      <c r="F19" s="1036"/>
      <c r="G19" s="972"/>
      <c r="H19" s="817"/>
      <c r="I19" s="817"/>
      <c r="J19" s="817"/>
      <c r="K19" s="817"/>
      <c r="L19" s="817"/>
      <c r="M19" s="817"/>
      <c r="N19" s="817"/>
      <c r="O19" s="417"/>
      <c r="P19" s="72"/>
      <c r="Q19" s="72"/>
    </row>
    <row r="20" spans="1:17" x14ac:dyDescent="0.2">
      <c r="A20" s="72"/>
      <c r="B20" s="417"/>
      <c r="C20" s="417"/>
      <c r="D20" s="430"/>
      <c r="E20" s="870"/>
      <c r="F20" s="1036"/>
      <c r="G20" s="972"/>
      <c r="H20" s="817"/>
      <c r="I20" s="817"/>
      <c r="J20" s="817"/>
      <c r="K20" s="817"/>
      <c r="L20" s="817"/>
      <c r="M20" s="817"/>
      <c r="N20" s="817"/>
      <c r="O20" s="417"/>
      <c r="P20" s="72"/>
      <c r="Q20" s="72"/>
    </row>
    <row r="21" spans="1:17" x14ac:dyDescent="0.2">
      <c r="A21" s="72"/>
      <c r="B21" s="417"/>
      <c r="C21" s="417"/>
      <c r="D21" s="430"/>
      <c r="E21" s="870"/>
      <c r="F21" s="1036"/>
      <c r="G21" s="972"/>
      <c r="H21" s="817"/>
      <c r="I21" s="817"/>
      <c r="J21" s="817"/>
      <c r="K21" s="817"/>
      <c r="L21" s="817"/>
      <c r="M21" s="817"/>
      <c r="N21" s="817"/>
      <c r="O21" s="417"/>
      <c r="P21" s="72"/>
      <c r="Q21" s="72"/>
    </row>
    <row r="22" spans="1:17" ht="12.75" customHeight="1" x14ac:dyDescent="0.2">
      <c r="A22" s="72"/>
      <c r="B22" s="417"/>
      <c r="C22" s="417"/>
      <c r="D22" s="430"/>
      <c r="E22" s="870"/>
      <c r="F22" s="1036"/>
      <c r="G22" s="972"/>
      <c r="H22" s="817"/>
      <c r="I22" s="817"/>
      <c r="J22" s="817"/>
      <c r="K22" s="817"/>
      <c r="L22" s="817"/>
      <c r="M22" s="817"/>
      <c r="N22" s="817"/>
      <c r="O22" s="417"/>
      <c r="P22" s="72"/>
      <c r="Q22" s="72"/>
    </row>
    <row r="23" spans="1:17" x14ac:dyDescent="0.2">
      <c r="A23" s="72"/>
      <c r="B23" s="417"/>
      <c r="C23" s="417"/>
      <c r="D23" s="430"/>
      <c r="E23" s="870"/>
      <c r="F23" s="1036"/>
      <c r="G23" s="972"/>
      <c r="H23" s="817"/>
      <c r="I23" s="817"/>
      <c r="J23" s="817"/>
      <c r="K23" s="817"/>
      <c r="L23" s="817"/>
      <c r="M23" s="817"/>
      <c r="N23" s="817"/>
      <c r="O23" s="417"/>
      <c r="P23" s="72"/>
      <c r="Q23" s="72"/>
    </row>
    <row r="24" spans="1:17" x14ac:dyDescent="0.2">
      <c r="A24" s="72"/>
      <c r="B24" s="417"/>
      <c r="C24" s="417"/>
      <c r="D24" s="430"/>
      <c r="E24" s="870"/>
      <c r="F24" s="1036"/>
      <c r="G24" s="972"/>
      <c r="H24" s="817"/>
      <c r="I24" s="817"/>
      <c r="J24" s="817"/>
      <c r="K24" s="817"/>
      <c r="L24" s="817"/>
      <c r="M24" s="817"/>
      <c r="N24" s="817"/>
      <c r="O24" s="417"/>
      <c r="P24" s="72"/>
      <c r="Q24" s="72"/>
    </row>
    <row r="25" spans="1:17" x14ac:dyDescent="0.2">
      <c r="A25" s="72"/>
      <c r="B25" s="417"/>
      <c r="C25" s="417"/>
      <c r="D25" s="430"/>
      <c r="E25" s="870"/>
      <c r="F25" s="1036"/>
      <c r="G25" s="972"/>
      <c r="H25" s="817"/>
      <c r="I25" s="817"/>
      <c r="J25" s="817"/>
      <c r="K25" s="817"/>
      <c r="L25" s="817"/>
      <c r="M25" s="817"/>
      <c r="N25" s="817"/>
      <c r="O25" s="417"/>
      <c r="P25" s="72"/>
      <c r="Q25" s="72"/>
    </row>
    <row r="26" spans="1:17" x14ac:dyDescent="0.2">
      <c r="A26" s="72"/>
      <c r="B26" s="417"/>
      <c r="C26" s="417"/>
      <c r="D26" s="430"/>
      <c r="E26" s="870"/>
      <c r="F26" s="1036"/>
      <c r="G26" s="972"/>
      <c r="H26" s="817"/>
      <c r="I26" s="817"/>
      <c r="J26" s="817"/>
      <c r="K26" s="817"/>
      <c r="L26" s="817"/>
      <c r="M26" s="817"/>
      <c r="N26" s="817"/>
      <c r="O26" s="417"/>
      <c r="P26" s="72"/>
      <c r="Q26" s="72"/>
    </row>
    <row r="27" spans="1:17" x14ac:dyDescent="0.2">
      <c r="A27" s="72"/>
      <c r="B27" s="417"/>
      <c r="C27" s="417"/>
      <c r="D27" s="440"/>
      <c r="E27" s="316"/>
      <c r="F27" s="316"/>
      <c r="G27" s="316"/>
      <c r="H27" s="316"/>
      <c r="I27" s="316"/>
      <c r="J27" s="316"/>
      <c r="K27" s="316"/>
      <c r="L27" s="316"/>
      <c r="M27" s="417"/>
      <c r="N27" s="417"/>
      <c r="O27" s="417"/>
      <c r="P27" s="72"/>
      <c r="Q27" s="72"/>
    </row>
    <row r="28" spans="1:17" ht="25.5" customHeight="1" x14ac:dyDescent="0.2">
      <c r="A28" s="109" t="s">
        <v>905</v>
      </c>
      <c r="B28" s="443"/>
      <c r="C28" s="443"/>
      <c r="D28" s="68" t="s">
        <v>1020</v>
      </c>
      <c r="E28" s="949" t="str">
        <f>Translations!$B$1217</f>
        <v>Please provide details about the procedure used for managing the assignment of responsibilities for monitoring and reporting within the installation and for managing the competencies of responsible personnel, in accordance with Article 59(3)(c) of the MRR.</v>
      </c>
      <c r="F28" s="949"/>
      <c r="G28" s="949"/>
      <c r="H28" s="949"/>
      <c r="I28" s="949"/>
      <c r="J28" s="949"/>
      <c r="K28" s="949"/>
      <c r="L28" s="949"/>
      <c r="M28" s="949"/>
      <c r="N28" s="949"/>
      <c r="O28" s="417"/>
      <c r="P28" s="95"/>
      <c r="Q28" s="72"/>
    </row>
    <row r="29" spans="1:17" ht="25.5" customHeight="1" x14ac:dyDescent="0.2">
      <c r="A29" s="109"/>
      <c r="B29" s="443"/>
      <c r="C29" s="443"/>
      <c r="D29" s="68"/>
      <c r="E29" s="1191" t="str">
        <f>Translations!$B$732</f>
        <v>This procedure should identify how the monitoring and reporting responsibilities for the roles identified above are assigned and how training and reviews are undertaken and how duties are segregated such that all relevant data is confirmed by a person not involved with the recording and collection of the data.</v>
      </c>
      <c r="F29" s="1191"/>
      <c r="G29" s="1191"/>
      <c r="H29" s="1191"/>
      <c r="I29" s="1191"/>
      <c r="J29" s="1191"/>
      <c r="K29" s="1191"/>
      <c r="L29" s="1191"/>
      <c r="M29" s="1191"/>
      <c r="N29" s="1191"/>
      <c r="O29" s="417"/>
      <c r="P29" s="72"/>
      <c r="Q29" s="72"/>
    </row>
    <row r="30" spans="1:17" ht="5.0999999999999996" customHeight="1" x14ac:dyDescent="0.2">
      <c r="A30" s="72"/>
      <c r="B30" s="417"/>
      <c r="C30" s="417"/>
      <c r="D30" s="417"/>
      <c r="E30" s="67"/>
      <c r="F30" s="437"/>
      <c r="G30" s="437"/>
      <c r="H30" s="437"/>
      <c r="I30" s="437"/>
      <c r="J30" s="437"/>
      <c r="K30" s="437"/>
      <c r="L30" s="437"/>
      <c r="M30" s="417"/>
      <c r="N30" s="417"/>
      <c r="O30" s="417"/>
      <c r="P30" s="72"/>
      <c r="Q30" s="72"/>
    </row>
    <row r="31" spans="1:17" ht="12.75" customHeight="1" x14ac:dyDescent="0.2">
      <c r="A31" s="17" t="s">
        <v>1373</v>
      </c>
      <c r="B31" s="417"/>
      <c r="C31" s="417"/>
      <c r="D31" s="417"/>
      <c r="E31" s="911" t="str">
        <f>Translations!$B$405</f>
        <v>Title of procedure</v>
      </c>
      <c r="F31" s="913"/>
      <c r="G31" s="919" t="str">
        <f>Translations!$B$733</f>
        <v>ETS personnel management</v>
      </c>
      <c r="H31" s="919"/>
      <c r="I31" s="919"/>
      <c r="J31" s="919"/>
      <c r="K31" s="919"/>
      <c r="L31" s="919"/>
      <c r="M31" s="919"/>
      <c r="N31" s="919"/>
      <c r="O31" s="417"/>
      <c r="P31" s="91"/>
      <c r="Q31" s="72"/>
    </row>
    <row r="32" spans="1:17" ht="12.75" customHeight="1" x14ac:dyDescent="0.2">
      <c r="A32" s="17" t="s">
        <v>1373</v>
      </c>
      <c r="B32" s="417"/>
      <c r="C32" s="417"/>
      <c r="D32" s="417"/>
      <c r="E32" s="911" t="str">
        <f>Translations!$B$407</f>
        <v>Reference for procedure</v>
      </c>
      <c r="F32" s="913"/>
      <c r="G32" s="919"/>
      <c r="H32" s="919"/>
      <c r="I32" s="919"/>
      <c r="J32" s="919"/>
      <c r="K32" s="919"/>
      <c r="L32" s="919"/>
      <c r="M32" s="919"/>
      <c r="N32" s="919"/>
      <c r="O32" s="417"/>
      <c r="P32" s="72"/>
      <c r="Q32" s="72"/>
    </row>
    <row r="33" spans="1:17" ht="12.75" customHeight="1" x14ac:dyDescent="0.2">
      <c r="A33" s="17" t="s">
        <v>1373</v>
      </c>
      <c r="B33" s="417"/>
      <c r="C33" s="417"/>
      <c r="D33" s="417"/>
      <c r="E33" s="911" t="str">
        <f>Translations!$B$409</f>
        <v>Diagram reference (where applicable)</v>
      </c>
      <c r="F33" s="913"/>
      <c r="G33" s="919"/>
      <c r="H33" s="919"/>
      <c r="I33" s="919"/>
      <c r="J33" s="919"/>
      <c r="K33" s="919"/>
      <c r="L33" s="919"/>
      <c r="M33" s="919"/>
      <c r="N33" s="919"/>
      <c r="O33" s="417"/>
      <c r="P33" s="72"/>
      <c r="Q33" s="72"/>
    </row>
    <row r="34" spans="1:17" ht="25.5" customHeight="1" x14ac:dyDescent="0.2">
      <c r="A34" s="17" t="s">
        <v>1373</v>
      </c>
      <c r="B34" s="417"/>
      <c r="C34" s="417"/>
      <c r="D34" s="417"/>
      <c r="E34" s="1225" t="str">
        <f>Translations!$B$411</f>
        <v xml:space="preserve">Brief description of procedure    </v>
      </c>
      <c r="F34" s="1226"/>
      <c r="G34" s="1225" t="str">
        <f>Translations!$B$734</f>
        <v xml:space="preserve">• Responsible person maintains a list of personnel involved in ETS data management
</v>
      </c>
      <c r="H34" s="1231"/>
      <c r="I34" s="1231"/>
      <c r="J34" s="1231"/>
      <c r="K34" s="1231"/>
      <c r="L34" s="1231"/>
      <c r="M34" s="1231"/>
      <c r="N34" s="1226"/>
      <c r="O34" s="417"/>
      <c r="P34" s="72"/>
      <c r="Q34" s="72"/>
    </row>
    <row r="35" spans="1:17" ht="25.5" customHeight="1" x14ac:dyDescent="0.2">
      <c r="A35" s="17" t="s">
        <v>1373</v>
      </c>
      <c r="B35" s="417"/>
      <c r="C35" s="417"/>
      <c r="D35" s="417"/>
      <c r="E35" s="1227"/>
      <c r="F35" s="1228"/>
      <c r="G35" s="1227" t="str">
        <f>Translations!$B$735</f>
        <v xml:space="preserve">• Responsible person holds at least one meeting per year with each involved person, at least 4 meetings with key staff as defined in the annex of the procedure; Aim: Identification of training needs </v>
      </c>
      <c r="H35" s="1234"/>
      <c r="I35" s="1234"/>
      <c r="J35" s="1234"/>
      <c r="K35" s="1234"/>
      <c r="L35" s="1234"/>
      <c r="M35" s="1234"/>
      <c r="N35" s="1228"/>
      <c r="O35" s="417"/>
      <c r="P35" s="72"/>
      <c r="Q35" s="72"/>
    </row>
    <row r="36" spans="1:17" ht="25.5" customHeight="1" x14ac:dyDescent="0.2">
      <c r="A36" s="17" t="s">
        <v>1373</v>
      </c>
      <c r="B36" s="417"/>
      <c r="C36" s="417"/>
      <c r="D36" s="417"/>
      <c r="E36" s="1229"/>
      <c r="F36" s="1230"/>
      <c r="G36" s="1229" t="str">
        <f>Translations!$B$736</f>
        <v>• Responsible person manages internal and external training according to identified needs.</v>
      </c>
      <c r="H36" s="1232"/>
      <c r="I36" s="1232"/>
      <c r="J36" s="1232"/>
      <c r="K36" s="1232"/>
      <c r="L36" s="1232"/>
      <c r="M36" s="1232"/>
      <c r="N36" s="1230"/>
      <c r="O36" s="417"/>
      <c r="P36" s="72"/>
      <c r="Q36" s="72"/>
    </row>
    <row r="37" spans="1:17" ht="25.5" customHeight="1" x14ac:dyDescent="0.2">
      <c r="A37" s="17" t="s">
        <v>1373</v>
      </c>
      <c r="B37" s="417"/>
      <c r="C37" s="417"/>
      <c r="D37" s="417"/>
      <c r="E37" s="911" t="str">
        <f>Translations!$B$414</f>
        <v>Post or department responsible for the procedure and for any data generated</v>
      </c>
      <c r="F37" s="913"/>
      <c r="G37" s="919" t="str">
        <f>Translations!$B$737</f>
        <v>HSEQ deputy head of unit</v>
      </c>
      <c r="H37" s="919"/>
      <c r="I37" s="919"/>
      <c r="J37" s="919"/>
      <c r="K37" s="919"/>
      <c r="L37" s="919"/>
      <c r="M37" s="919"/>
      <c r="N37" s="919"/>
      <c r="O37" s="417"/>
      <c r="P37" s="72"/>
      <c r="Q37" s="72"/>
    </row>
    <row r="38" spans="1:17" ht="12.75" customHeight="1" x14ac:dyDescent="0.2">
      <c r="A38" s="17" t="s">
        <v>1373</v>
      </c>
      <c r="B38" s="417"/>
      <c r="C38" s="417"/>
      <c r="D38" s="417"/>
      <c r="E38" s="911" t="str">
        <f>Translations!$B$416</f>
        <v>Location where records are kept</v>
      </c>
      <c r="F38" s="913"/>
      <c r="G38" s="919" t="str">
        <f>Translations!$B$738</f>
        <v xml:space="preserve">Hardcopy: HSEQ Office, shelf 27/9, Folder identified “ETS 01-P”. Electronically: “P:\ETS_MRV\manag\ETS_01-P.xls”
</v>
      </c>
      <c r="H38" s="919"/>
      <c r="I38" s="919"/>
      <c r="J38" s="919"/>
      <c r="K38" s="919"/>
      <c r="L38" s="919"/>
      <c r="M38" s="919"/>
      <c r="N38" s="919"/>
      <c r="O38" s="417"/>
      <c r="P38" s="72"/>
      <c r="Q38" s="72"/>
    </row>
    <row r="39" spans="1:17" ht="25.5" customHeight="1" x14ac:dyDescent="0.2">
      <c r="A39" s="17" t="s">
        <v>1373</v>
      </c>
      <c r="B39" s="417"/>
      <c r="C39" s="417"/>
      <c r="D39" s="417"/>
      <c r="E39" s="911" t="str">
        <f>Translations!$B$418</f>
        <v>Name of IT system used (where applicable).</v>
      </c>
      <c r="F39" s="913"/>
      <c r="G39" s="919" t="str">
        <f>Translations!$B$739</f>
        <v>N.A. (Normal network drives)</v>
      </c>
      <c r="H39" s="919"/>
      <c r="I39" s="919"/>
      <c r="J39" s="919"/>
      <c r="K39" s="919"/>
      <c r="L39" s="919"/>
      <c r="M39" s="919"/>
      <c r="N39" s="919"/>
      <c r="O39" s="417"/>
      <c r="P39" s="72"/>
      <c r="Q39" s="72"/>
    </row>
    <row r="40" spans="1:17" ht="25.5" customHeight="1" x14ac:dyDescent="0.2">
      <c r="A40" s="17" t="s">
        <v>1373</v>
      </c>
      <c r="B40" s="417"/>
      <c r="C40" s="417"/>
      <c r="D40" s="417"/>
      <c r="E40" s="911" t="str">
        <f>Translations!$B$420</f>
        <v>List of EN or other standards applied (where relevant)</v>
      </c>
      <c r="F40" s="913"/>
      <c r="G40" s="919" t="str">
        <f>Translations!$B$410</f>
        <v>N.A.</v>
      </c>
      <c r="H40" s="919"/>
      <c r="I40" s="919"/>
      <c r="J40" s="919"/>
      <c r="K40" s="919"/>
      <c r="L40" s="919"/>
      <c r="M40" s="919"/>
      <c r="N40" s="919"/>
      <c r="O40" s="417"/>
      <c r="P40" s="72"/>
      <c r="Q40" s="72"/>
    </row>
    <row r="41" spans="1:17" ht="12.75" customHeight="1" x14ac:dyDescent="0.2">
      <c r="A41" s="72"/>
      <c r="B41" s="417"/>
      <c r="C41" s="417"/>
      <c r="D41" s="417"/>
      <c r="E41" s="911" t="str">
        <f>Translations!$B$405</f>
        <v>Title of procedure</v>
      </c>
      <c r="F41" s="913"/>
      <c r="G41" s="1233"/>
      <c r="H41" s="1233"/>
      <c r="I41" s="1233"/>
      <c r="J41" s="1233"/>
      <c r="K41" s="1233"/>
      <c r="L41" s="1233"/>
      <c r="M41" s="1233"/>
      <c r="N41" s="1233"/>
      <c r="O41" s="417"/>
      <c r="P41" s="72"/>
      <c r="Q41" s="72"/>
    </row>
    <row r="42" spans="1:17" ht="12.75" customHeight="1" x14ac:dyDescent="0.2">
      <c r="A42" s="72"/>
      <c r="B42" s="417"/>
      <c r="C42" s="417"/>
      <c r="D42" s="417"/>
      <c r="E42" s="1102" t="str">
        <f>Translations!$B$407</f>
        <v>Reference for procedure</v>
      </c>
      <c r="F42" s="1218"/>
      <c r="G42" s="817"/>
      <c r="H42" s="817"/>
      <c r="I42" s="817"/>
      <c r="J42" s="817"/>
      <c r="K42" s="817"/>
      <c r="L42" s="817"/>
      <c r="M42" s="817"/>
      <c r="N42" s="817"/>
      <c r="O42" s="417"/>
      <c r="P42" s="72"/>
      <c r="Q42" s="72"/>
    </row>
    <row r="43" spans="1:17" ht="12.75" customHeight="1" x14ac:dyDescent="0.2">
      <c r="A43" s="72"/>
      <c r="B43" s="417"/>
      <c r="C43" s="417"/>
      <c r="D43" s="417"/>
      <c r="E43" s="1102" t="str">
        <f>Translations!$B$409</f>
        <v>Diagram reference (where applicable)</v>
      </c>
      <c r="F43" s="1218"/>
      <c r="G43" s="817"/>
      <c r="H43" s="817"/>
      <c r="I43" s="817"/>
      <c r="J43" s="817"/>
      <c r="K43" s="817"/>
      <c r="L43" s="817"/>
      <c r="M43" s="817"/>
      <c r="N43" s="817"/>
      <c r="O43" s="417"/>
      <c r="P43" s="72"/>
      <c r="Q43" s="72"/>
    </row>
    <row r="44" spans="1:17" ht="25.5" customHeight="1" x14ac:dyDescent="0.2">
      <c r="A44" s="72"/>
      <c r="B44" s="417"/>
      <c r="C44" s="417"/>
      <c r="D44" s="417"/>
      <c r="E44" s="1104" t="str">
        <f>Translations!$B$411</f>
        <v xml:space="preserve">Brief description of procedure    </v>
      </c>
      <c r="F44" s="1219"/>
      <c r="G44" s="936"/>
      <c r="H44" s="937"/>
      <c r="I44" s="937"/>
      <c r="J44" s="937"/>
      <c r="K44" s="937"/>
      <c r="L44" s="937"/>
      <c r="M44" s="937"/>
      <c r="N44" s="938"/>
      <c r="O44" s="417"/>
      <c r="P44" s="72"/>
      <c r="Q44" s="72"/>
    </row>
    <row r="45" spans="1:17" ht="25.5" customHeight="1" x14ac:dyDescent="0.2">
      <c r="A45" s="72"/>
      <c r="B45" s="417"/>
      <c r="C45" s="417"/>
      <c r="D45" s="417"/>
      <c r="E45" s="1220"/>
      <c r="F45" s="1221"/>
      <c r="G45" s="863"/>
      <c r="H45" s="864"/>
      <c r="I45" s="864"/>
      <c r="J45" s="864"/>
      <c r="K45" s="864"/>
      <c r="L45" s="864"/>
      <c r="M45" s="864"/>
      <c r="N45" s="865"/>
      <c r="O45" s="417"/>
      <c r="P45" s="72"/>
      <c r="Q45" s="72"/>
    </row>
    <row r="46" spans="1:17" ht="25.5" customHeight="1" x14ac:dyDescent="0.2">
      <c r="A46" s="72"/>
      <c r="B46" s="417"/>
      <c r="C46" s="417"/>
      <c r="D46" s="417"/>
      <c r="E46" s="1222"/>
      <c r="F46" s="1223"/>
      <c r="G46" s="866"/>
      <c r="H46" s="867"/>
      <c r="I46" s="867"/>
      <c r="J46" s="867"/>
      <c r="K46" s="867"/>
      <c r="L46" s="867"/>
      <c r="M46" s="867"/>
      <c r="N46" s="868"/>
      <c r="O46" s="417"/>
      <c r="P46" s="72"/>
      <c r="Q46" s="72"/>
    </row>
    <row r="47" spans="1:17" ht="25.5" customHeight="1" x14ac:dyDescent="0.2">
      <c r="A47" s="72"/>
      <c r="B47" s="417"/>
      <c r="C47" s="417"/>
      <c r="D47" s="417"/>
      <c r="E47" s="1102" t="str">
        <f>Translations!$B$414</f>
        <v>Post or department responsible for the procedure and for any data generated</v>
      </c>
      <c r="F47" s="1218"/>
      <c r="G47" s="817"/>
      <c r="H47" s="817"/>
      <c r="I47" s="817"/>
      <c r="J47" s="817"/>
      <c r="K47" s="817"/>
      <c r="L47" s="817"/>
      <c r="M47" s="817"/>
      <c r="N47" s="817"/>
      <c r="O47" s="417"/>
      <c r="P47" s="72"/>
      <c r="Q47" s="72"/>
    </row>
    <row r="48" spans="1:17" ht="12.75" customHeight="1" x14ac:dyDescent="0.2">
      <c r="A48" s="72"/>
      <c r="B48" s="417"/>
      <c r="C48" s="417"/>
      <c r="D48" s="417"/>
      <c r="E48" s="1102" t="str">
        <f>Translations!$B$416</f>
        <v>Location where records are kept</v>
      </c>
      <c r="F48" s="1218"/>
      <c r="G48" s="817"/>
      <c r="H48" s="817"/>
      <c r="I48" s="817"/>
      <c r="J48" s="817"/>
      <c r="K48" s="817"/>
      <c r="L48" s="817"/>
      <c r="M48" s="817"/>
      <c r="N48" s="817"/>
      <c r="O48" s="417"/>
      <c r="P48" s="72"/>
      <c r="Q48" s="72"/>
    </row>
    <row r="49" spans="1:17" ht="25.5" customHeight="1" x14ac:dyDescent="0.2">
      <c r="A49" s="72"/>
      <c r="B49" s="417"/>
      <c r="C49" s="417"/>
      <c r="D49" s="417"/>
      <c r="E49" s="1102" t="str">
        <f>Translations!$B$418</f>
        <v>Name of IT system used (where applicable).</v>
      </c>
      <c r="F49" s="1218"/>
      <c r="G49" s="817"/>
      <c r="H49" s="817"/>
      <c r="I49" s="817"/>
      <c r="J49" s="817"/>
      <c r="K49" s="817"/>
      <c r="L49" s="817"/>
      <c r="M49" s="817"/>
      <c r="N49" s="817"/>
      <c r="O49" s="417"/>
      <c r="P49" s="72"/>
      <c r="Q49" s="72"/>
    </row>
    <row r="50" spans="1:17" ht="25.5" customHeight="1" x14ac:dyDescent="0.2">
      <c r="A50" s="72"/>
      <c r="B50" s="417"/>
      <c r="C50" s="417"/>
      <c r="D50" s="417"/>
      <c r="E50" s="1102" t="str">
        <f>Translations!$B$420</f>
        <v>List of EN or other standards applied (where relevant)</v>
      </c>
      <c r="F50" s="1218"/>
      <c r="G50" s="817"/>
      <c r="H50" s="817"/>
      <c r="I50" s="817"/>
      <c r="J50" s="817"/>
      <c r="K50" s="817"/>
      <c r="L50" s="817"/>
      <c r="M50" s="817"/>
      <c r="N50" s="817"/>
      <c r="O50" s="417"/>
      <c r="P50" s="72"/>
      <c r="Q50" s="72"/>
    </row>
    <row r="51" spans="1:17" x14ac:dyDescent="0.2">
      <c r="A51" s="84"/>
      <c r="B51" s="316"/>
      <c r="C51" s="316"/>
      <c r="D51" s="316"/>
      <c r="E51" s="316"/>
      <c r="F51" s="316"/>
      <c r="G51" s="316"/>
      <c r="H51" s="316"/>
      <c r="I51" s="316"/>
      <c r="J51" s="316"/>
      <c r="K51" s="417"/>
      <c r="L51" s="417"/>
      <c r="M51" s="417"/>
      <c r="N51" s="417"/>
      <c r="O51" s="417"/>
      <c r="P51" s="72"/>
      <c r="Q51" s="72"/>
    </row>
    <row r="52" spans="1:17" ht="27.75" customHeight="1" x14ac:dyDescent="0.2">
      <c r="A52" s="109"/>
      <c r="B52" s="443"/>
      <c r="C52" s="443"/>
      <c r="D52" s="68" t="s">
        <v>642</v>
      </c>
      <c r="E52" s="949" t="str">
        <f>Translations!$B$740</f>
        <v>Please provide details about the procedure used for regular evaluation of the monitoring plan's appropriateness, covering in particular any potential measures for the improvement of the monitoring methodology.</v>
      </c>
      <c r="F52" s="949"/>
      <c r="G52" s="949"/>
      <c r="H52" s="949"/>
      <c r="I52" s="949"/>
      <c r="J52" s="949"/>
      <c r="K52" s="949"/>
      <c r="L52" s="949"/>
      <c r="M52" s="949"/>
      <c r="N52" s="949"/>
      <c r="O52" s="417"/>
      <c r="P52" s="95"/>
      <c r="Q52" s="72"/>
    </row>
    <row r="53" spans="1:17" ht="12.75" customHeight="1" x14ac:dyDescent="0.2">
      <c r="A53" s="109"/>
      <c r="B53" s="443"/>
      <c r="C53" s="443"/>
      <c r="D53" s="68"/>
      <c r="E53" s="1191" t="str">
        <f>Translations!$B$741</f>
        <v>The procedure specified below should cover the following:</v>
      </c>
      <c r="F53" s="1191"/>
      <c r="G53" s="1191"/>
      <c r="H53" s="1191"/>
      <c r="I53" s="1191"/>
      <c r="J53" s="1191"/>
      <c r="K53" s="1191"/>
      <c r="L53" s="1191"/>
      <c r="M53" s="1191"/>
      <c r="N53" s="1191"/>
      <c r="O53" s="417"/>
      <c r="P53" s="72"/>
      <c r="Q53" s="72"/>
    </row>
    <row r="54" spans="1:17" ht="24" customHeight="1" x14ac:dyDescent="0.2">
      <c r="A54" s="109"/>
      <c r="B54" s="443"/>
      <c r="C54" s="443"/>
      <c r="D54" s="68"/>
      <c r="E54" s="1191" t="str">
        <f>Translations!$B$742</f>
        <v>i - checking the list of emissions sources and source streams, ensuring completeness of the emissions and source streams and that all relevant changes in the nature and functioning of the installation will be included in the monitoring plan;</v>
      </c>
      <c r="F54" s="1191"/>
      <c r="G54" s="1191"/>
      <c r="H54" s="1191"/>
      <c r="I54" s="1191"/>
      <c r="J54" s="1191"/>
      <c r="K54" s="1191"/>
      <c r="L54" s="1191"/>
      <c r="M54" s="1191"/>
      <c r="N54" s="1191"/>
      <c r="O54" s="417"/>
      <c r="P54" s="72"/>
      <c r="Q54" s="72"/>
    </row>
    <row r="55" spans="1:17" ht="12.75" customHeight="1" x14ac:dyDescent="0.2">
      <c r="A55" s="109"/>
      <c r="B55" s="443"/>
      <c r="C55" s="443"/>
      <c r="D55" s="68"/>
      <c r="E55" s="1191" t="str">
        <f>Translations!$B$743</f>
        <v>ii - assessing compliance with the uncertainty thresholds for activity data and other parameters (where applicable) for the applied tiers for each source stream and emission source; and</v>
      </c>
      <c r="F55" s="1191"/>
      <c r="G55" s="1191"/>
      <c r="H55" s="1191"/>
      <c r="I55" s="1191"/>
      <c r="J55" s="1191"/>
      <c r="K55" s="1191"/>
      <c r="L55" s="1191"/>
      <c r="M55" s="1191"/>
      <c r="N55" s="1191"/>
      <c r="O55" s="417"/>
      <c r="P55" s="228"/>
      <c r="Q55" s="228"/>
    </row>
    <row r="56" spans="1:17" ht="12.75" customHeight="1" x14ac:dyDescent="0.2">
      <c r="A56" s="109"/>
      <c r="B56" s="443"/>
      <c r="C56" s="443"/>
      <c r="D56" s="68"/>
      <c r="E56" s="1191" t="str">
        <f>Translations!$B$744</f>
        <v>iii - assessment of potential measures for improvement of the monitoring methodology applied.</v>
      </c>
      <c r="F56" s="1191"/>
      <c r="G56" s="1191"/>
      <c r="H56" s="1191"/>
      <c r="I56" s="1191"/>
      <c r="J56" s="1191"/>
      <c r="K56" s="1191"/>
      <c r="L56" s="1191"/>
      <c r="M56" s="1191"/>
      <c r="N56" s="1191"/>
      <c r="O56" s="417"/>
      <c r="P56" s="72"/>
      <c r="Q56" s="72"/>
    </row>
    <row r="57" spans="1:17" ht="5.0999999999999996" customHeight="1" x14ac:dyDescent="0.2">
      <c r="A57" s="72"/>
      <c r="B57" s="417"/>
      <c r="C57" s="417"/>
      <c r="D57" s="417"/>
      <c r="E57" s="124"/>
      <c r="F57" s="436"/>
      <c r="G57" s="437"/>
      <c r="H57" s="437"/>
      <c r="I57" s="437"/>
      <c r="J57" s="437"/>
      <c r="K57" s="437"/>
      <c r="L57" s="437"/>
      <c r="M57" s="417"/>
      <c r="N57" s="417"/>
      <c r="O57" s="417"/>
      <c r="P57" s="72"/>
      <c r="Q57" s="72"/>
    </row>
    <row r="58" spans="1:17" ht="12.75" customHeight="1" x14ac:dyDescent="0.2">
      <c r="A58" s="72"/>
      <c r="B58" s="417"/>
      <c r="C58" s="417"/>
      <c r="D58" s="417"/>
      <c r="E58" s="1102" t="str">
        <f>Translations!$B$405</f>
        <v>Title of procedure</v>
      </c>
      <c r="F58" s="1218"/>
      <c r="G58" s="817"/>
      <c r="H58" s="817"/>
      <c r="I58" s="817"/>
      <c r="J58" s="817"/>
      <c r="K58" s="817"/>
      <c r="L58" s="817"/>
      <c r="M58" s="817"/>
      <c r="N58" s="817"/>
      <c r="O58" s="417"/>
      <c r="P58" s="72"/>
      <c r="Q58" s="72"/>
    </row>
    <row r="59" spans="1:17" ht="12.75" customHeight="1" x14ac:dyDescent="0.2">
      <c r="A59" s="72"/>
      <c r="B59" s="417"/>
      <c r="C59" s="417"/>
      <c r="D59" s="417"/>
      <c r="E59" s="1102" t="str">
        <f>Translations!$B$407</f>
        <v>Reference for procedure</v>
      </c>
      <c r="F59" s="1218"/>
      <c r="G59" s="817"/>
      <c r="H59" s="817"/>
      <c r="I59" s="817"/>
      <c r="J59" s="817"/>
      <c r="K59" s="817"/>
      <c r="L59" s="817"/>
      <c r="M59" s="817"/>
      <c r="N59" s="817"/>
      <c r="O59" s="417"/>
      <c r="P59" s="72"/>
      <c r="Q59" s="72"/>
    </row>
    <row r="60" spans="1:17" ht="12.75" customHeight="1" x14ac:dyDescent="0.2">
      <c r="A60" s="72"/>
      <c r="B60" s="417"/>
      <c r="C60" s="417"/>
      <c r="D60" s="417"/>
      <c r="E60" s="1102" t="str">
        <f>Translations!$B$409</f>
        <v>Diagram reference (where applicable)</v>
      </c>
      <c r="F60" s="1218"/>
      <c r="G60" s="817"/>
      <c r="H60" s="817"/>
      <c r="I60" s="817"/>
      <c r="J60" s="817"/>
      <c r="K60" s="817"/>
      <c r="L60" s="817"/>
      <c r="M60" s="817"/>
      <c r="N60" s="817"/>
      <c r="O60" s="417"/>
      <c r="P60" s="72"/>
      <c r="Q60" s="72"/>
    </row>
    <row r="61" spans="1:17" ht="25.5" customHeight="1" x14ac:dyDescent="0.2">
      <c r="A61" s="72"/>
      <c r="B61" s="417"/>
      <c r="C61" s="417"/>
      <c r="D61" s="417"/>
      <c r="E61" s="1104" t="str">
        <f>Translations!$B$411</f>
        <v xml:space="preserve">Brief description of procedure    </v>
      </c>
      <c r="F61" s="1219"/>
      <c r="G61" s="936"/>
      <c r="H61" s="937"/>
      <c r="I61" s="937"/>
      <c r="J61" s="937"/>
      <c r="K61" s="937"/>
      <c r="L61" s="937"/>
      <c r="M61" s="937"/>
      <c r="N61" s="938"/>
      <c r="O61" s="417"/>
      <c r="P61" s="72"/>
      <c r="Q61" s="72"/>
    </row>
    <row r="62" spans="1:17" ht="25.5" customHeight="1" x14ac:dyDescent="0.2">
      <c r="A62" s="72"/>
      <c r="B62" s="417"/>
      <c r="C62" s="417"/>
      <c r="D62" s="417"/>
      <c r="E62" s="1220"/>
      <c r="F62" s="1221"/>
      <c r="G62" s="863"/>
      <c r="H62" s="864"/>
      <c r="I62" s="864"/>
      <c r="J62" s="864"/>
      <c r="K62" s="864"/>
      <c r="L62" s="864"/>
      <c r="M62" s="864"/>
      <c r="N62" s="865"/>
      <c r="O62" s="417"/>
      <c r="P62" s="72"/>
      <c r="Q62" s="72"/>
    </row>
    <row r="63" spans="1:17" ht="25.5" customHeight="1" x14ac:dyDescent="0.2">
      <c r="A63" s="72"/>
      <c r="B63" s="417"/>
      <c r="C63" s="417"/>
      <c r="D63" s="417"/>
      <c r="E63" s="1222"/>
      <c r="F63" s="1223"/>
      <c r="G63" s="866"/>
      <c r="H63" s="867"/>
      <c r="I63" s="867"/>
      <c r="J63" s="867"/>
      <c r="K63" s="867"/>
      <c r="L63" s="867"/>
      <c r="M63" s="867"/>
      <c r="N63" s="868"/>
      <c r="O63" s="417"/>
      <c r="P63" s="72"/>
      <c r="Q63" s="72"/>
    </row>
    <row r="64" spans="1:17" ht="25.5" customHeight="1" x14ac:dyDescent="0.2">
      <c r="A64" s="72"/>
      <c r="B64" s="417"/>
      <c r="C64" s="417"/>
      <c r="D64" s="417"/>
      <c r="E64" s="1102" t="str">
        <f>Translations!$B$414</f>
        <v>Post or department responsible for the procedure and for any data generated</v>
      </c>
      <c r="F64" s="1218"/>
      <c r="G64" s="817"/>
      <c r="H64" s="817"/>
      <c r="I64" s="817"/>
      <c r="J64" s="817"/>
      <c r="K64" s="817"/>
      <c r="L64" s="817"/>
      <c r="M64" s="817"/>
      <c r="N64" s="817"/>
      <c r="O64" s="417"/>
      <c r="P64" s="72"/>
      <c r="Q64" s="72"/>
    </row>
    <row r="65" spans="1:17" ht="12.75" customHeight="1" x14ac:dyDescent="0.2">
      <c r="A65" s="72"/>
      <c r="B65" s="417"/>
      <c r="C65" s="417"/>
      <c r="D65" s="417"/>
      <c r="E65" s="1102" t="str">
        <f>Translations!$B$416</f>
        <v>Location where records are kept</v>
      </c>
      <c r="F65" s="1218"/>
      <c r="G65" s="817"/>
      <c r="H65" s="817"/>
      <c r="I65" s="817"/>
      <c r="J65" s="817"/>
      <c r="K65" s="817"/>
      <c r="L65" s="817"/>
      <c r="M65" s="817"/>
      <c r="N65" s="817"/>
      <c r="O65" s="417"/>
      <c r="P65" s="72"/>
      <c r="Q65" s="72"/>
    </row>
    <row r="66" spans="1:17" ht="25.5" customHeight="1" x14ac:dyDescent="0.2">
      <c r="A66" s="72"/>
      <c r="B66" s="417"/>
      <c r="C66" s="417"/>
      <c r="D66" s="417"/>
      <c r="E66" s="1102" t="str">
        <f>Translations!$B$418</f>
        <v>Name of IT system used (where applicable).</v>
      </c>
      <c r="F66" s="1218"/>
      <c r="G66" s="817"/>
      <c r="H66" s="817"/>
      <c r="I66" s="817"/>
      <c r="J66" s="817"/>
      <c r="K66" s="817"/>
      <c r="L66" s="817"/>
      <c r="M66" s="817"/>
      <c r="N66" s="817"/>
      <c r="O66" s="417"/>
      <c r="P66" s="72"/>
      <c r="Q66" s="72"/>
    </row>
    <row r="67" spans="1:17" ht="25.5" customHeight="1" x14ac:dyDescent="0.2">
      <c r="A67" s="72"/>
      <c r="B67" s="417"/>
      <c r="C67" s="417"/>
      <c r="D67" s="417"/>
      <c r="E67" s="1102" t="str">
        <f>Translations!$B$420</f>
        <v>List of EN or other standards applied (where relevant)</v>
      </c>
      <c r="F67" s="1218"/>
      <c r="G67" s="817"/>
      <c r="H67" s="817"/>
      <c r="I67" s="817"/>
      <c r="J67" s="817"/>
      <c r="K67" s="817"/>
      <c r="L67" s="817"/>
      <c r="M67" s="817"/>
      <c r="N67" s="817"/>
      <c r="O67" s="417"/>
      <c r="P67" s="72"/>
      <c r="Q67" s="72"/>
    </row>
    <row r="68" spans="1:17" ht="13.5" customHeight="1" x14ac:dyDescent="0.2">
      <c r="A68" s="72"/>
      <c r="B68" s="417"/>
      <c r="C68" s="417"/>
      <c r="D68" s="440"/>
      <c r="E68" s="316"/>
      <c r="F68" s="316"/>
      <c r="G68" s="316"/>
      <c r="H68" s="316"/>
      <c r="I68" s="316"/>
      <c r="J68" s="316"/>
      <c r="K68" s="316"/>
      <c r="L68" s="316"/>
      <c r="M68" s="417"/>
      <c r="N68" s="337"/>
      <c r="O68" s="417"/>
      <c r="P68" s="72"/>
      <c r="Q68" s="72"/>
    </row>
    <row r="69" spans="1:17" ht="12.75" customHeight="1" x14ac:dyDescent="0.2">
      <c r="A69" s="109"/>
      <c r="B69" s="443"/>
      <c r="C69" s="443"/>
      <c r="D69" s="68" t="s">
        <v>839</v>
      </c>
      <c r="E69" s="949" t="str">
        <f>Translations!$B$1218</f>
        <v>Improvement reports pursuant to Article 69(1) of the MRR</v>
      </c>
      <c r="F69" s="949"/>
      <c r="G69" s="949"/>
      <c r="H69" s="949"/>
      <c r="I69" s="949"/>
      <c r="J69" s="949"/>
      <c r="K69" s="949"/>
      <c r="L69" s="949"/>
      <c r="M69" s="949"/>
      <c r="N69" s="949"/>
      <c r="O69" s="417"/>
      <c r="P69" s="95"/>
      <c r="Q69" s="72"/>
    </row>
    <row r="70" spans="1:17" ht="5.0999999999999996" customHeight="1" x14ac:dyDescent="0.2">
      <c r="A70" s="109"/>
      <c r="B70" s="443"/>
      <c r="C70" s="443"/>
      <c r="D70" s="68"/>
      <c r="O70" s="417"/>
      <c r="P70" s="72"/>
      <c r="Q70" s="72"/>
    </row>
    <row r="71" spans="1:17" ht="12.75" customHeight="1" x14ac:dyDescent="0.2">
      <c r="A71" s="72"/>
      <c r="B71" s="417"/>
      <c r="C71" s="417"/>
      <c r="D71" s="46" t="s">
        <v>1030</v>
      </c>
      <c r="E71" s="752" t="str">
        <f>Translations!$B$1219</f>
        <v>Any required tier not met or fall-back applied?</v>
      </c>
      <c r="F71" s="752"/>
      <c r="G71" s="752"/>
      <c r="H71" s="752"/>
      <c r="I71" s="752"/>
      <c r="J71" s="752"/>
      <c r="K71" s="1224"/>
      <c r="L71" s="666"/>
      <c r="M71" s="512"/>
      <c r="N71" s="512"/>
      <c r="O71" s="417"/>
      <c r="P71" s="72"/>
      <c r="Q71" s="72"/>
    </row>
    <row r="72" spans="1:17" ht="25.5" customHeight="1" x14ac:dyDescent="0.2">
      <c r="A72" s="72"/>
      <c r="B72" s="417"/>
      <c r="C72" s="417"/>
      <c r="D72" s="440"/>
      <c r="E72" s="1191" t="str">
        <f>Translations!$B$1220</f>
        <v>Select "TRUE" if for any parameter of a major or minor source stream or emission sources, either the required tiers are not met or a fall-back (Article 22) is applied. If this is the case, the operator has to submit improvement reports regularly, pursuant to Article 69(1).</v>
      </c>
      <c r="F72" s="1191"/>
      <c r="G72" s="1191"/>
      <c r="H72" s="1191"/>
      <c r="I72" s="1191"/>
      <c r="J72" s="1191"/>
      <c r="K72" s="1191"/>
      <c r="L72" s="1191"/>
      <c r="M72" s="1191"/>
      <c r="N72" s="1191"/>
      <c r="O72" s="417"/>
      <c r="P72" s="72"/>
      <c r="Q72" s="72"/>
    </row>
    <row r="73" spans="1:17" ht="12.75" customHeight="1" x14ac:dyDescent="0.2">
      <c r="A73" s="72"/>
      <c r="B73" s="417"/>
      <c r="C73" s="417"/>
      <c r="D73" s="440"/>
      <c r="E73" s="1191" t="str">
        <f>Translations!$B$1221</f>
        <v xml:space="preserve">Please note that this section does not exempt operators from the obligation to submit an improvement report pursuant to Article 69(4). </v>
      </c>
      <c r="F73" s="1191"/>
      <c r="G73" s="1191"/>
      <c r="H73" s="1191"/>
      <c r="I73" s="1191"/>
      <c r="J73" s="1191"/>
      <c r="K73" s="1191"/>
      <c r="L73" s="1191"/>
      <c r="M73" s="1191"/>
      <c r="N73" s="1191"/>
      <c r="O73" s="417"/>
      <c r="P73" s="72"/>
      <c r="Q73" s="72"/>
    </row>
    <row r="74" spans="1:17" ht="5.0999999999999996" customHeight="1" x14ac:dyDescent="0.2">
      <c r="A74" s="72"/>
      <c r="B74" s="417"/>
      <c r="C74" s="417"/>
      <c r="D74" s="440"/>
      <c r="E74" s="512"/>
      <c r="F74" s="512"/>
      <c r="G74" s="512"/>
      <c r="H74" s="512"/>
      <c r="I74" s="512"/>
      <c r="J74" s="512"/>
      <c r="K74" s="512"/>
      <c r="L74" s="512"/>
      <c r="M74" s="512"/>
      <c r="N74" s="512"/>
      <c r="O74" s="417"/>
      <c r="P74" s="72"/>
      <c r="Q74" s="72"/>
    </row>
    <row r="75" spans="1:17" ht="12.75" customHeight="1" x14ac:dyDescent="0.2">
      <c r="A75" s="72"/>
      <c r="B75" s="417"/>
      <c r="C75" s="417"/>
      <c r="D75" s="46" t="s">
        <v>1031</v>
      </c>
      <c r="E75" s="752" t="str">
        <f>Translations!$B$1222</f>
        <v>Deadline for the next improvement report pursuant to Article 69(1), if relevant</v>
      </c>
      <c r="F75" s="752"/>
      <c r="G75" s="752"/>
      <c r="H75" s="752"/>
      <c r="I75" s="752"/>
      <c r="J75" s="752"/>
      <c r="K75" s="752"/>
      <c r="L75" s="752"/>
      <c r="M75" s="752"/>
      <c r="N75" s="752"/>
      <c r="O75" s="417"/>
      <c r="P75" s="72"/>
      <c r="Q75" s="72"/>
    </row>
    <row r="76" spans="1:17" ht="12.75" customHeight="1" x14ac:dyDescent="0.2">
      <c r="A76" s="72"/>
      <c r="B76" s="417"/>
      <c r="C76" s="417"/>
      <c r="D76" s="440"/>
      <c r="E76" s="1191" t="str">
        <f>Translations!$B$1223</f>
        <v>This section is only relevant if the operator selected "TRUE" under point i. above.</v>
      </c>
      <c r="F76" s="1191"/>
      <c r="G76" s="1191"/>
      <c r="H76" s="1191"/>
      <c r="I76" s="1191"/>
      <c r="J76" s="1191"/>
      <c r="K76" s="1191"/>
      <c r="L76" s="1191"/>
      <c r="M76" s="1191"/>
      <c r="N76" s="1191"/>
      <c r="O76" s="417"/>
      <c r="P76" s="72"/>
      <c r="Q76" s="72"/>
    </row>
    <row r="77" spans="1:17" ht="13.5" customHeight="1" x14ac:dyDescent="0.2">
      <c r="A77" s="72"/>
      <c r="B77" s="417"/>
      <c r="C77" s="417"/>
      <c r="D77" s="440"/>
      <c r="E77" s="1191" t="str">
        <f>Translations!$B$1381</f>
        <v xml:space="preserve">The deadline for the improvement reports is every two years for category C, every three years for category B and five years for category A installations. </v>
      </c>
      <c r="F77" s="1191"/>
      <c r="G77" s="1191"/>
      <c r="H77" s="1191"/>
      <c r="I77" s="1191"/>
      <c r="J77" s="1191"/>
      <c r="K77" s="1191"/>
      <c r="L77" s="1191"/>
      <c r="M77" s="1191"/>
      <c r="N77" s="1191"/>
      <c r="O77" s="417"/>
      <c r="P77" s="72"/>
      <c r="Q77" s="72"/>
    </row>
    <row r="78" spans="1:17" ht="25.5" customHeight="1" x14ac:dyDescent="0.2">
      <c r="A78" s="109"/>
      <c r="B78" s="443"/>
      <c r="C78" s="443"/>
      <c r="D78" s="68"/>
      <c r="E78" s="1191" t="str">
        <f>Translations!$B$1225</f>
        <v>However, the CA can extend that period to three, four, five years, respectively, if the operator can demonstrate to the CA that the reasons for unreasonable costs or for improvement measures being technically not feasible remain valid for a longer period of time.</v>
      </c>
      <c r="F78" s="1191"/>
      <c r="G78" s="1191"/>
      <c r="H78" s="1191"/>
      <c r="I78" s="1191"/>
      <c r="J78" s="1191"/>
      <c r="K78" s="1191"/>
      <c r="L78" s="1191"/>
      <c r="M78" s="1191"/>
      <c r="N78" s="1191"/>
      <c r="O78" s="417"/>
      <c r="P78" s="72"/>
      <c r="Q78" s="72"/>
    </row>
    <row r="79" spans="1:17" ht="5.0999999999999996" customHeight="1" x14ac:dyDescent="0.2">
      <c r="A79" s="72"/>
      <c r="B79" s="417"/>
      <c r="C79" s="417"/>
      <c r="D79" s="440"/>
      <c r="E79" s="512"/>
      <c r="F79" s="512"/>
      <c r="G79" s="512"/>
      <c r="H79" s="512"/>
      <c r="I79" s="512"/>
      <c r="J79" s="512"/>
      <c r="K79" s="512"/>
      <c r="L79" s="512"/>
      <c r="M79" s="512"/>
      <c r="N79" s="512"/>
      <c r="O79" s="417"/>
      <c r="P79" s="72"/>
      <c r="Q79" s="72"/>
    </row>
    <row r="80" spans="1:17" ht="12.75" customHeight="1" x14ac:dyDescent="0.2">
      <c r="A80" s="72"/>
      <c r="B80" s="417"/>
      <c r="C80" s="417"/>
      <c r="D80" s="440"/>
      <c r="E80" s="667">
        <v>2021</v>
      </c>
      <c r="F80" s="667">
        <v>2022</v>
      </c>
      <c r="G80" s="667">
        <v>2023</v>
      </c>
      <c r="H80" s="667">
        <v>2024</v>
      </c>
      <c r="I80" s="667">
        <v>2025</v>
      </c>
      <c r="J80" s="667">
        <v>2026</v>
      </c>
      <c r="K80" s="667">
        <v>2027</v>
      </c>
      <c r="L80" s="667">
        <v>2028</v>
      </c>
      <c r="M80" s="667">
        <v>2029</v>
      </c>
      <c r="N80" s="667">
        <v>2030</v>
      </c>
      <c r="O80" s="417"/>
      <c r="P80" s="72"/>
      <c r="Q80" s="72"/>
    </row>
    <row r="81" spans="1:17" ht="12.75" customHeight="1" x14ac:dyDescent="0.2">
      <c r="A81" s="72"/>
      <c r="B81" s="417"/>
      <c r="C81" s="417"/>
      <c r="D81" s="440"/>
      <c r="E81" s="666"/>
      <c r="F81" s="666"/>
      <c r="G81" s="666"/>
      <c r="H81" s="666"/>
      <c r="I81" s="666"/>
      <c r="J81" s="666"/>
      <c r="K81" s="666"/>
      <c r="L81" s="666"/>
      <c r="M81" s="666"/>
      <c r="N81" s="666"/>
      <c r="O81" s="417"/>
      <c r="P81" s="72"/>
      <c r="Q81" s="72"/>
    </row>
    <row r="82" spans="1:17" ht="12.75" customHeight="1" x14ac:dyDescent="0.2">
      <c r="A82" s="72"/>
      <c r="B82" s="417"/>
      <c r="C82" s="417"/>
      <c r="D82" s="440"/>
      <c r="E82" s="668" t="str">
        <f t="shared" ref="E82:N82" si="0">IF(OR(E81="",E81=EUconst_NA),"",DATE(E80,MATCH(E81,EUconst_IRMonth,0)+5,1)-1)</f>
        <v/>
      </c>
      <c r="F82" s="668" t="str">
        <f t="shared" si="0"/>
        <v/>
      </c>
      <c r="G82" s="668" t="str">
        <f t="shared" si="0"/>
        <v/>
      </c>
      <c r="H82" s="668" t="str">
        <f t="shared" si="0"/>
        <v/>
      </c>
      <c r="I82" s="668" t="str">
        <f t="shared" si="0"/>
        <v/>
      </c>
      <c r="J82" s="668" t="str">
        <f t="shared" si="0"/>
        <v/>
      </c>
      <c r="K82" s="668" t="str">
        <f t="shared" si="0"/>
        <v/>
      </c>
      <c r="L82" s="668" t="str">
        <f t="shared" si="0"/>
        <v/>
      </c>
      <c r="M82" s="668" t="str">
        <f t="shared" si="0"/>
        <v/>
      </c>
      <c r="N82" s="668" t="str">
        <f t="shared" si="0"/>
        <v/>
      </c>
      <c r="O82" s="417"/>
      <c r="P82" s="72"/>
      <c r="Q82" s="72"/>
    </row>
    <row r="83" spans="1:17" ht="13.5" customHeight="1" x14ac:dyDescent="0.2">
      <c r="A83" s="72"/>
      <c r="B83" s="417"/>
      <c r="C83" s="417"/>
      <c r="D83" s="440"/>
      <c r="E83" s="316"/>
      <c r="F83" s="316"/>
      <c r="G83" s="316"/>
      <c r="H83" s="316"/>
      <c r="I83" s="316"/>
      <c r="J83" s="316"/>
      <c r="K83" s="316"/>
      <c r="L83" s="316"/>
      <c r="M83" s="417"/>
      <c r="N83" s="337"/>
      <c r="O83" s="417"/>
      <c r="P83" s="72"/>
      <c r="Q83" s="72"/>
    </row>
    <row r="84" spans="1:17" s="34" customFormat="1" ht="18.75" customHeight="1" x14ac:dyDescent="0.2">
      <c r="A84" s="76"/>
      <c r="B84" s="414"/>
      <c r="C84" s="53">
        <v>21</v>
      </c>
      <c r="D84" s="884" t="str">
        <f>Translations!$B$38</f>
        <v>Data flow activities</v>
      </c>
      <c r="E84" s="884"/>
      <c r="F84" s="884"/>
      <c r="G84" s="884"/>
      <c r="H84" s="884"/>
      <c r="I84" s="884"/>
      <c r="J84" s="884"/>
      <c r="K84" s="884"/>
      <c r="L84" s="884"/>
      <c r="M84" s="884"/>
      <c r="N84" s="884"/>
      <c r="O84" s="417"/>
      <c r="P84" s="72"/>
      <c r="Q84" s="72"/>
    </row>
    <row r="85" spans="1:17" ht="13.5" customHeight="1" x14ac:dyDescent="0.2">
      <c r="A85" s="72"/>
      <c r="B85" s="417"/>
      <c r="C85" s="417"/>
      <c r="D85" s="440"/>
      <c r="E85" s="316"/>
      <c r="F85" s="316"/>
      <c r="G85" s="316"/>
      <c r="H85" s="316"/>
      <c r="I85" s="316"/>
      <c r="J85" s="316"/>
      <c r="K85" s="316"/>
      <c r="L85" s="316"/>
      <c r="M85" s="417"/>
      <c r="N85" s="337"/>
      <c r="O85" s="417"/>
      <c r="P85" s="72"/>
      <c r="Q85" s="72"/>
    </row>
    <row r="86" spans="1:17" ht="12.75" customHeight="1" x14ac:dyDescent="0.2">
      <c r="A86" s="72"/>
      <c r="B86" s="417"/>
      <c r="C86" s="417"/>
      <c r="D86" s="68" t="s">
        <v>1018</v>
      </c>
      <c r="E86" s="949" t="str">
        <f>Translations!$B$1226</f>
        <v>Please provide details about the procedures used to manage data flow activities in accordance with Article 58 of the MRR.</v>
      </c>
      <c r="F86" s="949"/>
      <c r="G86" s="949"/>
      <c r="H86" s="949"/>
      <c r="I86" s="949"/>
      <c r="J86" s="949"/>
      <c r="K86" s="949"/>
      <c r="L86" s="949"/>
      <c r="M86" s="949"/>
      <c r="N86" s="949"/>
      <c r="O86" s="417"/>
      <c r="P86" s="72"/>
      <c r="Q86" s="72"/>
    </row>
    <row r="87" spans="1:17" ht="38.25" customHeight="1" x14ac:dyDescent="0.2">
      <c r="A87" s="72"/>
      <c r="B87" s="417"/>
      <c r="C87" s="417"/>
      <c r="D87" s="440"/>
      <c r="E87" s="1191" t="str">
        <f>Translations!$B$746</f>
        <v>Where a number of procedures are used, please provide details of an overarching procedure which covers the main steps of data flow activities along with a diagram showing how the data management procedures link together (please reference this diagram below and include when submitting your monitoring plan).  Alternatively please provide details of additional relevant procedures on a separate sheet.</v>
      </c>
      <c r="F87" s="1191"/>
      <c r="G87" s="1191"/>
      <c r="H87" s="1191"/>
      <c r="I87" s="1191"/>
      <c r="J87" s="1191"/>
      <c r="K87" s="1191"/>
      <c r="L87" s="1191"/>
      <c r="M87" s="1191"/>
      <c r="N87" s="1191"/>
      <c r="O87" s="417"/>
      <c r="P87" s="76"/>
      <c r="Q87" s="72"/>
    </row>
    <row r="88" spans="1:17" ht="38.25" customHeight="1" x14ac:dyDescent="0.2">
      <c r="A88" s="72"/>
      <c r="B88" s="417"/>
      <c r="C88" s="417"/>
      <c r="D88" s="440"/>
      <c r="E88" s="1191" t="str">
        <f>Translations!$B$747</f>
        <v>Under "Description of the relevant processing steps", please identify each step in the data flow from primary data to annual emissions which reflect the sequence and interaction between data flow activities and include the formulas and data used to determine emissions from the primary data.  Include details of any relevant electronic data processing and storage systems and other inputs (including manual inputs) and confirm how outputs of data flow activities are recorded.</v>
      </c>
      <c r="F88" s="1191"/>
      <c r="G88" s="1191"/>
      <c r="H88" s="1191"/>
      <c r="I88" s="1191"/>
      <c r="J88" s="1191"/>
      <c r="K88" s="1191"/>
      <c r="L88" s="1191"/>
      <c r="M88" s="1191"/>
      <c r="N88" s="1191"/>
      <c r="O88" s="417"/>
      <c r="P88" s="76"/>
      <c r="Q88" s="72"/>
    </row>
    <row r="89" spans="1:17" ht="5.0999999999999996" customHeight="1" x14ac:dyDescent="0.2">
      <c r="A89" s="72"/>
      <c r="B89" s="417"/>
      <c r="C89" s="417"/>
      <c r="D89" s="417"/>
      <c r="E89" s="124"/>
      <c r="F89" s="436"/>
      <c r="G89" s="437"/>
      <c r="H89" s="437"/>
      <c r="I89" s="437"/>
      <c r="J89" s="437"/>
      <c r="K89" s="437"/>
      <c r="L89" s="437"/>
      <c r="M89" s="417"/>
      <c r="N89" s="417"/>
      <c r="O89" s="417"/>
      <c r="P89" s="72"/>
      <c r="Q89" s="72"/>
    </row>
    <row r="90" spans="1:17" ht="12.75" customHeight="1" x14ac:dyDescent="0.2">
      <c r="A90" s="72"/>
      <c r="B90" s="417"/>
      <c r="C90" s="417"/>
      <c r="D90" s="417"/>
      <c r="E90" s="1102" t="str">
        <f>Translations!$B$405</f>
        <v>Title of procedure</v>
      </c>
      <c r="F90" s="1218"/>
      <c r="G90" s="870"/>
      <c r="H90" s="1036"/>
      <c r="I90" s="1036"/>
      <c r="J90" s="1036"/>
      <c r="K90" s="1036"/>
      <c r="L90" s="1036"/>
      <c r="M90" s="1036"/>
      <c r="N90" s="972"/>
      <c r="O90" s="417"/>
      <c r="P90" s="72"/>
      <c r="Q90" s="72"/>
    </row>
    <row r="91" spans="1:17" ht="12.75" customHeight="1" x14ac:dyDescent="0.2">
      <c r="A91" s="72"/>
      <c r="B91" s="417"/>
      <c r="C91" s="417"/>
      <c r="D91" s="417"/>
      <c r="E91" s="1102" t="str">
        <f>Translations!$B$407</f>
        <v>Reference for procedure</v>
      </c>
      <c r="F91" s="1218"/>
      <c r="G91" s="870"/>
      <c r="H91" s="1036"/>
      <c r="I91" s="1036"/>
      <c r="J91" s="1036"/>
      <c r="K91" s="1036"/>
      <c r="L91" s="1036"/>
      <c r="M91" s="1036"/>
      <c r="N91" s="972"/>
      <c r="O91" s="417"/>
      <c r="P91" s="72"/>
      <c r="Q91" s="72"/>
    </row>
    <row r="92" spans="1:17" ht="12.75" customHeight="1" x14ac:dyDescent="0.2">
      <c r="A92" s="72"/>
      <c r="B92" s="417"/>
      <c r="C92" s="417"/>
      <c r="D92" s="417"/>
      <c r="E92" s="1102" t="str">
        <f>Translations!$B$409</f>
        <v>Diagram reference (where applicable)</v>
      </c>
      <c r="F92" s="1218"/>
      <c r="G92" s="870"/>
      <c r="H92" s="1036"/>
      <c r="I92" s="1036"/>
      <c r="J92" s="1036"/>
      <c r="K92" s="1036"/>
      <c r="L92" s="1036"/>
      <c r="M92" s="1036"/>
      <c r="N92" s="972"/>
      <c r="O92" s="417"/>
      <c r="P92" s="72"/>
      <c r="Q92" s="72"/>
    </row>
    <row r="93" spans="1:17" ht="25.5" customHeight="1" x14ac:dyDescent="0.2">
      <c r="A93" s="72"/>
      <c r="B93" s="417"/>
      <c r="C93" s="417"/>
      <c r="D93" s="417"/>
      <c r="E93" s="1104" t="str">
        <f>Translations!$B$411</f>
        <v xml:space="preserve">Brief description of procedure    </v>
      </c>
      <c r="F93" s="1219"/>
      <c r="G93" s="936"/>
      <c r="H93" s="937"/>
      <c r="I93" s="937"/>
      <c r="J93" s="937"/>
      <c r="K93" s="937"/>
      <c r="L93" s="937"/>
      <c r="M93" s="937"/>
      <c r="N93" s="938"/>
      <c r="O93" s="417"/>
      <c r="P93" s="72"/>
      <c r="Q93" s="72"/>
    </row>
    <row r="94" spans="1:17" ht="25.5" customHeight="1" x14ac:dyDescent="0.2">
      <c r="A94" s="72"/>
      <c r="B94" s="417"/>
      <c r="C94" s="417"/>
      <c r="D94" s="417"/>
      <c r="E94" s="1220"/>
      <c r="F94" s="1221"/>
      <c r="G94" s="863"/>
      <c r="H94" s="864"/>
      <c r="I94" s="864"/>
      <c r="J94" s="864"/>
      <c r="K94" s="864"/>
      <c r="L94" s="864"/>
      <c r="M94" s="864"/>
      <c r="N94" s="865"/>
      <c r="O94" s="417"/>
      <c r="P94" s="72"/>
      <c r="Q94" s="72"/>
    </row>
    <row r="95" spans="1:17" ht="25.5" customHeight="1" x14ac:dyDescent="0.2">
      <c r="A95" s="72"/>
      <c r="B95" s="417"/>
      <c r="C95" s="417"/>
      <c r="D95" s="417"/>
      <c r="E95" s="1222"/>
      <c r="F95" s="1223"/>
      <c r="G95" s="866"/>
      <c r="H95" s="867"/>
      <c r="I95" s="867"/>
      <c r="J95" s="867"/>
      <c r="K95" s="867"/>
      <c r="L95" s="867"/>
      <c r="M95" s="867"/>
      <c r="N95" s="868"/>
      <c r="O95" s="417"/>
      <c r="P95" s="72"/>
      <c r="Q95" s="72"/>
    </row>
    <row r="96" spans="1:17" ht="25.5" customHeight="1" x14ac:dyDescent="0.2">
      <c r="A96" s="72"/>
      <c r="B96" s="417"/>
      <c r="C96" s="417"/>
      <c r="D96" s="417"/>
      <c r="E96" s="1102" t="str">
        <f>Translations!$B$414</f>
        <v>Post or department responsible for the procedure and for any data generated</v>
      </c>
      <c r="F96" s="1218"/>
      <c r="G96" s="870"/>
      <c r="H96" s="1036"/>
      <c r="I96" s="1036"/>
      <c r="J96" s="1036"/>
      <c r="K96" s="1036"/>
      <c r="L96" s="1036"/>
      <c r="M96" s="1036"/>
      <c r="N96" s="972"/>
      <c r="O96" s="417"/>
      <c r="P96" s="72"/>
      <c r="Q96" s="72"/>
    </row>
    <row r="97" spans="1:17" ht="12.75" customHeight="1" x14ac:dyDescent="0.2">
      <c r="A97" s="72"/>
      <c r="B97" s="417"/>
      <c r="C97" s="417"/>
      <c r="D97" s="417"/>
      <c r="E97" s="1102" t="str">
        <f>Translations!$B$416</f>
        <v>Location where records are kept</v>
      </c>
      <c r="F97" s="1218"/>
      <c r="G97" s="870"/>
      <c r="H97" s="1036"/>
      <c r="I97" s="1036"/>
      <c r="J97" s="1036"/>
      <c r="K97" s="1036"/>
      <c r="L97" s="1036"/>
      <c r="M97" s="1036"/>
      <c r="N97" s="972"/>
      <c r="O97" s="417"/>
      <c r="P97" s="72"/>
      <c r="Q97" s="72"/>
    </row>
    <row r="98" spans="1:17" ht="25.5" customHeight="1" x14ac:dyDescent="0.2">
      <c r="A98" s="72"/>
      <c r="B98" s="417"/>
      <c r="C98" s="417"/>
      <c r="D98" s="417"/>
      <c r="E98" s="1102" t="str">
        <f>Translations!$B$418</f>
        <v>Name of IT system used (where applicable).</v>
      </c>
      <c r="F98" s="1218"/>
      <c r="G98" s="870"/>
      <c r="H98" s="1036"/>
      <c r="I98" s="1036"/>
      <c r="J98" s="1036"/>
      <c r="K98" s="1036"/>
      <c r="L98" s="1036"/>
      <c r="M98" s="1036"/>
      <c r="N98" s="972"/>
      <c r="O98" s="417"/>
      <c r="P98" s="72"/>
      <c r="Q98" s="72"/>
    </row>
    <row r="99" spans="1:17" ht="25.5" customHeight="1" x14ac:dyDescent="0.2">
      <c r="A99" s="72"/>
      <c r="B99" s="417"/>
      <c r="C99" s="417"/>
      <c r="D99" s="417"/>
      <c r="E99" s="1102" t="str">
        <f>Translations!$B$420</f>
        <v>List of EN or other standards applied (where relevant)</v>
      </c>
      <c r="F99" s="1218"/>
      <c r="G99" s="870"/>
      <c r="H99" s="1036"/>
      <c r="I99" s="1036"/>
      <c r="J99" s="1036"/>
      <c r="K99" s="1036"/>
      <c r="L99" s="1036"/>
      <c r="M99" s="1036"/>
      <c r="N99" s="972"/>
      <c r="O99" s="417"/>
      <c r="P99" s="72"/>
      <c r="Q99" s="72"/>
    </row>
    <row r="100" spans="1:17" ht="51" customHeight="1" x14ac:dyDescent="0.2">
      <c r="A100" s="72"/>
      <c r="B100" s="417"/>
      <c r="C100" s="417"/>
      <c r="D100" s="440"/>
      <c r="E100" s="1102" t="str">
        <f>Translations!$B$748</f>
        <v>List of primary data sources</v>
      </c>
      <c r="F100" s="1103"/>
      <c r="G100" s="870"/>
      <c r="H100" s="1036"/>
      <c r="I100" s="1036"/>
      <c r="J100" s="1036"/>
      <c r="K100" s="1036"/>
      <c r="L100" s="1036"/>
      <c r="M100" s="1036"/>
      <c r="N100" s="972"/>
      <c r="O100" s="417"/>
      <c r="P100" s="72"/>
      <c r="Q100" s="72"/>
    </row>
    <row r="101" spans="1:17" ht="51" customHeight="1" x14ac:dyDescent="0.2">
      <c r="A101" s="72"/>
      <c r="B101" s="417"/>
      <c r="C101" s="417"/>
      <c r="D101" s="440"/>
      <c r="E101" s="1104" t="str">
        <f>Translations!$B$749</f>
        <v xml:space="preserve">Description of the relevant processing steps for each specific data flow activity </v>
      </c>
      <c r="F101" s="1105"/>
      <c r="G101" s="936"/>
      <c r="H101" s="937"/>
      <c r="I101" s="937"/>
      <c r="J101" s="937"/>
      <c r="K101" s="937"/>
      <c r="L101" s="937"/>
      <c r="M101" s="937"/>
      <c r="N101" s="938"/>
      <c r="O101" s="417"/>
      <c r="P101" s="72"/>
      <c r="Q101" s="72"/>
    </row>
    <row r="102" spans="1:17" ht="51" customHeight="1" x14ac:dyDescent="0.2">
      <c r="A102" s="72"/>
      <c r="B102" s="417"/>
      <c r="C102" s="417"/>
      <c r="D102" s="440"/>
      <c r="E102" s="1235"/>
      <c r="F102" s="1224"/>
      <c r="G102" s="863"/>
      <c r="H102" s="864"/>
      <c r="I102" s="864"/>
      <c r="J102" s="864"/>
      <c r="K102" s="864"/>
      <c r="L102" s="864"/>
      <c r="M102" s="864"/>
      <c r="N102" s="865"/>
      <c r="O102" s="417"/>
      <c r="P102" s="72"/>
      <c r="Q102" s="72"/>
    </row>
    <row r="103" spans="1:17" ht="51" customHeight="1" x14ac:dyDescent="0.2">
      <c r="A103" s="72"/>
      <c r="B103" s="417"/>
      <c r="C103" s="417"/>
      <c r="D103" s="440"/>
      <c r="E103" s="1235"/>
      <c r="F103" s="1224"/>
      <c r="G103" s="863"/>
      <c r="H103" s="864"/>
      <c r="I103" s="864"/>
      <c r="J103" s="864"/>
      <c r="K103" s="864"/>
      <c r="L103" s="864"/>
      <c r="M103" s="864"/>
      <c r="N103" s="865"/>
      <c r="O103" s="417"/>
      <c r="P103" s="72"/>
      <c r="Q103" s="72"/>
    </row>
    <row r="104" spans="1:17" ht="51" customHeight="1" x14ac:dyDescent="0.2">
      <c r="A104" s="72"/>
      <c r="B104" s="417"/>
      <c r="C104" s="417"/>
      <c r="D104" s="440"/>
      <c r="E104" s="1236"/>
      <c r="F104" s="1237"/>
      <c r="G104" s="866"/>
      <c r="H104" s="867"/>
      <c r="I104" s="867"/>
      <c r="J104" s="867"/>
      <c r="K104" s="867"/>
      <c r="L104" s="867"/>
      <c r="M104" s="867"/>
      <c r="N104" s="868"/>
      <c r="O104" s="417"/>
      <c r="P104" s="72"/>
      <c r="Q104" s="72"/>
    </row>
    <row r="105" spans="1:17" ht="12.75" customHeight="1" x14ac:dyDescent="0.2">
      <c r="A105" s="72"/>
      <c r="B105" s="417"/>
      <c r="C105" s="417"/>
      <c r="D105" s="440"/>
      <c r="E105" s="442"/>
      <c r="F105" s="442"/>
      <c r="G105" s="411"/>
      <c r="H105" s="411"/>
      <c r="I105" s="411"/>
      <c r="J105" s="411"/>
      <c r="K105" s="411"/>
      <c r="L105" s="411"/>
      <c r="M105" s="417"/>
      <c r="N105" s="417"/>
      <c r="O105" s="417"/>
      <c r="P105" s="72"/>
      <c r="Q105" s="72"/>
    </row>
    <row r="106" spans="1:17" s="34" customFormat="1" ht="18.75" customHeight="1" x14ac:dyDescent="0.2">
      <c r="A106" s="76"/>
      <c r="B106" s="414"/>
      <c r="C106" s="53">
        <v>22</v>
      </c>
      <c r="D106" s="884" t="str">
        <f>Translations!$B$39</f>
        <v>Control activities</v>
      </c>
      <c r="E106" s="884"/>
      <c r="F106" s="884"/>
      <c r="G106" s="884"/>
      <c r="H106" s="884"/>
      <c r="I106" s="884"/>
      <c r="J106" s="884"/>
      <c r="K106" s="884"/>
      <c r="L106" s="884"/>
      <c r="M106" s="884"/>
      <c r="N106" s="884"/>
      <c r="O106" s="417"/>
      <c r="P106" s="72"/>
      <c r="Q106" s="72"/>
    </row>
    <row r="107" spans="1:17" ht="13.5" customHeight="1" x14ac:dyDescent="0.2">
      <c r="A107" s="72"/>
      <c r="B107" s="417"/>
      <c r="C107" s="417"/>
      <c r="D107" s="440"/>
      <c r="E107" s="316"/>
      <c r="F107" s="316"/>
      <c r="G107" s="316"/>
      <c r="H107" s="316"/>
      <c r="I107" s="316"/>
      <c r="J107" s="316"/>
      <c r="K107" s="316"/>
      <c r="L107" s="316"/>
      <c r="M107" s="417"/>
      <c r="N107" s="417"/>
      <c r="O107" s="417"/>
      <c r="P107" s="72"/>
      <c r="Q107" s="72"/>
    </row>
    <row r="108" spans="1:17" ht="12.75" customHeight="1" x14ac:dyDescent="0.2">
      <c r="A108" s="72"/>
      <c r="B108" s="417"/>
      <c r="C108" s="417"/>
      <c r="D108" s="68" t="s">
        <v>1018</v>
      </c>
      <c r="E108" s="949" t="str">
        <f>Translations!$B$1227</f>
        <v>Please provide details about the procedures used to assess inherent risks and control risks in accordance with Article 59 of the MRR.</v>
      </c>
      <c r="F108" s="949"/>
      <c r="G108" s="949"/>
      <c r="H108" s="949"/>
      <c r="I108" s="949"/>
      <c r="J108" s="949"/>
      <c r="K108" s="949"/>
      <c r="L108" s="949"/>
      <c r="M108" s="949"/>
      <c r="N108" s="949"/>
      <c r="O108" s="417"/>
      <c r="P108" s="72"/>
      <c r="Q108" s="72"/>
    </row>
    <row r="109" spans="1:17" ht="12.75" customHeight="1" x14ac:dyDescent="0.2">
      <c r="A109" s="72"/>
      <c r="B109" s="417"/>
      <c r="C109" s="417"/>
      <c r="D109" s="440"/>
      <c r="E109" s="1191" t="str">
        <f>Translations!$B$751</f>
        <v>The brief description should identify how the assessments of inherent risks and control risks are undertaken when establishing an effective control system.</v>
      </c>
      <c r="F109" s="1191"/>
      <c r="G109" s="1191"/>
      <c r="H109" s="1191"/>
      <c r="I109" s="1191"/>
      <c r="J109" s="1191"/>
      <c r="K109" s="1191"/>
      <c r="L109" s="1191"/>
      <c r="M109" s="1191"/>
      <c r="N109" s="1191"/>
      <c r="O109" s="417"/>
      <c r="P109" s="72"/>
      <c r="Q109" s="72"/>
    </row>
    <row r="110" spans="1:17" ht="5.0999999999999996" customHeight="1" x14ac:dyDescent="0.2">
      <c r="A110" s="72"/>
      <c r="B110" s="417"/>
      <c r="C110" s="417"/>
      <c r="D110" s="417"/>
      <c r="E110" s="124"/>
      <c r="F110" s="436"/>
      <c r="G110" s="437"/>
      <c r="H110" s="437"/>
      <c r="I110" s="437"/>
      <c r="J110" s="437"/>
      <c r="K110" s="437"/>
      <c r="L110" s="437"/>
      <c r="M110" s="417"/>
      <c r="N110" s="417"/>
      <c r="O110" s="417"/>
      <c r="P110" s="72"/>
      <c r="Q110" s="72"/>
    </row>
    <row r="111" spans="1:17" ht="12.75" customHeight="1" x14ac:dyDescent="0.2">
      <c r="A111" s="72"/>
      <c r="B111" s="417"/>
      <c r="C111" s="417"/>
      <c r="D111" s="417"/>
      <c r="E111" s="1102" t="str">
        <f>Translations!$B$405</f>
        <v>Title of procedure</v>
      </c>
      <c r="F111" s="1218"/>
      <c r="G111" s="817"/>
      <c r="H111" s="817"/>
      <c r="I111" s="817"/>
      <c r="J111" s="817"/>
      <c r="K111" s="817"/>
      <c r="L111" s="817"/>
      <c r="M111" s="817"/>
      <c r="N111" s="817"/>
      <c r="O111" s="417"/>
      <c r="P111" s="72"/>
      <c r="Q111" s="72"/>
    </row>
    <row r="112" spans="1:17" ht="12.75" customHeight="1" x14ac:dyDescent="0.2">
      <c r="A112" s="72"/>
      <c r="B112" s="417"/>
      <c r="C112" s="417"/>
      <c r="D112" s="417"/>
      <c r="E112" s="1102" t="str">
        <f>Translations!$B$407</f>
        <v>Reference for procedure</v>
      </c>
      <c r="F112" s="1218"/>
      <c r="G112" s="817"/>
      <c r="H112" s="817"/>
      <c r="I112" s="817"/>
      <c r="J112" s="817"/>
      <c r="K112" s="817"/>
      <c r="L112" s="817"/>
      <c r="M112" s="817"/>
      <c r="N112" s="817"/>
      <c r="O112" s="417"/>
      <c r="P112" s="72"/>
      <c r="Q112" s="72"/>
    </row>
    <row r="113" spans="1:17" ht="12.75" customHeight="1" x14ac:dyDescent="0.2">
      <c r="A113" s="72"/>
      <c r="B113" s="417"/>
      <c r="C113" s="417"/>
      <c r="D113" s="417"/>
      <c r="E113" s="1102" t="str">
        <f>Translations!$B$409</f>
        <v>Diagram reference (where applicable)</v>
      </c>
      <c r="F113" s="1218"/>
      <c r="G113" s="817"/>
      <c r="H113" s="817"/>
      <c r="I113" s="817"/>
      <c r="J113" s="817"/>
      <c r="K113" s="817"/>
      <c r="L113" s="817"/>
      <c r="M113" s="817"/>
      <c r="N113" s="817"/>
      <c r="O113" s="417"/>
      <c r="P113" s="72"/>
      <c r="Q113" s="72"/>
    </row>
    <row r="114" spans="1:17" ht="25.5" customHeight="1" x14ac:dyDescent="0.2">
      <c r="A114" s="72"/>
      <c r="B114" s="417"/>
      <c r="C114" s="417"/>
      <c r="D114" s="417"/>
      <c r="E114" s="1104" t="str">
        <f>Translations!$B$411</f>
        <v xml:space="preserve">Brief description of procedure    </v>
      </c>
      <c r="F114" s="1219"/>
      <c r="G114" s="936"/>
      <c r="H114" s="937"/>
      <c r="I114" s="937"/>
      <c r="J114" s="937"/>
      <c r="K114" s="937"/>
      <c r="L114" s="937"/>
      <c r="M114" s="937"/>
      <c r="N114" s="938"/>
      <c r="O114" s="417"/>
      <c r="P114" s="72"/>
      <c r="Q114" s="72"/>
    </row>
    <row r="115" spans="1:17" ht="25.5" customHeight="1" x14ac:dyDescent="0.2">
      <c r="A115" s="72"/>
      <c r="B115" s="417"/>
      <c r="C115" s="417"/>
      <c r="D115" s="417"/>
      <c r="E115" s="1220"/>
      <c r="F115" s="1221"/>
      <c r="G115" s="863"/>
      <c r="H115" s="864"/>
      <c r="I115" s="864"/>
      <c r="J115" s="864"/>
      <c r="K115" s="864"/>
      <c r="L115" s="864"/>
      <c r="M115" s="864"/>
      <c r="N115" s="865"/>
      <c r="O115" s="417"/>
      <c r="P115" s="72"/>
      <c r="Q115" s="72"/>
    </row>
    <row r="116" spans="1:17" ht="25.5" customHeight="1" x14ac:dyDescent="0.2">
      <c r="A116" s="72"/>
      <c r="B116" s="417"/>
      <c r="C116" s="417"/>
      <c r="D116" s="417"/>
      <c r="E116" s="1222"/>
      <c r="F116" s="1223"/>
      <c r="G116" s="866"/>
      <c r="H116" s="867"/>
      <c r="I116" s="867"/>
      <c r="J116" s="867"/>
      <c r="K116" s="867"/>
      <c r="L116" s="867"/>
      <c r="M116" s="867"/>
      <c r="N116" s="868"/>
      <c r="O116" s="417"/>
      <c r="P116" s="72"/>
      <c r="Q116" s="72"/>
    </row>
    <row r="117" spans="1:17" ht="25.5" customHeight="1" x14ac:dyDescent="0.2">
      <c r="A117" s="72"/>
      <c r="B117" s="417"/>
      <c r="C117" s="417"/>
      <c r="D117" s="417"/>
      <c r="E117" s="1102" t="str">
        <f>Translations!$B$414</f>
        <v>Post or department responsible for the procedure and for any data generated</v>
      </c>
      <c r="F117" s="1218"/>
      <c r="G117" s="817"/>
      <c r="H117" s="817"/>
      <c r="I117" s="817"/>
      <c r="J117" s="817"/>
      <c r="K117" s="817"/>
      <c r="L117" s="817"/>
      <c r="M117" s="817"/>
      <c r="N117" s="817"/>
      <c r="O117" s="417"/>
      <c r="P117" s="72"/>
      <c r="Q117" s="72"/>
    </row>
    <row r="118" spans="1:17" ht="12.75" customHeight="1" x14ac:dyDescent="0.2">
      <c r="A118" s="72"/>
      <c r="B118" s="417"/>
      <c r="C118" s="417"/>
      <c r="D118" s="417"/>
      <c r="E118" s="1102" t="str">
        <f>Translations!$B$416</f>
        <v>Location where records are kept</v>
      </c>
      <c r="F118" s="1218"/>
      <c r="G118" s="817"/>
      <c r="H118" s="817"/>
      <c r="I118" s="817"/>
      <c r="J118" s="817"/>
      <c r="K118" s="817"/>
      <c r="L118" s="817"/>
      <c r="M118" s="817"/>
      <c r="N118" s="817"/>
      <c r="O118" s="417"/>
      <c r="P118" s="72"/>
      <c r="Q118" s="72"/>
    </row>
    <row r="119" spans="1:17" ht="25.5" customHeight="1" x14ac:dyDescent="0.2">
      <c r="A119" s="72"/>
      <c r="B119" s="417"/>
      <c r="C119" s="417"/>
      <c r="D119" s="417"/>
      <c r="E119" s="1102" t="str">
        <f>Translations!$B$418</f>
        <v>Name of IT system used (where applicable).</v>
      </c>
      <c r="F119" s="1218"/>
      <c r="G119" s="817"/>
      <c r="H119" s="817"/>
      <c r="I119" s="817"/>
      <c r="J119" s="817"/>
      <c r="K119" s="817"/>
      <c r="L119" s="817"/>
      <c r="M119" s="817"/>
      <c r="N119" s="817"/>
      <c r="O119" s="417"/>
      <c r="P119" s="72"/>
      <c r="Q119" s="72"/>
    </row>
    <row r="120" spans="1:17" ht="25.5" customHeight="1" x14ac:dyDescent="0.2">
      <c r="A120" s="72"/>
      <c r="B120" s="417"/>
      <c r="C120" s="417"/>
      <c r="D120" s="417"/>
      <c r="E120" s="1102" t="str">
        <f>Translations!$B$420</f>
        <v>List of EN or other standards applied (where relevant)</v>
      </c>
      <c r="F120" s="1218"/>
      <c r="G120" s="817"/>
      <c r="H120" s="817"/>
      <c r="I120" s="817"/>
      <c r="J120" s="817"/>
      <c r="K120" s="817"/>
      <c r="L120" s="817"/>
      <c r="M120" s="817"/>
      <c r="N120" s="817"/>
      <c r="O120" s="417"/>
      <c r="P120" s="72"/>
      <c r="Q120" s="72"/>
    </row>
    <row r="121" spans="1:17" ht="13.5" customHeight="1" x14ac:dyDescent="0.2">
      <c r="A121" s="72"/>
      <c r="B121" s="417"/>
      <c r="C121" s="417"/>
      <c r="D121" s="440"/>
      <c r="E121" s="316"/>
      <c r="F121" s="316"/>
      <c r="G121" s="316"/>
      <c r="H121" s="316"/>
      <c r="I121" s="316"/>
      <c r="J121" s="316"/>
      <c r="K121" s="316"/>
      <c r="L121" s="316"/>
      <c r="M121" s="417"/>
      <c r="N121" s="417"/>
      <c r="O121" s="417"/>
      <c r="P121" s="72"/>
      <c r="Q121" s="72"/>
    </row>
    <row r="122" spans="1:17" ht="25.5" customHeight="1" x14ac:dyDescent="0.2">
      <c r="A122" s="72"/>
      <c r="B122" s="417"/>
      <c r="C122" s="417"/>
      <c r="D122" s="68" t="s">
        <v>1020</v>
      </c>
      <c r="E122" s="949" t="str">
        <f>Translations!$B$1228</f>
        <v>Please provide details about the procedures used to ensure quality assurance of measuring equipment in accordance with Article 59 and 60 of the MRR.</v>
      </c>
      <c r="F122" s="949"/>
      <c r="G122" s="949"/>
      <c r="H122" s="949"/>
      <c r="I122" s="949"/>
      <c r="J122" s="949"/>
      <c r="K122" s="949"/>
      <c r="L122" s="949"/>
      <c r="M122" s="949"/>
      <c r="N122" s="949"/>
      <c r="O122" s="417"/>
      <c r="P122" s="72"/>
      <c r="Q122" s="72"/>
    </row>
    <row r="123" spans="1:17" ht="27.75" customHeight="1" x14ac:dyDescent="0.2">
      <c r="A123" s="72"/>
      <c r="B123" s="417"/>
      <c r="C123" s="417"/>
      <c r="D123" s="440"/>
      <c r="E123" s="1191" t="str">
        <f>Translations!$B$753</f>
        <v>The brief description should identify how all relevant measurement equipment is calibrated and checked at regular intervals, if applicable, and how non-compliance with the required performance is dealt with.</v>
      </c>
      <c r="F123" s="1191"/>
      <c r="G123" s="1191"/>
      <c r="H123" s="1191"/>
      <c r="I123" s="1191"/>
      <c r="J123" s="1191"/>
      <c r="K123" s="1191"/>
      <c r="L123" s="1191"/>
      <c r="M123" s="1191"/>
      <c r="N123" s="1191"/>
      <c r="O123" s="417"/>
      <c r="P123" s="72"/>
      <c r="Q123" s="72"/>
    </row>
    <row r="124" spans="1:17" ht="5.0999999999999996" customHeight="1" x14ac:dyDescent="0.2">
      <c r="A124" s="72"/>
      <c r="B124" s="417"/>
      <c r="C124" s="417"/>
      <c r="D124" s="417"/>
      <c r="E124" s="124"/>
      <c r="F124" s="436"/>
      <c r="G124" s="437"/>
      <c r="H124" s="437"/>
      <c r="I124" s="437"/>
      <c r="J124" s="437"/>
      <c r="K124" s="437"/>
      <c r="L124" s="437"/>
      <c r="M124" s="417"/>
      <c r="N124" s="417"/>
      <c r="O124" s="417"/>
      <c r="P124" s="72"/>
      <c r="Q124" s="72"/>
    </row>
    <row r="125" spans="1:17" ht="12.75" customHeight="1" x14ac:dyDescent="0.2">
      <c r="A125" s="72"/>
      <c r="B125" s="417"/>
      <c r="C125" s="417"/>
      <c r="D125" s="417"/>
      <c r="E125" s="1102" t="str">
        <f>Translations!$B$405</f>
        <v>Title of procedure</v>
      </c>
      <c r="F125" s="1218"/>
      <c r="G125" s="817"/>
      <c r="H125" s="817"/>
      <c r="I125" s="817"/>
      <c r="J125" s="817"/>
      <c r="K125" s="817"/>
      <c r="L125" s="817"/>
      <c r="M125" s="817"/>
      <c r="N125" s="817"/>
      <c r="O125" s="417"/>
      <c r="P125" s="72"/>
      <c r="Q125" s="72"/>
    </row>
    <row r="126" spans="1:17" ht="12.75" customHeight="1" x14ac:dyDescent="0.2">
      <c r="A126" s="72"/>
      <c r="B126" s="417"/>
      <c r="C126" s="417"/>
      <c r="D126" s="417"/>
      <c r="E126" s="1102" t="str">
        <f>Translations!$B$407</f>
        <v>Reference for procedure</v>
      </c>
      <c r="F126" s="1218"/>
      <c r="G126" s="817"/>
      <c r="H126" s="817"/>
      <c r="I126" s="817"/>
      <c r="J126" s="817"/>
      <c r="K126" s="817"/>
      <c r="L126" s="817"/>
      <c r="M126" s="817"/>
      <c r="N126" s="817"/>
      <c r="O126" s="417"/>
      <c r="P126" s="72"/>
      <c r="Q126" s="72"/>
    </row>
    <row r="127" spans="1:17" ht="12.75" customHeight="1" x14ac:dyDescent="0.2">
      <c r="A127" s="72"/>
      <c r="B127" s="417"/>
      <c r="C127" s="417"/>
      <c r="D127" s="417"/>
      <c r="E127" s="1102" t="str">
        <f>Translations!$B$409</f>
        <v>Diagram reference (where applicable)</v>
      </c>
      <c r="F127" s="1218"/>
      <c r="G127" s="817"/>
      <c r="H127" s="817"/>
      <c r="I127" s="817"/>
      <c r="J127" s="817"/>
      <c r="K127" s="817"/>
      <c r="L127" s="817"/>
      <c r="M127" s="817"/>
      <c r="N127" s="817"/>
      <c r="O127" s="417"/>
      <c r="P127" s="72"/>
      <c r="Q127" s="72"/>
    </row>
    <row r="128" spans="1:17" ht="25.5" customHeight="1" x14ac:dyDescent="0.2">
      <c r="A128" s="72"/>
      <c r="B128" s="417"/>
      <c r="C128" s="417"/>
      <c r="D128" s="417"/>
      <c r="E128" s="1104" t="str">
        <f>Translations!$B$411</f>
        <v xml:space="preserve">Brief description of procedure    </v>
      </c>
      <c r="F128" s="1219"/>
      <c r="G128" s="936"/>
      <c r="H128" s="937"/>
      <c r="I128" s="937"/>
      <c r="J128" s="937"/>
      <c r="K128" s="937"/>
      <c r="L128" s="937"/>
      <c r="M128" s="937"/>
      <c r="N128" s="938"/>
      <c r="O128" s="417"/>
      <c r="P128" s="72"/>
      <c r="Q128" s="72"/>
    </row>
    <row r="129" spans="1:17" ht="25.5" customHeight="1" x14ac:dyDescent="0.2">
      <c r="A129" s="72"/>
      <c r="B129" s="417"/>
      <c r="C129" s="417"/>
      <c r="D129" s="417"/>
      <c r="E129" s="1220"/>
      <c r="F129" s="1221"/>
      <c r="G129" s="863"/>
      <c r="H129" s="864"/>
      <c r="I129" s="864"/>
      <c r="J129" s="864"/>
      <c r="K129" s="864"/>
      <c r="L129" s="864"/>
      <c r="M129" s="864"/>
      <c r="N129" s="865"/>
      <c r="O129" s="417"/>
      <c r="P129" s="72"/>
      <c r="Q129" s="72"/>
    </row>
    <row r="130" spans="1:17" ht="25.5" customHeight="1" x14ac:dyDescent="0.2">
      <c r="A130" s="72"/>
      <c r="B130" s="417"/>
      <c r="C130" s="417"/>
      <c r="D130" s="417"/>
      <c r="E130" s="1222"/>
      <c r="F130" s="1223"/>
      <c r="G130" s="866"/>
      <c r="H130" s="867"/>
      <c r="I130" s="867"/>
      <c r="J130" s="867"/>
      <c r="K130" s="867"/>
      <c r="L130" s="867"/>
      <c r="M130" s="867"/>
      <c r="N130" s="868"/>
      <c r="O130" s="417"/>
      <c r="P130" s="72"/>
      <c r="Q130" s="72"/>
    </row>
    <row r="131" spans="1:17" ht="25.5" customHeight="1" x14ac:dyDescent="0.2">
      <c r="A131" s="72"/>
      <c r="B131" s="417"/>
      <c r="C131" s="417"/>
      <c r="D131" s="417"/>
      <c r="E131" s="1102" t="str">
        <f>Translations!$B$414</f>
        <v>Post or department responsible for the procedure and for any data generated</v>
      </c>
      <c r="F131" s="1218"/>
      <c r="G131" s="817"/>
      <c r="H131" s="817"/>
      <c r="I131" s="817"/>
      <c r="J131" s="817"/>
      <c r="K131" s="817"/>
      <c r="L131" s="817"/>
      <c r="M131" s="817"/>
      <c r="N131" s="817"/>
      <c r="O131" s="417"/>
      <c r="P131" s="72"/>
      <c r="Q131" s="72"/>
    </row>
    <row r="132" spans="1:17" ht="12.75" customHeight="1" x14ac:dyDescent="0.2">
      <c r="A132" s="72"/>
      <c r="B132" s="417"/>
      <c r="C132" s="417"/>
      <c r="D132" s="417"/>
      <c r="E132" s="1102" t="str">
        <f>Translations!$B$416</f>
        <v>Location where records are kept</v>
      </c>
      <c r="F132" s="1218"/>
      <c r="G132" s="817"/>
      <c r="H132" s="817"/>
      <c r="I132" s="817"/>
      <c r="J132" s="817"/>
      <c r="K132" s="817"/>
      <c r="L132" s="817"/>
      <c r="M132" s="817"/>
      <c r="N132" s="817"/>
      <c r="O132" s="417"/>
      <c r="P132" s="72"/>
      <c r="Q132" s="72"/>
    </row>
    <row r="133" spans="1:17" ht="25.5" customHeight="1" x14ac:dyDescent="0.2">
      <c r="A133" s="72"/>
      <c r="B133" s="417"/>
      <c r="C133" s="417"/>
      <c r="D133" s="417"/>
      <c r="E133" s="1102" t="str">
        <f>Translations!$B$418</f>
        <v>Name of IT system used (where applicable).</v>
      </c>
      <c r="F133" s="1218"/>
      <c r="G133" s="817"/>
      <c r="H133" s="817"/>
      <c r="I133" s="817"/>
      <c r="J133" s="817"/>
      <c r="K133" s="817"/>
      <c r="L133" s="817"/>
      <c r="M133" s="817"/>
      <c r="N133" s="817"/>
      <c r="O133" s="417"/>
      <c r="P133" s="72"/>
      <c r="Q133" s="72"/>
    </row>
    <row r="134" spans="1:17" ht="25.5" customHeight="1" x14ac:dyDescent="0.2">
      <c r="A134" s="72"/>
      <c r="B134" s="417"/>
      <c r="C134" s="417"/>
      <c r="D134" s="417"/>
      <c r="E134" s="1102" t="str">
        <f>Translations!$B$420</f>
        <v>List of EN or other standards applied (where relevant)</v>
      </c>
      <c r="F134" s="1218"/>
      <c r="G134" s="817"/>
      <c r="H134" s="817"/>
      <c r="I134" s="817"/>
      <c r="J134" s="817"/>
      <c r="K134" s="817"/>
      <c r="L134" s="817"/>
      <c r="M134" s="817"/>
      <c r="N134" s="817"/>
      <c r="O134" s="417"/>
      <c r="P134" s="72"/>
      <c r="Q134" s="72"/>
    </row>
    <row r="135" spans="1:17" ht="13.5" customHeight="1" x14ac:dyDescent="0.2">
      <c r="A135" s="72"/>
      <c r="B135" s="417"/>
      <c r="C135" s="417"/>
      <c r="D135" s="440"/>
      <c r="E135" s="316"/>
      <c r="F135" s="316"/>
      <c r="G135" s="316"/>
      <c r="H135" s="316"/>
      <c r="I135" s="316"/>
      <c r="J135" s="316"/>
      <c r="K135" s="316"/>
      <c r="L135" s="316"/>
      <c r="M135" s="417"/>
      <c r="N135" s="417"/>
      <c r="O135" s="417"/>
      <c r="P135" s="72"/>
      <c r="Q135" s="72"/>
    </row>
    <row r="136" spans="1:17" ht="25.5" customHeight="1" x14ac:dyDescent="0.2">
      <c r="A136" s="72"/>
      <c r="B136" s="417"/>
      <c r="C136" s="417"/>
      <c r="D136" s="68" t="s">
        <v>554</v>
      </c>
      <c r="E136" s="949" t="str">
        <f>Translations!$B$1229</f>
        <v>Please provide details about the procedures used to ensure quality assurance of information technology used for data flow activities in accordance with Article 59 and 61 of the MRR.</v>
      </c>
      <c r="F136" s="949"/>
      <c r="G136" s="949"/>
      <c r="H136" s="949"/>
      <c r="I136" s="949"/>
      <c r="J136" s="949"/>
      <c r="K136" s="949"/>
      <c r="L136" s="949"/>
      <c r="M136" s="949"/>
      <c r="N136" s="949"/>
      <c r="O136" s="417"/>
      <c r="P136" s="72"/>
      <c r="Q136" s="72"/>
    </row>
    <row r="137" spans="1:17" ht="12.75" customHeight="1" x14ac:dyDescent="0.2">
      <c r="A137" s="72"/>
      <c r="B137" s="417"/>
      <c r="C137" s="417"/>
      <c r="D137" s="440"/>
      <c r="E137" s="1191" t="str">
        <f>Translations!$B$755</f>
        <v>The brief description should identify how information technology is tested and controlled, including access control, back-up, recovery and security.</v>
      </c>
      <c r="F137" s="1191"/>
      <c r="G137" s="1191"/>
      <c r="H137" s="1191"/>
      <c r="I137" s="1191"/>
      <c r="J137" s="1191"/>
      <c r="K137" s="1191"/>
      <c r="L137" s="1191"/>
      <c r="M137" s="1191"/>
      <c r="N137" s="1191"/>
      <c r="O137" s="417"/>
      <c r="P137" s="72"/>
      <c r="Q137" s="72"/>
    </row>
    <row r="138" spans="1:17" ht="5.0999999999999996" customHeight="1" x14ac:dyDescent="0.2">
      <c r="A138" s="72"/>
      <c r="B138" s="417"/>
      <c r="C138" s="417"/>
      <c r="D138" s="417"/>
      <c r="E138" s="124"/>
      <c r="F138" s="436"/>
      <c r="G138" s="437"/>
      <c r="H138" s="437"/>
      <c r="I138" s="437"/>
      <c r="J138" s="437"/>
      <c r="K138" s="437"/>
      <c r="L138" s="437"/>
      <c r="M138" s="417"/>
      <c r="N138" s="417"/>
      <c r="O138" s="417"/>
      <c r="P138" s="72"/>
      <c r="Q138" s="72"/>
    </row>
    <row r="139" spans="1:17" ht="12.75" customHeight="1" x14ac:dyDescent="0.2">
      <c r="A139" s="72"/>
      <c r="B139" s="417"/>
      <c r="C139" s="417"/>
      <c r="D139" s="417"/>
      <c r="E139" s="1102" t="str">
        <f>Translations!$B$405</f>
        <v>Title of procedure</v>
      </c>
      <c r="F139" s="1218"/>
      <c r="G139" s="817"/>
      <c r="H139" s="817"/>
      <c r="I139" s="817"/>
      <c r="J139" s="817"/>
      <c r="K139" s="817"/>
      <c r="L139" s="817"/>
      <c r="M139" s="817"/>
      <c r="N139" s="817"/>
      <c r="O139" s="417"/>
      <c r="P139" s="72"/>
      <c r="Q139" s="72"/>
    </row>
    <row r="140" spans="1:17" ht="12.75" customHeight="1" x14ac:dyDescent="0.2">
      <c r="A140" s="72"/>
      <c r="B140" s="417"/>
      <c r="C140" s="417"/>
      <c r="D140" s="417"/>
      <c r="E140" s="1102" t="str">
        <f>Translations!$B$407</f>
        <v>Reference for procedure</v>
      </c>
      <c r="F140" s="1218"/>
      <c r="G140" s="817"/>
      <c r="H140" s="817"/>
      <c r="I140" s="817"/>
      <c r="J140" s="817"/>
      <c r="K140" s="817"/>
      <c r="L140" s="817"/>
      <c r="M140" s="817"/>
      <c r="N140" s="817"/>
      <c r="O140" s="417"/>
      <c r="P140" s="72"/>
      <c r="Q140" s="72"/>
    </row>
    <row r="141" spans="1:17" ht="12.75" customHeight="1" x14ac:dyDescent="0.2">
      <c r="A141" s="72"/>
      <c r="B141" s="417"/>
      <c r="C141" s="417"/>
      <c r="D141" s="417"/>
      <c r="E141" s="1102" t="str">
        <f>Translations!$B$409</f>
        <v>Diagram reference (where applicable)</v>
      </c>
      <c r="F141" s="1218"/>
      <c r="G141" s="817"/>
      <c r="H141" s="817"/>
      <c r="I141" s="817"/>
      <c r="J141" s="817"/>
      <c r="K141" s="817"/>
      <c r="L141" s="817"/>
      <c r="M141" s="817"/>
      <c r="N141" s="817"/>
      <c r="O141" s="417"/>
      <c r="P141" s="72"/>
      <c r="Q141" s="72"/>
    </row>
    <row r="142" spans="1:17" ht="25.5" customHeight="1" x14ac:dyDescent="0.2">
      <c r="A142" s="72"/>
      <c r="B142" s="417"/>
      <c r="C142" s="417"/>
      <c r="D142" s="417"/>
      <c r="E142" s="1104" t="str">
        <f>Translations!$B$411</f>
        <v xml:space="preserve">Brief description of procedure    </v>
      </c>
      <c r="F142" s="1219"/>
      <c r="G142" s="936"/>
      <c r="H142" s="937"/>
      <c r="I142" s="937"/>
      <c r="J142" s="937"/>
      <c r="K142" s="937"/>
      <c r="L142" s="937"/>
      <c r="M142" s="937"/>
      <c r="N142" s="938"/>
      <c r="O142" s="417"/>
      <c r="P142" s="72"/>
      <c r="Q142" s="72"/>
    </row>
    <row r="143" spans="1:17" ht="25.5" customHeight="1" x14ac:dyDescent="0.2">
      <c r="A143" s="72"/>
      <c r="B143" s="417"/>
      <c r="C143" s="417"/>
      <c r="D143" s="417"/>
      <c r="E143" s="1220"/>
      <c r="F143" s="1221"/>
      <c r="G143" s="863"/>
      <c r="H143" s="864"/>
      <c r="I143" s="864"/>
      <c r="J143" s="864"/>
      <c r="K143" s="864"/>
      <c r="L143" s="864"/>
      <c r="M143" s="864"/>
      <c r="N143" s="865"/>
      <c r="O143" s="417"/>
      <c r="P143" s="72"/>
      <c r="Q143" s="72"/>
    </row>
    <row r="144" spans="1:17" ht="25.5" customHeight="1" x14ac:dyDescent="0.2">
      <c r="A144" s="72"/>
      <c r="B144" s="417"/>
      <c r="C144" s="417"/>
      <c r="D144" s="417"/>
      <c r="E144" s="1222"/>
      <c r="F144" s="1223"/>
      <c r="G144" s="866"/>
      <c r="H144" s="867"/>
      <c r="I144" s="867"/>
      <c r="J144" s="867"/>
      <c r="K144" s="867"/>
      <c r="L144" s="867"/>
      <c r="M144" s="867"/>
      <c r="N144" s="868"/>
      <c r="O144" s="417"/>
      <c r="P144" s="72"/>
      <c r="Q144" s="72"/>
    </row>
    <row r="145" spans="1:17" ht="25.5" customHeight="1" x14ac:dyDescent="0.2">
      <c r="A145" s="72"/>
      <c r="B145" s="417"/>
      <c r="C145" s="417"/>
      <c r="D145" s="417"/>
      <c r="E145" s="1102" t="str">
        <f>Translations!$B$414</f>
        <v>Post or department responsible for the procedure and for any data generated</v>
      </c>
      <c r="F145" s="1218"/>
      <c r="G145" s="817"/>
      <c r="H145" s="817"/>
      <c r="I145" s="817"/>
      <c r="J145" s="817"/>
      <c r="K145" s="817"/>
      <c r="L145" s="817"/>
      <c r="M145" s="817"/>
      <c r="N145" s="817"/>
      <c r="O145" s="417"/>
      <c r="P145" s="72"/>
      <c r="Q145" s="72"/>
    </row>
    <row r="146" spans="1:17" ht="12.75" customHeight="1" x14ac:dyDescent="0.2">
      <c r="A146" s="72"/>
      <c r="B146" s="417"/>
      <c r="C146" s="417"/>
      <c r="D146" s="417"/>
      <c r="E146" s="1102" t="str">
        <f>Translations!$B$416</f>
        <v>Location where records are kept</v>
      </c>
      <c r="F146" s="1218"/>
      <c r="G146" s="817"/>
      <c r="H146" s="817"/>
      <c r="I146" s="817"/>
      <c r="J146" s="817"/>
      <c r="K146" s="817"/>
      <c r="L146" s="817"/>
      <c r="M146" s="817"/>
      <c r="N146" s="817"/>
      <c r="O146" s="417"/>
      <c r="P146" s="72"/>
      <c r="Q146" s="72"/>
    </row>
    <row r="147" spans="1:17" ht="25.5" customHeight="1" x14ac:dyDescent="0.2">
      <c r="A147" s="72"/>
      <c r="B147" s="417"/>
      <c r="C147" s="417"/>
      <c r="D147" s="417"/>
      <c r="E147" s="1102" t="str">
        <f>Translations!$B$418</f>
        <v>Name of IT system used (where applicable).</v>
      </c>
      <c r="F147" s="1218"/>
      <c r="G147" s="817"/>
      <c r="H147" s="817"/>
      <c r="I147" s="817"/>
      <c r="J147" s="817"/>
      <c r="K147" s="817"/>
      <c r="L147" s="817"/>
      <c r="M147" s="817"/>
      <c r="N147" s="817"/>
      <c r="O147" s="417"/>
      <c r="P147" s="72"/>
      <c r="Q147" s="72"/>
    </row>
    <row r="148" spans="1:17" ht="25.5" customHeight="1" x14ac:dyDescent="0.2">
      <c r="A148" s="72"/>
      <c r="B148" s="417"/>
      <c r="C148" s="417"/>
      <c r="D148" s="417"/>
      <c r="E148" s="1102" t="str">
        <f>Translations!$B$420</f>
        <v>List of EN or other standards applied (where relevant)</v>
      </c>
      <c r="F148" s="1218"/>
      <c r="G148" s="817"/>
      <c r="H148" s="817"/>
      <c r="I148" s="817"/>
      <c r="J148" s="817"/>
      <c r="K148" s="817"/>
      <c r="L148" s="817"/>
      <c r="M148" s="817"/>
      <c r="N148" s="817"/>
      <c r="O148" s="417"/>
      <c r="P148" s="72"/>
      <c r="Q148" s="72"/>
    </row>
    <row r="149" spans="1:17" ht="7.5" customHeight="1" x14ac:dyDescent="0.2">
      <c r="A149" s="72"/>
      <c r="B149" s="417"/>
      <c r="C149" s="417"/>
      <c r="D149" s="440"/>
      <c r="E149" s="316"/>
      <c r="F149" s="316"/>
      <c r="G149" s="316"/>
      <c r="H149" s="316"/>
      <c r="I149" s="316"/>
      <c r="J149" s="316"/>
      <c r="K149" s="316"/>
      <c r="L149" s="316"/>
      <c r="M149" s="417"/>
      <c r="N149" s="417"/>
      <c r="O149" s="417"/>
      <c r="P149" s="72"/>
      <c r="Q149" s="72"/>
    </row>
    <row r="150" spans="1:17" ht="25.5" customHeight="1" x14ac:dyDescent="0.2">
      <c r="A150" s="72"/>
      <c r="B150" s="417"/>
      <c r="C150" s="417"/>
      <c r="D150" s="68" t="s">
        <v>1022</v>
      </c>
      <c r="E150" s="949" t="str">
        <f>Translations!$B$1230</f>
        <v>Please provide details about the procedures used to ensure regular internal reviews and validation of data in accordance with Articles 59 and 63 of the MRR.</v>
      </c>
      <c r="F150" s="949"/>
      <c r="G150" s="949"/>
      <c r="H150" s="949"/>
      <c r="I150" s="949"/>
      <c r="J150" s="949"/>
      <c r="K150" s="949"/>
      <c r="L150" s="949"/>
      <c r="M150" s="949"/>
      <c r="N150" s="949"/>
      <c r="O150" s="417"/>
      <c r="P150" s="72"/>
      <c r="Q150" s="72"/>
    </row>
    <row r="151" spans="1:17" ht="38.85" customHeight="1" x14ac:dyDescent="0.2">
      <c r="A151" s="72"/>
      <c r="B151" s="417"/>
      <c r="C151" s="417"/>
      <c r="D151" s="440"/>
      <c r="E151" s="1191" t="str">
        <f>Translations!$B$757</f>
        <v>The brief description should identify that the review and validation process includes a check on whether data is complete, comparisons with data over previous years, comparison of fuel consumption reported with purchase records and factor obtained for fuel suppliers with international reference factors, if applicable, and criteria for rejecting data.</v>
      </c>
      <c r="F151" s="1191"/>
      <c r="G151" s="1191"/>
      <c r="H151" s="1191"/>
      <c r="I151" s="1191"/>
      <c r="J151" s="1191"/>
      <c r="K151" s="1191"/>
      <c r="L151" s="1191"/>
      <c r="M151" s="1191"/>
      <c r="N151" s="1191"/>
      <c r="O151" s="417"/>
      <c r="P151" s="72"/>
      <c r="Q151" s="72"/>
    </row>
    <row r="152" spans="1:17" ht="5.0999999999999996" customHeight="1" x14ac:dyDescent="0.2">
      <c r="A152" s="72"/>
      <c r="B152" s="417"/>
      <c r="C152" s="417"/>
      <c r="D152" s="417"/>
      <c r="E152" s="124"/>
      <c r="F152" s="436"/>
      <c r="G152" s="437"/>
      <c r="H152" s="437"/>
      <c r="I152" s="437"/>
      <c r="J152" s="437"/>
      <c r="K152" s="437"/>
      <c r="L152" s="437"/>
      <c r="M152" s="417"/>
      <c r="N152" s="417"/>
      <c r="O152" s="417"/>
      <c r="P152" s="72"/>
      <c r="Q152" s="72"/>
    </row>
    <row r="153" spans="1:17" ht="12.75" customHeight="1" x14ac:dyDescent="0.2">
      <c r="A153" s="72"/>
      <c r="B153" s="417"/>
      <c r="C153" s="417"/>
      <c r="D153" s="417"/>
      <c r="E153" s="1102" t="str">
        <f>Translations!$B$405</f>
        <v>Title of procedure</v>
      </c>
      <c r="F153" s="1218"/>
      <c r="G153" s="817"/>
      <c r="H153" s="817"/>
      <c r="I153" s="817"/>
      <c r="J153" s="817"/>
      <c r="K153" s="817"/>
      <c r="L153" s="817"/>
      <c r="M153" s="817"/>
      <c r="N153" s="817"/>
      <c r="O153" s="417"/>
      <c r="P153" s="72"/>
      <c r="Q153" s="72"/>
    </row>
    <row r="154" spans="1:17" ht="12.75" customHeight="1" x14ac:dyDescent="0.2">
      <c r="A154" s="72"/>
      <c r="B154" s="417"/>
      <c r="C154" s="417"/>
      <c r="D154" s="417"/>
      <c r="E154" s="1102" t="str">
        <f>Translations!$B$407</f>
        <v>Reference for procedure</v>
      </c>
      <c r="F154" s="1218"/>
      <c r="G154" s="817"/>
      <c r="H154" s="817"/>
      <c r="I154" s="817"/>
      <c r="J154" s="817"/>
      <c r="K154" s="817"/>
      <c r="L154" s="817"/>
      <c r="M154" s="817"/>
      <c r="N154" s="817"/>
      <c r="O154" s="417"/>
      <c r="P154" s="72"/>
      <c r="Q154" s="72"/>
    </row>
    <row r="155" spans="1:17" ht="12.75" customHeight="1" x14ac:dyDescent="0.2">
      <c r="A155" s="72"/>
      <c r="B155" s="417"/>
      <c r="C155" s="417"/>
      <c r="D155" s="417"/>
      <c r="E155" s="1102" t="str">
        <f>Translations!$B$409</f>
        <v>Diagram reference (where applicable)</v>
      </c>
      <c r="F155" s="1218"/>
      <c r="G155" s="817"/>
      <c r="H155" s="817"/>
      <c r="I155" s="817"/>
      <c r="J155" s="817"/>
      <c r="K155" s="817"/>
      <c r="L155" s="817"/>
      <c r="M155" s="817"/>
      <c r="N155" s="817"/>
      <c r="O155" s="417"/>
      <c r="P155" s="72"/>
      <c r="Q155" s="72"/>
    </row>
    <row r="156" spans="1:17" ht="25.5" customHeight="1" x14ac:dyDescent="0.2">
      <c r="A156" s="72"/>
      <c r="B156" s="417"/>
      <c r="C156" s="417"/>
      <c r="D156" s="417"/>
      <c r="E156" s="1104" t="str">
        <f>Translations!$B$411</f>
        <v xml:space="preserve">Brief description of procedure    </v>
      </c>
      <c r="F156" s="1219"/>
      <c r="G156" s="936"/>
      <c r="H156" s="937"/>
      <c r="I156" s="937"/>
      <c r="J156" s="937"/>
      <c r="K156" s="937"/>
      <c r="L156" s="937"/>
      <c r="M156" s="937"/>
      <c r="N156" s="938"/>
      <c r="O156" s="417"/>
      <c r="P156" s="72"/>
      <c r="Q156" s="72"/>
    </row>
    <row r="157" spans="1:17" ht="25.5" customHeight="1" x14ac:dyDescent="0.2">
      <c r="A157" s="72"/>
      <c r="B157" s="417"/>
      <c r="C157" s="417"/>
      <c r="D157" s="417"/>
      <c r="E157" s="1220"/>
      <c r="F157" s="1221"/>
      <c r="G157" s="863"/>
      <c r="H157" s="864"/>
      <c r="I157" s="864"/>
      <c r="J157" s="864"/>
      <c r="K157" s="864"/>
      <c r="L157" s="864"/>
      <c r="M157" s="864"/>
      <c r="N157" s="865"/>
      <c r="O157" s="417"/>
      <c r="P157" s="72"/>
      <c r="Q157" s="72"/>
    </row>
    <row r="158" spans="1:17" ht="25.5" customHeight="1" x14ac:dyDescent="0.2">
      <c r="A158" s="72"/>
      <c r="B158" s="417"/>
      <c r="C158" s="417"/>
      <c r="D158" s="417"/>
      <c r="E158" s="1222"/>
      <c r="F158" s="1223"/>
      <c r="G158" s="866"/>
      <c r="H158" s="867"/>
      <c r="I158" s="867"/>
      <c r="J158" s="867"/>
      <c r="K158" s="867"/>
      <c r="L158" s="867"/>
      <c r="M158" s="867"/>
      <c r="N158" s="868"/>
      <c r="O158" s="417"/>
      <c r="P158" s="72"/>
      <c r="Q158" s="72"/>
    </row>
    <row r="159" spans="1:17" ht="25.5" customHeight="1" x14ac:dyDescent="0.2">
      <c r="A159" s="72"/>
      <c r="B159" s="417"/>
      <c r="C159" s="417"/>
      <c r="D159" s="417"/>
      <c r="E159" s="1102" t="str">
        <f>Translations!$B$414</f>
        <v>Post or department responsible for the procedure and for any data generated</v>
      </c>
      <c r="F159" s="1218"/>
      <c r="G159" s="817"/>
      <c r="H159" s="817"/>
      <c r="I159" s="817"/>
      <c r="J159" s="817"/>
      <c r="K159" s="817"/>
      <c r="L159" s="817"/>
      <c r="M159" s="817"/>
      <c r="N159" s="817"/>
      <c r="O159" s="417"/>
      <c r="P159" s="72"/>
      <c r="Q159" s="72"/>
    </row>
    <row r="160" spans="1:17" ht="12.75" customHeight="1" x14ac:dyDescent="0.2">
      <c r="A160" s="72"/>
      <c r="B160" s="417"/>
      <c r="C160" s="417"/>
      <c r="D160" s="417"/>
      <c r="E160" s="1102" t="str">
        <f>Translations!$B$416</f>
        <v>Location where records are kept</v>
      </c>
      <c r="F160" s="1218"/>
      <c r="G160" s="817"/>
      <c r="H160" s="817"/>
      <c r="I160" s="817"/>
      <c r="J160" s="817"/>
      <c r="K160" s="817"/>
      <c r="L160" s="817"/>
      <c r="M160" s="817"/>
      <c r="N160" s="817"/>
      <c r="O160" s="417"/>
      <c r="P160" s="72"/>
      <c r="Q160" s="72"/>
    </row>
    <row r="161" spans="1:17" ht="25.5" customHeight="1" x14ac:dyDescent="0.2">
      <c r="A161" s="72"/>
      <c r="B161" s="417"/>
      <c r="C161" s="417"/>
      <c r="D161" s="417"/>
      <c r="E161" s="1102" t="str">
        <f>Translations!$B$418</f>
        <v>Name of IT system used (where applicable).</v>
      </c>
      <c r="F161" s="1218"/>
      <c r="G161" s="817"/>
      <c r="H161" s="817"/>
      <c r="I161" s="817"/>
      <c r="J161" s="817"/>
      <c r="K161" s="817"/>
      <c r="L161" s="817"/>
      <c r="M161" s="817"/>
      <c r="N161" s="817"/>
      <c r="O161" s="417"/>
      <c r="P161" s="72"/>
      <c r="Q161" s="72"/>
    </row>
    <row r="162" spans="1:17" ht="25.5" customHeight="1" x14ac:dyDescent="0.2">
      <c r="A162" s="72"/>
      <c r="B162" s="417"/>
      <c r="C162" s="417"/>
      <c r="D162" s="417"/>
      <c r="E162" s="1102" t="str">
        <f>Translations!$B$420</f>
        <v>List of EN or other standards applied (where relevant)</v>
      </c>
      <c r="F162" s="1218"/>
      <c r="G162" s="817"/>
      <c r="H162" s="817"/>
      <c r="I162" s="817"/>
      <c r="J162" s="817"/>
      <c r="K162" s="817"/>
      <c r="L162" s="817"/>
      <c r="M162" s="817"/>
      <c r="N162" s="817"/>
      <c r="O162" s="417"/>
      <c r="P162" s="72"/>
      <c r="Q162" s="72"/>
    </row>
    <row r="163" spans="1:17" ht="6" customHeight="1" x14ac:dyDescent="0.2">
      <c r="A163" s="72"/>
      <c r="B163" s="417"/>
      <c r="C163" s="417"/>
      <c r="D163" s="440"/>
      <c r="E163" s="316"/>
      <c r="F163" s="316"/>
      <c r="G163" s="316"/>
      <c r="H163" s="316"/>
      <c r="I163" s="316"/>
      <c r="J163" s="316"/>
      <c r="K163" s="316"/>
      <c r="L163" s="316"/>
      <c r="M163" s="417"/>
      <c r="N163" s="417"/>
      <c r="O163" s="417"/>
      <c r="P163" s="72"/>
      <c r="Q163" s="72"/>
    </row>
    <row r="164" spans="1:17" ht="25.5" customHeight="1" x14ac:dyDescent="0.2">
      <c r="A164" s="72"/>
      <c r="B164" s="417"/>
      <c r="C164" s="417"/>
      <c r="D164" s="68" t="s">
        <v>1023</v>
      </c>
      <c r="E164" s="949" t="str">
        <f>Translations!$B$1231</f>
        <v>Please provide details about the procedures used to handle corrections and corrective actions in accordance with Articles 59 and 64 of the MRR.</v>
      </c>
      <c r="F164" s="949"/>
      <c r="G164" s="949"/>
      <c r="H164" s="949"/>
      <c r="I164" s="949"/>
      <c r="J164" s="949"/>
      <c r="K164" s="949"/>
      <c r="L164" s="949"/>
      <c r="M164" s="949"/>
      <c r="N164" s="949"/>
      <c r="O164" s="417"/>
      <c r="P164" s="72"/>
      <c r="Q164" s="72"/>
    </row>
    <row r="165" spans="1:17" ht="25.5" customHeight="1" x14ac:dyDescent="0.2">
      <c r="A165" s="72"/>
      <c r="B165" s="417"/>
      <c r="C165" s="417"/>
      <c r="D165" s="440"/>
      <c r="E165" s="1191" t="str">
        <f>Translations!$B$759</f>
        <v>The brief description should outline what appropriate actions are undertaken if data flow activities and control activities are found not to function effectively. The procedure should outline how the validity of the outputs is assessed, the process of determining the cause of the error and of correcting it.</v>
      </c>
      <c r="F165" s="1191"/>
      <c r="G165" s="1191"/>
      <c r="H165" s="1191"/>
      <c r="I165" s="1191"/>
      <c r="J165" s="1191"/>
      <c r="K165" s="1191"/>
      <c r="L165" s="1191"/>
      <c r="M165" s="1191"/>
      <c r="N165" s="1191"/>
      <c r="O165" s="417"/>
      <c r="P165" s="72"/>
      <c r="Q165" s="72"/>
    </row>
    <row r="166" spans="1:17" ht="5.0999999999999996" customHeight="1" x14ac:dyDescent="0.2">
      <c r="A166" s="72"/>
      <c r="B166" s="417"/>
      <c r="C166" s="417"/>
      <c r="D166" s="417"/>
      <c r="E166" s="124"/>
      <c r="F166" s="436"/>
      <c r="G166" s="437"/>
      <c r="H166" s="437"/>
      <c r="I166" s="437"/>
      <c r="J166" s="437"/>
      <c r="K166" s="437"/>
      <c r="L166" s="437"/>
      <c r="M166" s="417"/>
      <c r="N166" s="417"/>
      <c r="O166" s="417"/>
      <c r="P166" s="72"/>
      <c r="Q166" s="72"/>
    </row>
    <row r="167" spans="1:17" ht="12.75" customHeight="1" x14ac:dyDescent="0.2">
      <c r="A167" s="72"/>
      <c r="B167" s="417"/>
      <c r="C167" s="417"/>
      <c r="D167" s="417"/>
      <c r="E167" s="1102" t="str">
        <f>Translations!$B$405</f>
        <v>Title of procedure</v>
      </c>
      <c r="F167" s="1218"/>
      <c r="G167" s="817"/>
      <c r="H167" s="817"/>
      <c r="I167" s="817"/>
      <c r="J167" s="817"/>
      <c r="K167" s="817"/>
      <c r="L167" s="817"/>
      <c r="M167" s="817"/>
      <c r="N167" s="817"/>
      <c r="O167" s="417"/>
      <c r="P167" s="72"/>
      <c r="Q167" s="72"/>
    </row>
    <row r="168" spans="1:17" ht="12.75" customHeight="1" x14ac:dyDescent="0.2">
      <c r="A168" s="72"/>
      <c r="B168" s="417"/>
      <c r="C168" s="417"/>
      <c r="D168" s="417"/>
      <c r="E168" s="1102" t="str">
        <f>Translations!$B$407</f>
        <v>Reference for procedure</v>
      </c>
      <c r="F168" s="1218"/>
      <c r="G168" s="817"/>
      <c r="H168" s="817"/>
      <c r="I168" s="817"/>
      <c r="J168" s="817"/>
      <c r="K168" s="817"/>
      <c r="L168" s="817"/>
      <c r="M168" s="817"/>
      <c r="N168" s="817"/>
      <c r="O168" s="417"/>
      <c r="P168" s="72"/>
      <c r="Q168" s="72"/>
    </row>
    <row r="169" spans="1:17" ht="12.75" customHeight="1" x14ac:dyDescent="0.2">
      <c r="A169" s="72"/>
      <c r="B169" s="417"/>
      <c r="C169" s="417"/>
      <c r="D169" s="417"/>
      <c r="E169" s="1102" t="str">
        <f>Translations!$B$409</f>
        <v>Diagram reference (where applicable)</v>
      </c>
      <c r="F169" s="1218"/>
      <c r="G169" s="817"/>
      <c r="H169" s="817"/>
      <c r="I169" s="817"/>
      <c r="J169" s="817"/>
      <c r="K169" s="817"/>
      <c r="L169" s="817"/>
      <c r="M169" s="817"/>
      <c r="N169" s="817"/>
      <c r="O169" s="417"/>
      <c r="P169" s="72"/>
      <c r="Q169" s="72"/>
    </row>
    <row r="170" spans="1:17" ht="25.5" customHeight="1" x14ac:dyDescent="0.2">
      <c r="A170" s="72"/>
      <c r="B170" s="417"/>
      <c r="C170" s="417"/>
      <c r="D170" s="417"/>
      <c r="E170" s="1104" t="str">
        <f>Translations!$B$411</f>
        <v xml:space="preserve">Brief description of procedure    </v>
      </c>
      <c r="F170" s="1219"/>
      <c r="G170" s="936"/>
      <c r="H170" s="937"/>
      <c r="I170" s="937"/>
      <c r="J170" s="937"/>
      <c r="K170" s="937"/>
      <c r="L170" s="937"/>
      <c r="M170" s="937"/>
      <c r="N170" s="938"/>
      <c r="O170" s="417"/>
      <c r="P170" s="72"/>
      <c r="Q170" s="72"/>
    </row>
    <row r="171" spans="1:17" ht="25.5" customHeight="1" x14ac:dyDescent="0.2">
      <c r="A171" s="72"/>
      <c r="B171" s="417"/>
      <c r="C171" s="417"/>
      <c r="D171" s="417"/>
      <c r="E171" s="1220"/>
      <c r="F171" s="1221"/>
      <c r="G171" s="863"/>
      <c r="H171" s="864"/>
      <c r="I171" s="864"/>
      <c r="J171" s="864"/>
      <c r="K171" s="864"/>
      <c r="L171" s="864"/>
      <c r="M171" s="864"/>
      <c r="N171" s="865"/>
      <c r="O171" s="417"/>
      <c r="P171" s="72"/>
      <c r="Q171" s="72"/>
    </row>
    <row r="172" spans="1:17" ht="25.5" customHeight="1" x14ac:dyDescent="0.2">
      <c r="A172" s="72"/>
      <c r="B172" s="417"/>
      <c r="C172" s="417"/>
      <c r="D172" s="417"/>
      <c r="E172" s="1222"/>
      <c r="F172" s="1223"/>
      <c r="G172" s="866"/>
      <c r="H172" s="867"/>
      <c r="I172" s="867"/>
      <c r="J172" s="867"/>
      <c r="K172" s="867"/>
      <c r="L172" s="867"/>
      <c r="M172" s="867"/>
      <c r="N172" s="868"/>
      <c r="O172" s="417"/>
      <c r="P172" s="72"/>
      <c r="Q172" s="72"/>
    </row>
    <row r="173" spans="1:17" ht="25.5" customHeight="1" x14ac:dyDescent="0.2">
      <c r="A173" s="72"/>
      <c r="B173" s="417"/>
      <c r="C173" s="417"/>
      <c r="D173" s="417"/>
      <c r="E173" s="1102" t="str">
        <f>Translations!$B$414</f>
        <v>Post or department responsible for the procedure and for any data generated</v>
      </c>
      <c r="F173" s="1218"/>
      <c r="G173" s="817"/>
      <c r="H173" s="817"/>
      <c r="I173" s="817"/>
      <c r="J173" s="817"/>
      <c r="K173" s="817"/>
      <c r="L173" s="817"/>
      <c r="M173" s="817"/>
      <c r="N173" s="817"/>
      <c r="O173" s="417"/>
      <c r="P173" s="72"/>
      <c r="Q173" s="72"/>
    </row>
    <row r="174" spans="1:17" ht="12.75" customHeight="1" x14ac:dyDescent="0.2">
      <c r="A174" s="72"/>
      <c r="B174" s="417"/>
      <c r="C174" s="417"/>
      <c r="D174" s="417"/>
      <c r="E174" s="1102" t="str">
        <f>Translations!$B$416</f>
        <v>Location where records are kept</v>
      </c>
      <c r="F174" s="1218"/>
      <c r="G174" s="817"/>
      <c r="H174" s="817"/>
      <c r="I174" s="817"/>
      <c r="J174" s="817"/>
      <c r="K174" s="817"/>
      <c r="L174" s="817"/>
      <c r="M174" s="817"/>
      <c r="N174" s="817"/>
      <c r="O174" s="417"/>
      <c r="P174" s="72"/>
      <c r="Q174" s="72"/>
    </row>
    <row r="175" spans="1:17" ht="25.5" customHeight="1" x14ac:dyDescent="0.2">
      <c r="A175" s="72"/>
      <c r="B175" s="417"/>
      <c r="C175" s="417"/>
      <c r="D175" s="417"/>
      <c r="E175" s="1102" t="str">
        <f>Translations!$B$418</f>
        <v>Name of IT system used (where applicable).</v>
      </c>
      <c r="F175" s="1218"/>
      <c r="G175" s="817"/>
      <c r="H175" s="817"/>
      <c r="I175" s="817"/>
      <c r="J175" s="817"/>
      <c r="K175" s="817"/>
      <c r="L175" s="817"/>
      <c r="M175" s="817"/>
      <c r="N175" s="817"/>
      <c r="O175" s="417"/>
      <c r="P175" s="72"/>
      <c r="Q175" s="72"/>
    </row>
    <row r="176" spans="1:17" ht="25.5" customHeight="1" x14ac:dyDescent="0.2">
      <c r="A176" s="72"/>
      <c r="B176" s="417"/>
      <c r="C176" s="417"/>
      <c r="D176" s="417"/>
      <c r="E176" s="1102" t="str">
        <f>Translations!$B$420</f>
        <v>List of EN or other standards applied (where relevant)</v>
      </c>
      <c r="F176" s="1218"/>
      <c r="G176" s="817"/>
      <c r="H176" s="817"/>
      <c r="I176" s="817"/>
      <c r="J176" s="817"/>
      <c r="K176" s="817"/>
      <c r="L176" s="817"/>
      <c r="M176" s="817"/>
      <c r="N176" s="817"/>
      <c r="O176" s="417"/>
      <c r="P176" s="72"/>
      <c r="Q176" s="72"/>
    </row>
    <row r="177" spans="1:17" ht="12.75" customHeight="1" x14ac:dyDescent="0.2">
      <c r="A177" s="72"/>
      <c r="B177" s="417"/>
      <c r="C177" s="417"/>
      <c r="D177" s="440"/>
      <c r="E177" s="316"/>
      <c r="F177" s="316"/>
      <c r="G177" s="316"/>
      <c r="H177" s="316"/>
      <c r="I177" s="316"/>
      <c r="J177" s="316"/>
      <c r="K177" s="316"/>
      <c r="L177" s="316"/>
      <c r="M177" s="417"/>
      <c r="N177" s="417"/>
      <c r="O177" s="417"/>
      <c r="P177" s="72"/>
      <c r="Q177" s="72"/>
    </row>
    <row r="178" spans="1:17" ht="12.75" customHeight="1" x14ac:dyDescent="0.2">
      <c r="A178" s="72"/>
      <c r="B178" s="417"/>
      <c r="C178" s="417"/>
      <c r="D178" s="68" t="s">
        <v>1019</v>
      </c>
      <c r="E178" s="949" t="str">
        <f>Translations!$B$1232</f>
        <v>Please provide details about the procedures used to control outsourced processes in accordance with Articles 59 and 65 of the MRR.</v>
      </c>
      <c r="F178" s="949"/>
      <c r="G178" s="949"/>
      <c r="H178" s="949"/>
      <c r="I178" s="949"/>
      <c r="J178" s="949"/>
      <c r="K178" s="949"/>
      <c r="L178" s="949"/>
      <c r="M178" s="949"/>
      <c r="N178" s="949"/>
      <c r="O178" s="417"/>
      <c r="P178" s="72"/>
      <c r="Q178" s="72"/>
    </row>
    <row r="179" spans="1:17" ht="25.5" customHeight="1" x14ac:dyDescent="0.2">
      <c r="A179" s="72"/>
      <c r="B179" s="417"/>
      <c r="C179" s="417"/>
      <c r="D179" s="440"/>
      <c r="E179" s="1191" t="str">
        <f>Translations!$B$761</f>
        <v>The brief description should identify how data flow activities and control activities of outsourced processes are checked and what checks are undertaken on the quality of the resulting data.</v>
      </c>
      <c r="F179" s="1191"/>
      <c r="G179" s="1191"/>
      <c r="H179" s="1191"/>
      <c r="I179" s="1191"/>
      <c r="J179" s="1191"/>
      <c r="K179" s="1191"/>
      <c r="L179" s="1191"/>
      <c r="M179" s="1191"/>
      <c r="N179" s="1191"/>
      <c r="O179" s="417"/>
      <c r="P179" s="72"/>
      <c r="Q179" s="72"/>
    </row>
    <row r="180" spans="1:17" ht="5.0999999999999996" customHeight="1" x14ac:dyDescent="0.2">
      <c r="A180" s="72"/>
      <c r="B180" s="417"/>
      <c r="C180" s="417"/>
      <c r="D180" s="417"/>
      <c r="E180" s="124"/>
      <c r="F180" s="436"/>
      <c r="G180" s="437"/>
      <c r="H180" s="437"/>
      <c r="I180" s="437"/>
      <c r="J180" s="437"/>
      <c r="K180" s="437"/>
      <c r="L180" s="437"/>
      <c r="M180" s="417"/>
      <c r="N180" s="417"/>
      <c r="O180" s="417"/>
      <c r="P180" s="72"/>
      <c r="Q180" s="72"/>
    </row>
    <row r="181" spans="1:17" ht="12.75" customHeight="1" x14ac:dyDescent="0.2">
      <c r="A181" s="72"/>
      <c r="B181" s="417"/>
      <c r="C181" s="417"/>
      <c r="D181" s="417"/>
      <c r="E181" s="1102" t="str">
        <f>Translations!$B$405</f>
        <v>Title of procedure</v>
      </c>
      <c r="F181" s="1218"/>
      <c r="G181" s="817"/>
      <c r="H181" s="817"/>
      <c r="I181" s="817"/>
      <c r="J181" s="817"/>
      <c r="K181" s="817"/>
      <c r="L181" s="817"/>
      <c r="M181" s="817"/>
      <c r="N181" s="817"/>
      <c r="O181" s="417"/>
      <c r="P181" s="72"/>
      <c r="Q181" s="72"/>
    </row>
    <row r="182" spans="1:17" ht="12.75" customHeight="1" x14ac:dyDescent="0.2">
      <c r="A182" s="72"/>
      <c r="B182" s="417"/>
      <c r="C182" s="417"/>
      <c r="D182" s="417"/>
      <c r="E182" s="1102" t="str">
        <f>Translations!$B$407</f>
        <v>Reference for procedure</v>
      </c>
      <c r="F182" s="1218"/>
      <c r="G182" s="817"/>
      <c r="H182" s="817"/>
      <c r="I182" s="817"/>
      <c r="J182" s="817"/>
      <c r="K182" s="817"/>
      <c r="L182" s="817"/>
      <c r="M182" s="817"/>
      <c r="N182" s="817"/>
      <c r="O182" s="417"/>
      <c r="P182" s="72"/>
      <c r="Q182" s="72"/>
    </row>
    <row r="183" spans="1:17" ht="12.75" customHeight="1" x14ac:dyDescent="0.2">
      <c r="A183" s="72"/>
      <c r="B183" s="417"/>
      <c r="C183" s="417"/>
      <c r="D183" s="417"/>
      <c r="E183" s="1102" t="str">
        <f>Translations!$B$409</f>
        <v>Diagram reference (where applicable)</v>
      </c>
      <c r="F183" s="1218"/>
      <c r="G183" s="817"/>
      <c r="H183" s="817"/>
      <c r="I183" s="817"/>
      <c r="J183" s="817"/>
      <c r="K183" s="817"/>
      <c r="L183" s="817"/>
      <c r="M183" s="817"/>
      <c r="N183" s="817"/>
      <c r="O183" s="417"/>
      <c r="P183" s="72"/>
      <c r="Q183" s="72"/>
    </row>
    <row r="184" spans="1:17" ht="25.5" customHeight="1" x14ac:dyDescent="0.2">
      <c r="A184" s="72"/>
      <c r="B184" s="417"/>
      <c r="C184" s="417"/>
      <c r="D184" s="417"/>
      <c r="E184" s="1104" t="str">
        <f>Translations!$B$411</f>
        <v xml:space="preserve">Brief description of procedure    </v>
      </c>
      <c r="F184" s="1219"/>
      <c r="G184" s="936"/>
      <c r="H184" s="937"/>
      <c r="I184" s="937"/>
      <c r="J184" s="937"/>
      <c r="K184" s="937"/>
      <c r="L184" s="937"/>
      <c r="M184" s="937"/>
      <c r="N184" s="938"/>
      <c r="O184" s="417"/>
      <c r="P184" s="72"/>
      <c r="Q184" s="72"/>
    </row>
    <row r="185" spans="1:17" ht="25.5" customHeight="1" x14ac:dyDescent="0.2">
      <c r="A185" s="72"/>
      <c r="B185" s="417"/>
      <c r="C185" s="417"/>
      <c r="D185" s="417"/>
      <c r="E185" s="1220"/>
      <c r="F185" s="1221"/>
      <c r="G185" s="863"/>
      <c r="H185" s="864"/>
      <c r="I185" s="864"/>
      <c r="J185" s="864"/>
      <c r="K185" s="864"/>
      <c r="L185" s="864"/>
      <c r="M185" s="864"/>
      <c r="N185" s="865"/>
      <c r="O185" s="417"/>
      <c r="P185" s="72"/>
      <c r="Q185" s="72"/>
    </row>
    <row r="186" spans="1:17" ht="25.5" customHeight="1" x14ac:dyDescent="0.2">
      <c r="A186" s="72"/>
      <c r="B186" s="417"/>
      <c r="C186" s="417"/>
      <c r="D186" s="417"/>
      <c r="E186" s="1222"/>
      <c r="F186" s="1223"/>
      <c r="G186" s="866"/>
      <c r="H186" s="867"/>
      <c r="I186" s="867"/>
      <c r="J186" s="867"/>
      <c r="K186" s="867"/>
      <c r="L186" s="867"/>
      <c r="M186" s="867"/>
      <c r="N186" s="868"/>
      <c r="O186" s="417"/>
      <c r="P186" s="72"/>
      <c r="Q186" s="72"/>
    </row>
    <row r="187" spans="1:17" ht="25.5" customHeight="1" x14ac:dyDescent="0.2">
      <c r="A187" s="72"/>
      <c r="B187" s="417"/>
      <c r="C187" s="417"/>
      <c r="D187" s="417"/>
      <c r="E187" s="1102" t="str">
        <f>Translations!$B$414</f>
        <v>Post or department responsible for the procedure and for any data generated</v>
      </c>
      <c r="F187" s="1218"/>
      <c r="G187" s="817"/>
      <c r="H187" s="817"/>
      <c r="I187" s="817"/>
      <c r="J187" s="817"/>
      <c r="K187" s="817"/>
      <c r="L187" s="817"/>
      <c r="M187" s="817"/>
      <c r="N187" s="817"/>
      <c r="O187" s="417"/>
      <c r="P187" s="72"/>
      <c r="Q187" s="72"/>
    </row>
    <row r="188" spans="1:17" ht="12.75" customHeight="1" x14ac:dyDescent="0.2">
      <c r="A188" s="72"/>
      <c r="B188" s="417"/>
      <c r="C188" s="417"/>
      <c r="D188" s="417"/>
      <c r="E188" s="1102" t="str">
        <f>Translations!$B$416</f>
        <v>Location where records are kept</v>
      </c>
      <c r="F188" s="1218"/>
      <c r="G188" s="817"/>
      <c r="H188" s="817"/>
      <c r="I188" s="817"/>
      <c r="J188" s="817"/>
      <c r="K188" s="817"/>
      <c r="L188" s="817"/>
      <c r="M188" s="817"/>
      <c r="N188" s="817"/>
      <c r="O188" s="417"/>
      <c r="P188" s="72"/>
      <c r="Q188" s="72"/>
    </row>
    <row r="189" spans="1:17" ht="25.5" customHeight="1" x14ac:dyDescent="0.2">
      <c r="A189" s="72"/>
      <c r="B189" s="417"/>
      <c r="C189" s="417"/>
      <c r="D189" s="417"/>
      <c r="E189" s="1102" t="str">
        <f>Translations!$B$418</f>
        <v>Name of IT system used (where applicable).</v>
      </c>
      <c r="F189" s="1218"/>
      <c r="G189" s="817"/>
      <c r="H189" s="817"/>
      <c r="I189" s="817"/>
      <c r="J189" s="817"/>
      <c r="K189" s="817"/>
      <c r="L189" s="817"/>
      <c r="M189" s="817"/>
      <c r="N189" s="817"/>
      <c r="O189" s="417"/>
      <c r="P189" s="72"/>
      <c r="Q189" s="72"/>
    </row>
    <row r="190" spans="1:17" ht="25.5" customHeight="1" x14ac:dyDescent="0.2">
      <c r="A190" s="72"/>
      <c r="B190" s="417"/>
      <c r="C190" s="417"/>
      <c r="D190" s="417"/>
      <c r="E190" s="1102" t="str">
        <f>Translations!$B$420</f>
        <v>List of EN or other standards applied (where relevant)</v>
      </c>
      <c r="F190" s="1218"/>
      <c r="G190" s="817"/>
      <c r="H190" s="817"/>
      <c r="I190" s="817"/>
      <c r="J190" s="817"/>
      <c r="K190" s="817"/>
      <c r="L190" s="817"/>
      <c r="M190" s="817"/>
      <c r="N190" s="817"/>
      <c r="O190" s="417"/>
      <c r="P190" s="72"/>
      <c r="Q190" s="72"/>
    </row>
    <row r="191" spans="1:17" ht="13.5" customHeight="1" x14ac:dyDescent="0.2">
      <c r="A191" s="72"/>
      <c r="B191" s="417"/>
      <c r="C191" s="417"/>
      <c r="D191" s="440"/>
      <c r="E191" s="316"/>
      <c r="F191" s="316"/>
      <c r="G191" s="316"/>
      <c r="H191" s="316"/>
      <c r="I191" s="316"/>
      <c r="J191" s="316"/>
      <c r="K191" s="316"/>
      <c r="L191" s="316"/>
      <c r="M191" s="417"/>
      <c r="N191" s="417"/>
      <c r="O191" s="417"/>
      <c r="P191" s="72"/>
      <c r="Q191" s="72"/>
    </row>
    <row r="192" spans="1:17" ht="12.75" customHeight="1" x14ac:dyDescent="0.2">
      <c r="A192" s="72"/>
      <c r="B192" s="417"/>
      <c r="C192" s="417"/>
      <c r="D192" s="68" t="s">
        <v>1349</v>
      </c>
      <c r="E192" s="949" t="str">
        <f>Translations!$B$1233</f>
        <v>Please provide details about the procedures used to close any data gaps in accordance with Article 66 of the MRR.</v>
      </c>
      <c r="F192" s="949"/>
      <c r="G192" s="949"/>
      <c r="H192" s="949"/>
      <c r="I192" s="949"/>
      <c r="J192" s="949"/>
      <c r="K192" s="949"/>
      <c r="L192" s="949"/>
      <c r="M192" s="949"/>
      <c r="N192" s="949"/>
      <c r="O192" s="417"/>
      <c r="P192" s="72"/>
      <c r="Q192" s="72"/>
    </row>
    <row r="193" spans="1:17" ht="25.5" customHeight="1" x14ac:dyDescent="0.2">
      <c r="A193" s="72"/>
      <c r="B193" s="417"/>
      <c r="C193" s="417"/>
      <c r="D193" s="440"/>
      <c r="E193" s="1191" t="str">
        <f>Translations!$B$1234</f>
        <v>The brief description should identify how data gaps will be closed by the use of an appropriate estimation method for determining conservative surrogate data for the respective time period and missing parameter.</v>
      </c>
      <c r="F193" s="1191"/>
      <c r="G193" s="1191"/>
      <c r="H193" s="1191"/>
      <c r="I193" s="1191"/>
      <c r="J193" s="1191"/>
      <c r="K193" s="1191"/>
      <c r="L193" s="1191"/>
      <c r="M193" s="1191"/>
      <c r="N193" s="1191"/>
      <c r="O193" s="417"/>
      <c r="P193" s="72"/>
      <c r="Q193" s="72"/>
    </row>
    <row r="194" spans="1:17" ht="25.5" customHeight="1" x14ac:dyDescent="0.2">
      <c r="A194" s="72"/>
      <c r="B194" s="417"/>
      <c r="C194" s="417"/>
      <c r="D194" s="440"/>
      <c r="E194" s="1191" t="str">
        <f>Translations!$B$1235</f>
        <v>This procedure is only mandatory where relevant data is missing, but it is recommended to establish such a procedure in any case to ensure compliance even when data gaps occur.</v>
      </c>
      <c r="F194" s="1191"/>
      <c r="G194" s="1191"/>
      <c r="H194" s="1191"/>
      <c r="I194" s="1191"/>
      <c r="J194" s="1191"/>
      <c r="K194" s="1191"/>
      <c r="L194" s="1191"/>
      <c r="M194" s="1191"/>
      <c r="N194" s="1191"/>
      <c r="O194" s="417"/>
      <c r="P194" s="72"/>
      <c r="Q194" s="72"/>
    </row>
    <row r="195" spans="1:17" ht="5.0999999999999996" customHeight="1" x14ac:dyDescent="0.2">
      <c r="A195" s="72"/>
      <c r="B195" s="417"/>
      <c r="C195" s="417"/>
      <c r="D195" s="417"/>
      <c r="E195" s="124"/>
      <c r="F195" s="436"/>
      <c r="G195" s="437"/>
      <c r="H195" s="437"/>
      <c r="I195" s="437"/>
      <c r="J195" s="437"/>
      <c r="K195" s="437"/>
      <c r="L195" s="437"/>
      <c r="M195" s="417"/>
      <c r="N195" s="417"/>
      <c r="O195" s="417"/>
      <c r="P195" s="72"/>
      <c r="Q195" s="72"/>
    </row>
    <row r="196" spans="1:17" ht="12.75" customHeight="1" x14ac:dyDescent="0.2">
      <c r="A196" s="72"/>
      <c r="B196" s="417"/>
      <c r="C196" s="417"/>
      <c r="D196" s="417"/>
      <c r="E196" s="1102" t="str">
        <f>Translations!$B$405</f>
        <v>Title of procedure</v>
      </c>
      <c r="F196" s="1218"/>
      <c r="G196" s="1241"/>
      <c r="H196" s="1241"/>
      <c r="I196" s="1241"/>
      <c r="J196" s="1241"/>
      <c r="K196" s="1241"/>
      <c r="L196" s="1241"/>
      <c r="M196" s="1241"/>
      <c r="N196" s="1241"/>
      <c r="O196" s="417"/>
      <c r="P196" s="72"/>
      <c r="Q196" s="72"/>
    </row>
    <row r="197" spans="1:17" ht="12.75" customHeight="1" x14ac:dyDescent="0.2">
      <c r="A197" s="72"/>
      <c r="B197" s="417"/>
      <c r="C197" s="417"/>
      <c r="D197" s="417"/>
      <c r="E197" s="1102" t="str">
        <f>Translations!$B$407</f>
        <v>Reference for procedure</v>
      </c>
      <c r="F197" s="1218"/>
      <c r="G197" s="1241"/>
      <c r="H197" s="1241"/>
      <c r="I197" s="1241"/>
      <c r="J197" s="1241"/>
      <c r="K197" s="1241"/>
      <c r="L197" s="1241"/>
      <c r="M197" s="1241"/>
      <c r="N197" s="1241"/>
      <c r="O197" s="417"/>
      <c r="P197" s="72"/>
      <c r="Q197" s="72"/>
    </row>
    <row r="198" spans="1:17" ht="12.75" customHeight="1" x14ac:dyDescent="0.2">
      <c r="A198" s="72"/>
      <c r="B198" s="417"/>
      <c r="C198" s="417"/>
      <c r="D198" s="417"/>
      <c r="E198" s="1102" t="str">
        <f>Translations!$B$409</f>
        <v>Diagram reference (where applicable)</v>
      </c>
      <c r="F198" s="1218"/>
      <c r="G198" s="1241"/>
      <c r="H198" s="1241"/>
      <c r="I198" s="1241"/>
      <c r="J198" s="1241"/>
      <c r="K198" s="1241"/>
      <c r="L198" s="1241"/>
      <c r="M198" s="1241"/>
      <c r="N198" s="1241"/>
      <c r="O198" s="417"/>
      <c r="P198" s="72"/>
      <c r="Q198" s="72"/>
    </row>
    <row r="199" spans="1:17" ht="25.5" customHeight="1" x14ac:dyDescent="0.2">
      <c r="A199" s="72"/>
      <c r="B199" s="417"/>
      <c r="C199" s="417"/>
      <c r="D199" s="417"/>
      <c r="E199" s="1104" t="str">
        <f>Translations!$B$411</f>
        <v xml:space="preserve">Brief description of procedure    </v>
      </c>
      <c r="F199" s="1219"/>
      <c r="G199" s="1245"/>
      <c r="H199" s="1246"/>
      <c r="I199" s="1246"/>
      <c r="J199" s="1246"/>
      <c r="K199" s="1246"/>
      <c r="L199" s="1246"/>
      <c r="M199" s="1246"/>
      <c r="N199" s="1247"/>
      <c r="O199" s="417"/>
      <c r="P199" s="72"/>
      <c r="Q199" s="72"/>
    </row>
    <row r="200" spans="1:17" ht="25.5" customHeight="1" x14ac:dyDescent="0.2">
      <c r="A200" s="72"/>
      <c r="B200" s="417"/>
      <c r="C200" s="417"/>
      <c r="D200" s="417"/>
      <c r="E200" s="1220"/>
      <c r="F200" s="1221"/>
      <c r="G200" s="1238"/>
      <c r="H200" s="1239"/>
      <c r="I200" s="1239"/>
      <c r="J200" s="1239"/>
      <c r="K200" s="1239"/>
      <c r="L200" s="1239"/>
      <c r="M200" s="1239"/>
      <c r="N200" s="1240"/>
      <c r="O200" s="417"/>
      <c r="P200" s="72"/>
      <c r="Q200" s="72"/>
    </row>
    <row r="201" spans="1:17" ht="25.5" customHeight="1" x14ac:dyDescent="0.2">
      <c r="A201" s="72"/>
      <c r="B201" s="417"/>
      <c r="C201" s="417"/>
      <c r="D201" s="417"/>
      <c r="E201" s="1222"/>
      <c r="F201" s="1223"/>
      <c r="G201" s="1242"/>
      <c r="H201" s="1243"/>
      <c r="I201" s="1243"/>
      <c r="J201" s="1243"/>
      <c r="K201" s="1243"/>
      <c r="L201" s="1243"/>
      <c r="M201" s="1243"/>
      <c r="N201" s="1244"/>
      <c r="O201" s="417"/>
      <c r="P201" s="72"/>
      <c r="Q201" s="72"/>
    </row>
    <row r="202" spans="1:17" ht="25.5" customHeight="1" x14ac:dyDescent="0.2">
      <c r="A202" s="72"/>
      <c r="B202" s="417"/>
      <c r="C202" s="417"/>
      <c r="D202" s="417"/>
      <c r="E202" s="1102" t="str">
        <f>Translations!$B$414</f>
        <v>Post or department responsible for the procedure and for any data generated</v>
      </c>
      <c r="F202" s="1218"/>
      <c r="G202" s="1241"/>
      <c r="H202" s="1241"/>
      <c r="I202" s="1241"/>
      <c r="J202" s="1241"/>
      <c r="K202" s="1241"/>
      <c r="L202" s="1241"/>
      <c r="M202" s="1241"/>
      <c r="N202" s="1241"/>
      <c r="O202" s="417"/>
      <c r="P202" s="72"/>
      <c r="Q202" s="72"/>
    </row>
    <row r="203" spans="1:17" ht="12.75" customHeight="1" x14ac:dyDescent="0.2">
      <c r="A203" s="72"/>
      <c r="B203" s="417"/>
      <c r="C203" s="417"/>
      <c r="D203" s="417"/>
      <c r="E203" s="1102" t="str">
        <f>Translations!$B$416</f>
        <v>Location where records are kept</v>
      </c>
      <c r="F203" s="1218"/>
      <c r="G203" s="1241"/>
      <c r="H203" s="1241"/>
      <c r="I203" s="1241"/>
      <c r="J203" s="1241"/>
      <c r="K203" s="1241"/>
      <c r="L203" s="1241"/>
      <c r="M203" s="1241"/>
      <c r="N203" s="1241"/>
      <c r="O203" s="417"/>
      <c r="P203" s="72"/>
      <c r="Q203" s="72"/>
    </row>
    <row r="204" spans="1:17" ht="25.5" customHeight="1" x14ac:dyDescent="0.2">
      <c r="A204" s="72"/>
      <c r="B204" s="417"/>
      <c r="C204" s="417"/>
      <c r="D204" s="417"/>
      <c r="E204" s="1102" t="str">
        <f>Translations!$B$418</f>
        <v>Name of IT system used (where applicable).</v>
      </c>
      <c r="F204" s="1218"/>
      <c r="G204" s="1241"/>
      <c r="H204" s="1241"/>
      <c r="I204" s="1241"/>
      <c r="J204" s="1241"/>
      <c r="K204" s="1241"/>
      <c r="L204" s="1241"/>
      <c r="M204" s="1241"/>
      <c r="N204" s="1241"/>
      <c r="O204" s="417"/>
      <c r="P204" s="72"/>
      <c r="Q204" s="72"/>
    </row>
    <row r="205" spans="1:17" ht="25.5" customHeight="1" x14ac:dyDescent="0.2">
      <c r="A205" s="72"/>
      <c r="B205" s="417"/>
      <c r="C205" s="417"/>
      <c r="D205" s="417"/>
      <c r="E205" s="1102" t="str">
        <f>Translations!$B$420</f>
        <v>List of EN or other standards applied (where relevant)</v>
      </c>
      <c r="F205" s="1218"/>
      <c r="G205" s="1241"/>
      <c r="H205" s="1241"/>
      <c r="I205" s="1241"/>
      <c r="J205" s="1241"/>
      <c r="K205" s="1241"/>
      <c r="L205" s="1241"/>
      <c r="M205" s="1241"/>
      <c r="N205" s="1241"/>
      <c r="O205" s="417"/>
      <c r="P205" s="72"/>
      <c r="Q205" s="72"/>
    </row>
    <row r="206" spans="1:17" ht="13.5" customHeight="1" x14ac:dyDescent="0.2">
      <c r="A206" s="72"/>
      <c r="B206" s="417"/>
      <c r="C206" s="417"/>
      <c r="D206" s="440"/>
      <c r="E206" s="316"/>
      <c r="F206" s="316"/>
      <c r="G206" s="316"/>
      <c r="H206" s="316"/>
      <c r="I206" s="316"/>
      <c r="J206" s="316"/>
      <c r="K206" s="316"/>
      <c r="L206" s="316"/>
      <c r="M206" s="417"/>
      <c r="N206" s="417"/>
      <c r="O206" s="417"/>
      <c r="P206" s="72"/>
      <c r="Q206" s="72"/>
    </row>
    <row r="207" spans="1:17" ht="25.5" customHeight="1" x14ac:dyDescent="0.2">
      <c r="A207" s="72"/>
      <c r="B207" s="417"/>
      <c r="C207" s="417"/>
      <c r="D207" s="68" t="s">
        <v>1351</v>
      </c>
      <c r="E207" s="949" t="str">
        <f>Translations!$B$1272</f>
        <v>Please provide details about the procedures used to manage record keeping and documentation in accordance with Articles 59 and 67 of the MRR.</v>
      </c>
      <c r="F207" s="949"/>
      <c r="G207" s="949"/>
      <c r="H207" s="949"/>
      <c r="I207" s="949"/>
      <c r="J207" s="949"/>
      <c r="K207" s="949"/>
      <c r="L207" s="949"/>
      <c r="M207" s="949"/>
      <c r="N207" s="949"/>
      <c r="O207" s="417"/>
      <c r="P207" s="72"/>
      <c r="Q207" s="72"/>
    </row>
    <row r="208" spans="1:17" ht="25.5" customHeight="1" x14ac:dyDescent="0.2">
      <c r="A208" s="72"/>
      <c r="B208" s="417"/>
      <c r="C208" s="417"/>
      <c r="D208" s="440"/>
      <c r="E208" s="1191" t="str">
        <f>Translations!$B$763</f>
        <v>The brief description should identify the process of document retention, specifically in relation to the data and information stipulated in Annex IX of the MRR and to how the data is stored such that information is made readily available upon request of the competent authority or verifier.</v>
      </c>
      <c r="F208" s="1191"/>
      <c r="G208" s="1191"/>
      <c r="H208" s="1191"/>
      <c r="I208" s="1191"/>
      <c r="J208" s="1191"/>
      <c r="K208" s="1191"/>
      <c r="L208" s="1191"/>
      <c r="M208" s="1191"/>
      <c r="N208" s="1191"/>
      <c r="O208" s="417"/>
      <c r="P208" s="72"/>
      <c r="Q208" s="72"/>
    </row>
    <row r="209" spans="1:17" ht="5.0999999999999996" customHeight="1" x14ac:dyDescent="0.2">
      <c r="A209" s="72"/>
      <c r="B209" s="417"/>
      <c r="C209" s="417"/>
      <c r="D209" s="417"/>
      <c r="E209" s="124"/>
      <c r="F209" s="436"/>
      <c r="G209" s="437"/>
      <c r="H209" s="437"/>
      <c r="I209" s="437"/>
      <c r="J209" s="437"/>
      <c r="K209" s="437"/>
      <c r="L209" s="437"/>
      <c r="M209" s="417"/>
      <c r="N209" s="417"/>
      <c r="O209" s="417"/>
      <c r="P209" s="72"/>
      <c r="Q209" s="72"/>
    </row>
    <row r="210" spans="1:17" ht="12.75" customHeight="1" x14ac:dyDescent="0.2">
      <c r="A210" s="72"/>
      <c r="B210" s="417"/>
      <c r="C210" s="417"/>
      <c r="D210" s="417"/>
      <c r="E210" s="1102" t="str">
        <f>Translations!$B$405</f>
        <v>Title of procedure</v>
      </c>
      <c r="F210" s="1218"/>
      <c r="G210" s="817"/>
      <c r="H210" s="817"/>
      <c r="I210" s="817"/>
      <c r="J210" s="817"/>
      <c r="K210" s="817"/>
      <c r="L210" s="817"/>
      <c r="M210" s="817"/>
      <c r="N210" s="817"/>
      <c r="O210" s="417"/>
      <c r="P210" s="72"/>
      <c r="Q210" s="72"/>
    </row>
    <row r="211" spans="1:17" ht="12.75" customHeight="1" x14ac:dyDescent="0.2">
      <c r="A211" s="72"/>
      <c r="B211" s="417"/>
      <c r="C211" s="417"/>
      <c r="D211" s="417"/>
      <c r="E211" s="1102" t="str">
        <f>Translations!$B$407</f>
        <v>Reference for procedure</v>
      </c>
      <c r="F211" s="1218"/>
      <c r="G211" s="817"/>
      <c r="H211" s="817"/>
      <c r="I211" s="817"/>
      <c r="J211" s="817"/>
      <c r="K211" s="817"/>
      <c r="L211" s="817"/>
      <c r="M211" s="817"/>
      <c r="N211" s="817"/>
      <c r="O211" s="417"/>
      <c r="P211" s="72"/>
      <c r="Q211" s="72"/>
    </row>
    <row r="212" spans="1:17" ht="12.75" customHeight="1" x14ac:dyDescent="0.2">
      <c r="A212" s="72"/>
      <c r="B212" s="417"/>
      <c r="C212" s="417"/>
      <c r="D212" s="417"/>
      <c r="E212" s="1102" t="str">
        <f>Translations!$B$409</f>
        <v>Diagram reference (where applicable)</v>
      </c>
      <c r="F212" s="1218"/>
      <c r="G212" s="817"/>
      <c r="H212" s="817"/>
      <c r="I212" s="817"/>
      <c r="J212" s="817"/>
      <c r="K212" s="817"/>
      <c r="L212" s="817"/>
      <c r="M212" s="817"/>
      <c r="N212" s="817"/>
      <c r="O212" s="417"/>
      <c r="P212" s="72"/>
      <c r="Q212" s="72"/>
    </row>
    <row r="213" spans="1:17" ht="25.5" customHeight="1" x14ac:dyDescent="0.2">
      <c r="A213" s="72"/>
      <c r="B213" s="417"/>
      <c r="C213" s="417"/>
      <c r="D213" s="417"/>
      <c r="E213" s="1104" t="str">
        <f>Translations!$B$411</f>
        <v xml:space="preserve">Brief description of procedure    </v>
      </c>
      <c r="F213" s="1219"/>
      <c r="G213" s="936"/>
      <c r="H213" s="937"/>
      <c r="I213" s="937"/>
      <c r="J213" s="937"/>
      <c r="K213" s="937"/>
      <c r="L213" s="937"/>
      <c r="M213" s="937"/>
      <c r="N213" s="938"/>
      <c r="O213" s="417"/>
      <c r="P213" s="72"/>
      <c r="Q213" s="72"/>
    </row>
    <row r="214" spans="1:17" ht="25.5" customHeight="1" x14ac:dyDescent="0.2">
      <c r="A214" s="72"/>
      <c r="B214" s="417"/>
      <c r="C214" s="417"/>
      <c r="D214" s="417"/>
      <c r="E214" s="1220"/>
      <c r="F214" s="1221"/>
      <c r="G214" s="863"/>
      <c r="H214" s="864"/>
      <c r="I214" s="864"/>
      <c r="J214" s="864"/>
      <c r="K214" s="864"/>
      <c r="L214" s="864"/>
      <c r="M214" s="864"/>
      <c r="N214" s="865"/>
      <c r="O214" s="417"/>
      <c r="P214" s="72"/>
      <c r="Q214" s="72"/>
    </row>
    <row r="215" spans="1:17" ht="25.5" customHeight="1" x14ac:dyDescent="0.2">
      <c r="A215" s="72"/>
      <c r="B215" s="417"/>
      <c r="C215" s="417"/>
      <c r="D215" s="417"/>
      <c r="E215" s="1222"/>
      <c r="F215" s="1223"/>
      <c r="G215" s="866"/>
      <c r="H215" s="867"/>
      <c r="I215" s="867"/>
      <c r="J215" s="867"/>
      <c r="K215" s="867"/>
      <c r="L215" s="867"/>
      <c r="M215" s="867"/>
      <c r="N215" s="868"/>
      <c r="O215" s="417"/>
      <c r="P215" s="72"/>
      <c r="Q215" s="72"/>
    </row>
    <row r="216" spans="1:17" ht="25.5" customHeight="1" x14ac:dyDescent="0.2">
      <c r="A216" s="72"/>
      <c r="B216" s="417"/>
      <c r="C216" s="417"/>
      <c r="D216" s="417"/>
      <c r="E216" s="1102" t="str">
        <f>Translations!$B$414</f>
        <v>Post or department responsible for the procedure and for any data generated</v>
      </c>
      <c r="F216" s="1218"/>
      <c r="G216" s="817"/>
      <c r="H216" s="817"/>
      <c r="I216" s="817"/>
      <c r="J216" s="817"/>
      <c r="K216" s="817"/>
      <c r="L216" s="817"/>
      <c r="M216" s="817"/>
      <c r="N216" s="817"/>
      <c r="O216" s="417"/>
      <c r="P216" s="72"/>
      <c r="Q216" s="72"/>
    </row>
    <row r="217" spans="1:17" ht="12.75" customHeight="1" x14ac:dyDescent="0.2">
      <c r="A217" s="72"/>
      <c r="B217" s="417"/>
      <c r="C217" s="417"/>
      <c r="D217" s="417"/>
      <c r="E217" s="1102" t="str">
        <f>Translations!$B$416</f>
        <v>Location where records are kept</v>
      </c>
      <c r="F217" s="1218"/>
      <c r="G217" s="817"/>
      <c r="H217" s="817"/>
      <c r="I217" s="817"/>
      <c r="J217" s="817"/>
      <c r="K217" s="817"/>
      <c r="L217" s="817"/>
      <c r="M217" s="817"/>
      <c r="N217" s="817"/>
      <c r="O217" s="417"/>
      <c r="P217" s="72"/>
      <c r="Q217" s="72"/>
    </row>
    <row r="218" spans="1:17" ht="25.5" customHeight="1" x14ac:dyDescent="0.2">
      <c r="A218" s="72"/>
      <c r="B218" s="417"/>
      <c r="C218" s="417"/>
      <c r="D218" s="417"/>
      <c r="E218" s="1102" t="str">
        <f>Translations!$B$418</f>
        <v>Name of IT system used (where applicable).</v>
      </c>
      <c r="F218" s="1218"/>
      <c r="G218" s="817"/>
      <c r="H218" s="817"/>
      <c r="I218" s="817"/>
      <c r="J218" s="817"/>
      <c r="K218" s="817"/>
      <c r="L218" s="817"/>
      <c r="M218" s="817"/>
      <c r="N218" s="817"/>
      <c r="O218" s="417"/>
      <c r="P218" s="72"/>
      <c r="Q218" s="72"/>
    </row>
    <row r="219" spans="1:17" ht="25.5" customHeight="1" x14ac:dyDescent="0.2">
      <c r="A219" s="72"/>
      <c r="B219" s="417"/>
      <c r="C219" s="417"/>
      <c r="D219" s="417"/>
      <c r="E219" s="1102" t="str">
        <f>Translations!$B$420</f>
        <v>List of EN or other standards applied (where relevant)</v>
      </c>
      <c r="F219" s="1218"/>
      <c r="G219" s="817"/>
      <c r="H219" s="817"/>
      <c r="I219" s="817"/>
      <c r="J219" s="817"/>
      <c r="K219" s="817"/>
      <c r="L219" s="817"/>
      <c r="M219" s="817"/>
      <c r="N219" s="817"/>
      <c r="O219" s="417"/>
      <c r="P219" s="72"/>
      <c r="Q219" s="72"/>
    </row>
    <row r="220" spans="1:17" x14ac:dyDescent="0.2">
      <c r="A220" s="72"/>
      <c r="B220" s="417"/>
      <c r="C220" s="417"/>
      <c r="D220" s="440"/>
      <c r="E220" s="438"/>
      <c r="F220" s="438"/>
      <c r="G220" s="437"/>
      <c r="H220" s="411"/>
      <c r="I220" s="411"/>
      <c r="J220" s="411"/>
      <c r="K220" s="411"/>
      <c r="L220" s="411"/>
      <c r="M220" s="417"/>
      <c r="N220" s="417"/>
      <c r="O220" s="417"/>
      <c r="P220" s="72"/>
      <c r="Q220" s="72"/>
    </row>
    <row r="221" spans="1:17" ht="38.25" customHeight="1" x14ac:dyDescent="0.2">
      <c r="A221" s="72"/>
      <c r="B221" s="417"/>
      <c r="C221" s="417"/>
      <c r="D221" s="14" t="s">
        <v>1352</v>
      </c>
      <c r="E221" s="949" t="str">
        <f>Translations!$B$764</f>
        <v>Please provide the reference to the documented results of a risk assessment that demonstrates that the control activities and procedures are commensurate with the risks identified in accordance with Article 12(1)(b) of the MRR.  (Note: The requirement to submit the risk assessment to the CA does not apply to installations with low emissions, in accordance with Article 47(3) of the MRR)</v>
      </c>
      <c r="F221" s="949"/>
      <c r="G221" s="949"/>
      <c r="H221" s="949"/>
      <c r="I221" s="949"/>
      <c r="J221" s="949"/>
      <c r="K221" s="949"/>
      <c r="L221" s="949"/>
      <c r="M221" s="949"/>
      <c r="N221" s="949"/>
      <c r="O221" s="417"/>
      <c r="P221" s="72"/>
      <c r="Q221" s="72"/>
    </row>
    <row r="222" spans="1:17" ht="12.75" customHeight="1" x14ac:dyDescent="0.2">
      <c r="A222" s="72"/>
      <c r="B222" s="417"/>
      <c r="C222" s="417"/>
      <c r="D222" s="440"/>
      <c r="E222" s="1191" t="str">
        <f>Translations!$B$1236</f>
        <v>Please reference the file/document containing the risk assessment in the box below.</v>
      </c>
      <c r="F222" s="1191"/>
      <c r="G222" s="1191"/>
      <c r="H222" s="1191"/>
      <c r="I222" s="1191"/>
      <c r="J222" s="1191"/>
      <c r="K222" s="1191"/>
      <c r="L222" s="1191"/>
      <c r="M222" s="1191"/>
      <c r="N222" s="1191"/>
      <c r="O222" s="417"/>
      <c r="P222" s="72"/>
      <c r="Q222" s="72"/>
    </row>
    <row r="223" spans="1:17" x14ac:dyDescent="0.2">
      <c r="A223" s="72"/>
      <c r="B223" s="417"/>
      <c r="C223" s="417"/>
      <c r="D223" s="440"/>
      <c r="E223" s="817"/>
      <c r="F223" s="817"/>
      <c r="G223" s="817"/>
      <c r="H223" s="817"/>
      <c r="I223" s="817"/>
      <c r="J223" s="417"/>
      <c r="K223" s="417"/>
      <c r="L223" s="417"/>
      <c r="M223" s="417"/>
      <c r="N223" s="417"/>
      <c r="O223" s="417"/>
      <c r="P223" s="72"/>
      <c r="Q223" s="72"/>
    </row>
    <row r="224" spans="1:17" ht="13.5" customHeight="1" x14ac:dyDescent="0.2">
      <c r="A224" s="72"/>
      <c r="B224" s="417"/>
      <c r="C224" s="417"/>
      <c r="D224" s="440"/>
      <c r="E224" s="316"/>
      <c r="F224" s="316"/>
      <c r="G224" s="316"/>
      <c r="H224" s="316"/>
      <c r="I224" s="316"/>
      <c r="J224" s="316"/>
      <c r="K224" s="316"/>
      <c r="L224" s="316"/>
      <c r="M224" s="417"/>
      <c r="N224" s="417"/>
      <c r="O224" s="417"/>
      <c r="P224" s="72"/>
      <c r="Q224" s="72"/>
    </row>
    <row r="225" spans="1:17" ht="12.75" customHeight="1" x14ac:dyDescent="0.2">
      <c r="A225" s="109" t="s">
        <v>904</v>
      </c>
      <c r="B225" s="443"/>
      <c r="C225" s="443"/>
      <c r="D225" s="68" t="s">
        <v>1516</v>
      </c>
      <c r="E225" s="949" t="str">
        <f>Translations!$B$766</f>
        <v>Does your organisation have a documented environmental management system?</v>
      </c>
      <c r="F225" s="949"/>
      <c r="G225" s="949"/>
      <c r="H225" s="949"/>
      <c r="I225" s="949"/>
      <c r="J225" s="949"/>
      <c r="K225" s="949"/>
      <c r="L225" s="949"/>
      <c r="M225" s="949"/>
      <c r="N225" s="949"/>
      <c r="O225" s="417"/>
      <c r="P225" s="72"/>
      <c r="Q225" s="72"/>
    </row>
    <row r="226" spans="1:17" x14ac:dyDescent="0.2">
      <c r="A226" s="72"/>
      <c r="B226" s="417"/>
      <c r="C226" s="417"/>
      <c r="D226" s="430"/>
      <c r="E226" s="817"/>
      <c r="F226" s="817"/>
      <c r="G226" s="817"/>
      <c r="H226" s="817"/>
      <c r="I226" s="817"/>
      <c r="J226" s="129"/>
      <c r="K226" s="129"/>
      <c r="L226" s="129"/>
      <c r="M226" s="417"/>
      <c r="N226" s="417"/>
      <c r="O226" s="417"/>
      <c r="P226" s="72"/>
      <c r="Q226" s="72"/>
    </row>
    <row r="227" spans="1:17" x14ac:dyDescent="0.2">
      <c r="A227" s="72"/>
      <c r="B227" s="417"/>
      <c r="C227" s="417"/>
      <c r="D227" s="68"/>
      <c r="E227" s="11"/>
      <c r="F227" s="11"/>
      <c r="G227" s="129"/>
      <c r="H227" s="129"/>
      <c r="I227" s="129"/>
      <c r="J227" s="129"/>
      <c r="K227" s="129"/>
      <c r="L227" s="129"/>
      <c r="M227" s="417"/>
      <c r="N227" s="417"/>
      <c r="O227" s="417"/>
      <c r="P227" s="72"/>
      <c r="Q227" s="72"/>
    </row>
    <row r="228" spans="1:17" ht="25.5" customHeight="1" x14ac:dyDescent="0.2">
      <c r="A228" s="109" t="s">
        <v>904</v>
      </c>
      <c r="B228" s="443"/>
      <c r="C228" s="443"/>
      <c r="D228" s="14" t="s">
        <v>351</v>
      </c>
      <c r="E228" s="949" t="str">
        <f>Translations!$B$767</f>
        <v>If the Environmental Management System is certified by an accredited organisation, please specify to which standard e.g. ISO14001, EMAS, etc.</v>
      </c>
      <c r="F228" s="949"/>
      <c r="G228" s="949"/>
      <c r="H228" s="949"/>
      <c r="I228" s="949"/>
      <c r="J228" s="949"/>
      <c r="K228" s="949"/>
      <c r="L228" s="949"/>
      <c r="M228" s="949"/>
      <c r="N228" s="949"/>
      <c r="O228" s="417"/>
      <c r="P228" s="72"/>
      <c r="Q228" s="72"/>
    </row>
    <row r="229" spans="1:17" x14ac:dyDescent="0.2">
      <c r="A229" s="72"/>
      <c r="B229" s="417"/>
      <c r="C229" s="417"/>
      <c r="D229" s="430"/>
      <c r="E229" s="817"/>
      <c r="F229" s="817"/>
      <c r="G229" s="817"/>
      <c r="H229" s="817"/>
      <c r="I229" s="817"/>
      <c r="J229" s="11"/>
      <c r="K229" s="11"/>
      <c r="L229" s="11"/>
      <c r="M229" s="417"/>
      <c r="N229" s="417"/>
      <c r="O229" s="417"/>
      <c r="P229" s="72"/>
      <c r="Q229" s="72"/>
    </row>
    <row r="230" spans="1:17" x14ac:dyDescent="0.2">
      <c r="A230" s="72"/>
      <c r="B230" s="417"/>
      <c r="C230" s="417"/>
      <c r="D230" s="68"/>
      <c r="E230" s="11"/>
      <c r="F230" s="437"/>
      <c r="G230" s="437"/>
      <c r="H230" s="417"/>
      <c r="I230" s="417"/>
      <c r="J230" s="417"/>
      <c r="K230" s="417"/>
      <c r="L230" s="417"/>
      <c r="M230" s="417"/>
      <c r="N230" s="417"/>
      <c r="O230" s="417"/>
      <c r="P230" s="72"/>
      <c r="Q230" s="72"/>
    </row>
    <row r="231" spans="1:17" s="34" customFormat="1" ht="18.75" customHeight="1" x14ac:dyDescent="0.2">
      <c r="A231" s="76"/>
      <c r="B231" s="414"/>
      <c r="C231" s="53">
        <v>23</v>
      </c>
      <c r="D231" s="884" t="str">
        <f>Translations!$B$40</f>
        <v>List of definitions and abbreviations used</v>
      </c>
      <c r="E231" s="884"/>
      <c r="F231" s="884"/>
      <c r="G231" s="884"/>
      <c r="H231" s="884"/>
      <c r="I231" s="884"/>
      <c r="J231" s="884"/>
      <c r="K231" s="884"/>
      <c r="L231" s="884"/>
      <c r="M231" s="884"/>
      <c r="N231" s="884"/>
      <c r="O231" s="417"/>
      <c r="P231" s="72"/>
      <c r="Q231" s="72"/>
    </row>
    <row r="232" spans="1:17" x14ac:dyDescent="0.2">
      <c r="A232" s="72"/>
      <c r="B232" s="417"/>
      <c r="C232" s="417"/>
      <c r="D232" s="440"/>
      <c r="E232" s="316"/>
      <c r="F232" s="316"/>
      <c r="G232" s="316"/>
      <c r="H232" s="316"/>
      <c r="I232" s="316"/>
      <c r="J232" s="316"/>
      <c r="K232" s="316"/>
      <c r="L232" s="316"/>
      <c r="M232" s="417"/>
      <c r="N232" s="417"/>
      <c r="O232" s="417"/>
      <c r="P232" s="72"/>
      <c r="Q232" s="72"/>
    </row>
    <row r="233" spans="1:17" ht="12.75" customHeight="1" x14ac:dyDescent="0.2">
      <c r="A233" s="72"/>
      <c r="B233" s="417"/>
      <c r="C233" s="417"/>
      <c r="D233" s="68" t="s">
        <v>1018</v>
      </c>
      <c r="E233" s="949" t="str">
        <f>Translations!$B$768</f>
        <v>Please list any abbreviations, acronyms or definitions that you have used in completing this monitoring plan.</v>
      </c>
      <c r="F233" s="949"/>
      <c r="G233" s="949"/>
      <c r="H233" s="949"/>
      <c r="I233" s="949"/>
      <c r="J233" s="949"/>
      <c r="K233" s="949"/>
      <c r="L233" s="949"/>
      <c r="M233" s="949"/>
      <c r="N233" s="949"/>
      <c r="O233" s="417"/>
      <c r="P233" s="72"/>
      <c r="Q233" s="72"/>
    </row>
    <row r="234" spans="1:17" ht="5.0999999999999996" customHeight="1" x14ac:dyDescent="0.2">
      <c r="A234" s="72"/>
      <c r="B234" s="417"/>
      <c r="C234" s="417"/>
      <c r="D234" s="440"/>
      <c r="E234" s="316"/>
      <c r="F234" s="316"/>
      <c r="G234" s="316"/>
      <c r="H234" s="316"/>
      <c r="I234" s="316"/>
      <c r="J234" s="316"/>
      <c r="K234" s="316"/>
      <c r="L234" s="316"/>
      <c r="M234" s="417"/>
      <c r="N234" s="417"/>
      <c r="O234" s="417"/>
      <c r="P234" s="72"/>
      <c r="Q234" s="72"/>
    </row>
    <row r="235" spans="1:17" x14ac:dyDescent="0.2">
      <c r="A235" s="72"/>
      <c r="B235" s="417"/>
      <c r="C235" s="417"/>
      <c r="D235" s="430"/>
      <c r="E235" s="926" t="str">
        <f>Translations!$B$769</f>
        <v>Abbreviation</v>
      </c>
      <c r="F235" s="927"/>
      <c r="G235" s="926" t="str">
        <f>Translations!$B$770</f>
        <v>Definition</v>
      </c>
      <c r="H235" s="927"/>
      <c r="I235" s="927"/>
      <c r="J235" s="927"/>
      <c r="K235" s="927"/>
      <c r="L235" s="927"/>
      <c r="M235" s="927"/>
      <c r="N235" s="927"/>
      <c r="O235" s="417"/>
      <c r="P235" s="72"/>
      <c r="Q235" s="72"/>
    </row>
    <row r="236" spans="1:17" x14ac:dyDescent="0.2">
      <c r="A236" s="72"/>
      <c r="B236" s="417"/>
      <c r="C236" s="417"/>
      <c r="D236" s="430"/>
      <c r="E236" s="1248"/>
      <c r="F236" s="1248"/>
      <c r="G236" s="817"/>
      <c r="H236" s="817"/>
      <c r="I236" s="817"/>
      <c r="J236" s="817"/>
      <c r="K236" s="817"/>
      <c r="L236" s="817"/>
      <c r="M236" s="817"/>
      <c r="N236" s="817"/>
      <c r="O236" s="417"/>
      <c r="P236" s="72"/>
      <c r="Q236" s="72"/>
    </row>
    <row r="237" spans="1:17" x14ac:dyDescent="0.2">
      <c r="A237" s="72"/>
      <c r="B237" s="417"/>
      <c r="C237" s="417"/>
      <c r="D237" s="430"/>
      <c r="E237" s="1248"/>
      <c r="F237" s="1248"/>
      <c r="G237" s="817"/>
      <c r="H237" s="817"/>
      <c r="I237" s="817"/>
      <c r="J237" s="817"/>
      <c r="K237" s="817"/>
      <c r="L237" s="817"/>
      <c r="M237" s="817"/>
      <c r="N237" s="817"/>
      <c r="O237" s="417"/>
      <c r="P237" s="72"/>
      <c r="Q237" s="72"/>
    </row>
    <row r="238" spans="1:17" x14ac:dyDescent="0.2">
      <c r="A238" s="72"/>
      <c r="B238" s="417"/>
      <c r="C238" s="417"/>
      <c r="D238" s="430"/>
      <c r="E238" s="1248"/>
      <c r="F238" s="1248"/>
      <c r="G238" s="817"/>
      <c r="H238" s="817"/>
      <c r="I238" s="817"/>
      <c r="J238" s="817"/>
      <c r="K238" s="817"/>
      <c r="L238" s="817"/>
      <c r="M238" s="817"/>
      <c r="N238" s="817"/>
      <c r="O238" s="417"/>
      <c r="P238" s="72"/>
      <c r="Q238" s="72"/>
    </row>
    <row r="239" spans="1:17" x14ac:dyDescent="0.2">
      <c r="A239" s="72"/>
      <c r="B239" s="417"/>
      <c r="C239" s="417"/>
      <c r="D239" s="430"/>
      <c r="E239" s="1248"/>
      <c r="F239" s="1248"/>
      <c r="G239" s="817"/>
      <c r="H239" s="817"/>
      <c r="I239" s="817"/>
      <c r="J239" s="817"/>
      <c r="K239" s="817"/>
      <c r="L239" s="817"/>
      <c r="M239" s="817"/>
      <c r="N239" s="817"/>
      <c r="O239" s="417"/>
      <c r="P239" s="72"/>
      <c r="Q239" s="72"/>
    </row>
    <row r="240" spans="1:17" x14ac:dyDescent="0.2">
      <c r="A240" s="72"/>
      <c r="B240" s="417"/>
      <c r="C240" s="417"/>
      <c r="D240" s="430"/>
      <c r="E240" s="1248"/>
      <c r="F240" s="1248"/>
      <c r="G240" s="817"/>
      <c r="H240" s="817"/>
      <c r="I240" s="817"/>
      <c r="J240" s="817"/>
      <c r="K240" s="817"/>
      <c r="L240" s="817"/>
      <c r="M240" s="817"/>
      <c r="N240" s="817"/>
      <c r="O240" s="417"/>
      <c r="P240" s="72"/>
      <c r="Q240" s="72"/>
    </row>
    <row r="241" spans="1:17" x14ac:dyDescent="0.2">
      <c r="A241" s="72"/>
      <c r="B241" s="417"/>
      <c r="C241" s="417"/>
      <c r="D241" s="430"/>
      <c r="E241" s="1248"/>
      <c r="F241" s="1248"/>
      <c r="G241" s="817"/>
      <c r="H241" s="817"/>
      <c r="I241" s="817"/>
      <c r="J241" s="817"/>
      <c r="K241" s="817"/>
      <c r="L241" s="817"/>
      <c r="M241" s="817"/>
      <c r="N241" s="817"/>
      <c r="O241" s="417"/>
      <c r="P241" s="72"/>
      <c r="Q241" s="72"/>
    </row>
    <row r="242" spans="1:17" x14ac:dyDescent="0.2">
      <c r="A242" s="72"/>
      <c r="B242" s="417"/>
      <c r="C242" s="417"/>
      <c r="D242" s="430"/>
      <c r="E242" s="1248"/>
      <c r="F242" s="1248"/>
      <c r="G242" s="817"/>
      <c r="H242" s="817"/>
      <c r="I242" s="817"/>
      <c r="J242" s="817"/>
      <c r="K242" s="817"/>
      <c r="L242" s="817"/>
      <c r="M242" s="817"/>
      <c r="N242" s="817"/>
      <c r="O242" s="417"/>
      <c r="P242" s="72"/>
      <c r="Q242" s="72"/>
    </row>
    <row r="243" spans="1:17" x14ac:dyDescent="0.2">
      <c r="A243" s="72"/>
      <c r="B243" s="417"/>
      <c r="C243" s="417"/>
      <c r="D243" s="430"/>
      <c r="E243" s="1248"/>
      <c r="F243" s="1248"/>
      <c r="G243" s="817"/>
      <c r="H243" s="817"/>
      <c r="I243" s="817"/>
      <c r="J243" s="817"/>
      <c r="K243" s="817"/>
      <c r="L243" s="817"/>
      <c r="M243" s="817"/>
      <c r="N243" s="817"/>
      <c r="O243" s="417"/>
      <c r="P243" s="72"/>
      <c r="Q243" s="72"/>
    </row>
    <row r="244" spans="1:17" x14ac:dyDescent="0.2">
      <c r="A244" s="72"/>
      <c r="B244" s="417"/>
      <c r="C244" s="417"/>
      <c r="D244" s="430"/>
      <c r="E244" s="1248"/>
      <c r="F244" s="1248"/>
      <c r="G244" s="817"/>
      <c r="H244" s="817"/>
      <c r="I244" s="817"/>
      <c r="J244" s="817"/>
      <c r="K244" s="817"/>
      <c r="L244" s="817"/>
      <c r="M244" s="817"/>
      <c r="N244" s="817"/>
      <c r="O244" s="417"/>
      <c r="P244" s="72"/>
      <c r="Q244" s="72"/>
    </row>
    <row r="245" spans="1:17" x14ac:dyDescent="0.2">
      <c r="A245" s="72"/>
      <c r="B245" s="417"/>
      <c r="C245" s="417"/>
      <c r="D245" s="430"/>
      <c r="E245" s="1248"/>
      <c r="F245" s="1248"/>
      <c r="G245" s="817"/>
      <c r="H245" s="817"/>
      <c r="I245" s="817"/>
      <c r="J245" s="817"/>
      <c r="K245" s="817"/>
      <c r="L245" s="817"/>
      <c r="M245" s="817"/>
      <c r="N245" s="817"/>
      <c r="O245" s="417"/>
      <c r="P245" s="72"/>
      <c r="Q245" s="72"/>
    </row>
    <row r="246" spans="1:17" x14ac:dyDescent="0.2">
      <c r="A246" s="72"/>
      <c r="B246" s="417"/>
      <c r="C246" s="417"/>
      <c r="D246" s="446"/>
      <c r="E246" s="447"/>
      <c r="F246" s="447"/>
      <c r="G246" s="447"/>
      <c r="H246" s="447"/>
      <c r="I246" s="447"/>
      <c r="J246" s="447"/>
      <c r="K246" s="447"/>
      <c r="L246" s="447"/>
      <c r="M246" s="417"/>
      <c r="N246" s="417"/>
      <c r="O246" s="417"/>
      <c r="P246" s="72"/>
      <c r="Q246" s="72"/>
    </row>
    <row r="247" spans="1:17" s="34" customFormat="1" ht="18.75" customHeight="1" x14ac:dyDescent="0.2">
      <c r="A247" s="76"/>
      <c r="B247" s="414"/>
      <c r="C247" s="53">
        <v>24</v>
      </c>
      <c r="D247" s="884" t="str">
        <f>Translations!$B$41</f>
        <v>Additional information</v>
      </c>
      <c r="E247" s="884"/>
      <c r="F247" s="884"/>
      <c r="G247" s="884"/>
      <c r="H247" s="884"/>
      <c r="I247" s="884"/>
      <c r="J247" s="884"/>
      <c r="K247" s="884"/>
      <c r="L247" s="884"/>
      <c r="M247" s="884"/>
      <c r="N247" s="884"/>
      <c r="O247" s="417"/>
      <c r="P247" s="72"/>
      <c r="Q247" s="72"/>
    </row>
    <row r="248" spans="1:17" x14ac:dyDescent="0.2">
      <c r="A248" s="72"/>
      <c r="B248" s="417"/>
      <c r="C248" s="417"/>
      <c r="D248" s="440"/>
      <c r="E248" s="316"/>
      <c r="F248" s="316"/>
      <c r="G248" s="316"/>
      <c r="H248" s="316"/>
      <c r="I248" s="316"/>
      <c r="J248" s="316"/>
      <c r="K248" s="316"/>
      <c r="L248" s="316"/>
      <c r="M248" s="417"/>
      <c r="N248" s="417"/>
      <c r="O248" s="417"/>
      <c r="P248" s="72"/>
      <c r="Q248" s="72"/>
    </row>
    <row r="249" spans="1:17" ht="25.5" customHeight="1" x14ac:dyDescent="0.2">
      <c r="A249" s="72"/>
      <c r="B249" s="417"/>
      <c r="C249" s="417"/>
      <c r="D249" s="68" t="s">
        <v>1018</v>
      </c>
      <c r="E249" s="949" t="str">
        <f>Translations!$B$771</f>
        <v>If you are providing any other information that you wish us to take into account in considering your plan, tell us here. Please provide this information in an electronic format wherever possible. You can provide information as Microsoft Word, Excel, or Adobe Acrobat formats.</v>
      </c>
      <c r="F249" s="949"/>
      <c r="G249" s="949"/>
      <c r="H249" s="949"/>
      <c r="I249" s="949"/>
      <c r="J249" s="949"/>
      <c r="K249" s="949"/>
      <c r="L249" s="949"/>
      <c r="M249" s="949"/>
      <c r="N249" s="949"/>
      <c r="O249" s="417"/>
      <c r="P249" s="72"/>
      <c r="Q249" s="72"/>
    </row>
    <row r="250" spans="1:17" ht="25.5" customHeight="1" x14ac:dyDescent="0.2">
      <c r="A250" s="72"/>
      <c r="B250" s="417"/>
      <c r="C250" s="417"/>
      <c r="D250" s="135"/>
      <c r="E250" s="1191" t="str">
        <f>Translations!$B$772</f>
        <v>You are advised to avoid supplying non-relevant information as it can slow down the approval. Additional documentation provided should be clearly referenced, and the file name / reference number provided below. If needed, check with your competent authority</v>
      </c>
      <c r="F250" s="1191"/>
      <c r="G250" s="1191"/>
      <c r="H250" s="1191"/>
      <c r="I250" s="1191"/>
      <c r="J250" s="1191"/>
      <c r="K250" s="1191"/>
      <c r="L250" s="1191"/>
      <c r="M250" s="1191"/>
      <c r="N250" s="1191"/>
      <c r="O250" s="417"/>
      <c r="P250" s="72"/>
      <c r="Q250" s="72"/>
    </row>
    <row r="251" spans="1:17" ht="12.75" customHeight="1" x14ac:dyDescent="0.2">
      <c r="A251" s="72"/>
      <c r="B251" s="417"/>
      <c r="C251" s="417"/>
      <c r="D251" s="430"/>
      <c r="E251" s="1191" t="str">
        <f>Translations!$B$773</f>
        <v>Please provide file name(s) (if in an electronic format) or document reference number(s) (if hard copy) below:</v>
      </c>
      <c r="F251" s="1191"/>
      <c r="G251" s="1191"/>
      <c r="H251" s="1191"/>
      <c r="I251" s="1191"/>
      <c r="J251" s="1191"/>
      <c r="K251" s="1191"/>
      <c r="L251" s="1191"/>
      <c r="M251" s="1191"/>
      <c r="N251" s="1191"/>
      <c r="O251" s="417"/>
      <c r="P251" s="72"/>
      <c r="Q251" s="72"/>
    </row>
    <row r="252" spans="1:17" ht="5.0999999999999996" customHeight="1" x14ac:dyDescent="0.2">
      <c r="A252" s="72"/>
      <c r="B252" s="417"/>
      <c r="C252" s="417"/>
      <c r="D252" s="440"/>
      <c r="E252" s="316"/>
      <c r="F252" s="316"/>
      <c r="G252" s="316"/>
      <c r="H252" s="316"/>
      <c r="I252" s="316"/>
      <c r="J252" s="316"/>
      <c r="K252" s="316"/>
      <c r="L252" s="316"/>
      <c r="M252" s="417"/>
      <c r="N252" s="417"/>
      <c r="O252" s="417"/>
      <c r="P252" s="72"/>
      <c r="Q252" s="72"/>
    </row>
    <row r="253" spans="1:17" ht="12.75" customHeight="1" x14ac:dyDescent="0.2">
      <c r="A253" s="72"/>
      <c r="B253" s="417"/>
      <c r="C253" s="417"/>
      <c r="D253" s="430"/>
      <c r="E253" s="926" t="str">
        <f>Translations!$B$774</f>
        <v>File name/Reference</v>
      </c>
      <c r="F253" s="927"/>
      <c r="G253" s="926" t="str">
        <f>Translations!$B$775</f>
        <v>Document description</v>
      </c>
      <c r="H253" s="927"/>
      <c r="I253" s="927"/>
      <c r="J253" s="927"/>
      <c r="K253" s="927"/>
      <c r="L253" s="927"/>
      <c r="M253" s="927"/>
      <c r="N253" s="927"/>
      <c r="O253" s="417"/>
      <c r="P253" s="72"/>
      <c r="Q253" s="72"/>
    </row>
    <row r="254" spans="1:17" x14ac:dyDescent="0.2">
      <c r="A254" s="72"/>
      <c r="B254" s="417"/>
      <c r="C254" s="417"/>
      <c r="D254" s="430"/>
      <c r="E254" s="1248"/>
      <c r="F254" s="1248"/>
      <c r="G254" s="817"/>
      <c r="H254" s="817"/>
      <c r="I254" s="817"/>
      <c r="J254" s="817"/>
      <c r="K254" s="817"/>
      <c r="L254" s="817"/>
      <c r="M254" s="817"/>
      <c r="N254" s="817"/>
      <c r="O254" s="417"/>
      <c r="P254" s="72"/>
      <c r="Q254" s="72"/>
    </row>
    <row r="255" spans="1:17" x14ac:dyDescent="0.2">
      <c r="A255" s="72"/>
      <c r="B255" s="417"/>
      <c r="C255" s="417"/>
      <c r="D255" s="430"/>
      <c r="E255" s="1248"/>
      <c r="F255" s="1248"/>
      <c r="G255" s="817"/>
      <c r="H255" s="817"/>
      <c r="I255" s="817"/>
      <c r="J255" s="817"/>
      <c r="K255" s="817"/>
      <c r="L255" s="817"/>
      <c r="M255" s="817"/>
      <c r="N255" s="817"/>
      <c r="O255" s="417"/>
      <c r="P255" s="72"/>
      <c r="Q255" s="72"/>
    </row>
    <row r="256" spans="1:17" x14ac:dyDescent="0.2">
      <c r="A256" s="72"/>
      <c r="B256" s="417"/>
      <c r="C256" s="417"/>
      <c r="D256" s="430"/>
      <c r="E256" s="1248"/>
      <c r="F256" s="1248"/>
      <c r="G256" s="817"/>
      <c r="H256" s="817"/>
      <c r="I256" s="817"/>
      <c r="J256" s="817"/>
      <c r="K256" s="817"/>
      <c r="L256" s="817"/>
      <c r="M256" s="817"/>
      <c r="N256" s="817"/>
      <c r="O256" s="417"/>
      <c r="P256" s="72"/>
      <c r="Q256" s="72"/>
    </row>
    <row r="257" spans="1:17" x14ac:dyDescent="0.2">
      <c r="A257" s="72"/>
      <c r="B257" s="417"/>
      <c r="C257" s="417"/>
      <c r="D257" s="430"/>
      <c r="E257" s="1248"/>
      <c r="F257" s="1248"/>
      <c r="G257" s="817"/>
      <c r="H257" s="817"/>
      <c r="I257" s="817"/>
      <c r="J257" s="817"/>
      <c r="K257" s="817"/>
      <c r="L257" s="817"/>
      <c r="M257" s="817"/>
      <c r="N257" s="817"/>
      <c r="O257" s="417"/>
      <c r="P257" s="72"/>
      <c r="Q257" s="72"/>
    </row>
    <row r="258" spans="1:17" x14ac:dyDescent="0.2">
      <c r="A258" s="72"/>
      <c r="B258" s="417"/>
      <c r="C258" s="417"/>
      <c r="D258" s="430"/>
      <c r="E258" s="1248"/>
      <c r="F258" s="1248"/>
      <c r="G258" s="817"/>
      <c r="H258" s="817"/>
      <c r="I258" s="817"/>
      <c r="J258" s="817"/>
      <c r="K258" s="817"/>
      <c r="L258" s="817"/>
      <c r="M258" s="817"/>
      <c r="N258" s="817"/>
      <c r="O258" s="417"/>
      <c r="P258" s="72"/>
      <c r="Q258" s="72"/>
    </row>
    <row r="259" spans="1:17" x14ac:dyDescent="0.2">
      <c r="A259" s="72"/>
      <c r="B259" s="417"/>
      <c r="C259" s="417"/>
      <c r="D259" s="430"/>
      <c r="E259" s="1248"/>
      <c r="F259" s="1248"/>
      <c r="G259" s="817"/>
      <c r="H259" s="817"/>
      <c r="I259" s="817"/>
      <c r="J259" s="817"/>
      <c r="K259" s="817"/>
      <c r="L259" s="817"/>
      <c r="M259" s="817"/>
      <c r="N259" s="817"/>
      <c r="O259" s="417"/>
      <c r="P259" s="72"/>
      <c r="Q259" s="72"/>
    </row>
    <row r="260" spans="1:17" x14ac:dyDescent="0.2">
      <c r="A260" s="72"/>
      <c r="B260" s="417"/>
      <c r="C260" s="417"/>
      <c r="D260" s="430"/>
      <c r="E260" s="1248"/>
      <c r="F260" s="1248"/>
      <c r="G260" s="817"/>
      <c r="H260" s="817"/>
      <c r="I260" s="817"/>
      <c r="J260" s="817"/>
      <c r="K260" s="817"/>
      <c r="L260" s="817"/>
      <c r="M260" s="817"/>
      <c r="N260" s="817"/>
      <c r="O260" s="417"/>
      <c r="P260" s="72"/>
      <c r="Q260" s="72"/>
    </row>
    <row r="261" spans="1:17" x14ac:dyDescent="0.2">
      <c r="A261" s="72"/>
      <c r="B261" s="417"/>
      <c r="C261" s="417"/>
      <c r="D261" s="430"/>
      <c r="E261" s="1248"/>
      <c r="F261" s="1248"/>
      <c r="G261" s="817"/>
      <c r="H261" s="817"/>
      <c r="I261" s="817"/>
      <c r="J261" s="817"/>
      <c r="K261" s="817"/>
      <c r="L261" s="817"/>
      <c r="M261" s="817"/>
      <c r="N261" s="817"/>
      <c r="O261" s="417"/>
      <c r="P261" s="72"/>
      <c r="Q261" s="72"/>
    </row>
    <row r="262" spans="1:17" x14ac:dyDescent="0.2">
      <c r="A262" s="72"/>
      <c r="B262" s="417"/>
      <c r="C262" s="417"/>
      <c r="D262" s="430"/>
      <c r="E262" s="1248"/>
      <c r="F262" s="1248"/>
      <c r="G262" s="817"/>
      <c r="H262" s="817"/>
      <c r="I262" s="817"/>
      <c r="J262" s="817"/>
      <c r="K262" s="817"/>
      <c r="L262" s="817"/>
      <c r="M262" s="817"/>
      <c r="N262" s="817"/>
      <c r="O262" s="417"/>
      <c r="P262" s="72"/>
      <c r="Q262" s="72"/>
    </row>
    <row r="263" spans="1:17" x14ac:dyDescent="0.2">
      <c r="A263" s="72"/>
      <c r="B263" s="417"/>
      <c r="C263" s="417"/>
      <c r="D263" s="430"/>
      <c r="E263" s="1248"/>
      <c r="F263" s="1248"/>
      <c r="G263" s="817"/>
      <c r="H263" s="817"/>
      <c r="I263" s="817"/>
      <c r="J263" s="817"/>
      <c r="K263" s="817"/>
      <c r="L263" s="817"/>
      <c r="M263" s="817"/>
      <c r="N263" s="817"/>
      <c r="O263" s="417"/>
      <c r="P263" s="72"/>
      <c r="Q263" s="72"/>
    </row>
    <row r="264" spans="1:17" ht="12.75" customHeight="1" x14ac:dyDescent="0.2">
      <c r="A264" s="72"/>
      <c r="B264" s="417"/>
      <c r="C264" s="417"/>
      <c r="D264" s="430"/>
      <c r="E264" s="417"/>
      <c r="F264" s="417"/>
      <c r="G264" s="417"/>
      <c r="H264" s="417"/>
      <c r="I264" s="417"/>
      <c r="J264" s="417"/>
      <c r="K264" s="417"/>
      <c r="L264" s="417"/>
      <c r="M264" s="417"/>
      <c r="N264" s="417"/>
      <c r="O264" s="417"/>
      <c r="P264" s="72"/>
      <c r="Q264" s="72"/>
    </row>
    <row r="265" spans="1:17" s="34" customFormat="1" ht="18.75" customHeight="1" x14ac:dyDescent="0.2">
      <c r="A265" s="76"/>
      <c r="B265" s="414"/>
      <c r="C265" s="53">
        <v>25</v>
      </c>
      <c r="D265" s="884" t="str">
        <f>Translations!$B$1152</f>
        <v>Further procedures</v>
      </c>
      <c r="E265" s="884"/>
      <c r="F265" s="884"/>
      <c r="G265" s="884"/>
      <c r="H265" s="884"/>
      <c r="I265" s="884"/>
      <c r="J265" s="884"/>
      <c r="K265" s="884"/>
      <c r="L265" s="884"/>
      <c r="M265" s="884"/>
      <c r="N265" s="884"/>
      <c r="O265" s="417"/>
      <c r="P265" s="72"/>
      <c r="Q265" s="72"/>
    </row>
    <row r="266" spans="1:17" x14ac:dyDescent="0.2">
      <c r="A266" s="72"/>
      <c r="B266" s="417"/>
      <c r="C266" s="417"/>
      <c r="D266" s="430"/>
      <c r="E266" s="417"/>
      <c r="F266" s="417"/>
      <c r="G266" s="417"/>
      <c r="H266" s="417"/>
      <c r="I266" s="417"/>
      <c r="J266" s="417"/>
      <c r="K266" s="417"/>
      <c r="L266" s="417"/>
      <c r="M266" s="417"/>
      <c r="N266" s="417"/>
      <c r="O266" s="417"/>
      <c r="P266" s="72"/>
      <c r="Q266" s="72"/>
    </row>
    <row r="267" spans="1:17" ht="12.75" hidden="1" customHeight="1" x14ac:dyDescent="0.2">
      <c r="A267" s="17" t="s">
        <v>1090</v>
      </c>
      <c r="B267" s="417"/>
      <c r="C267" s="417"/>
      <c r="D267" s="417"/>
      <c r="E267" s="417"/>
      <c r="F267" s="417"/>
      <c r="G267" s="417"/>
      <c r="H267" s="417"/>
      <c r="I267" s="417"/>
      <c r="J267" s="417"/>
      <c r="K267" s="417"/>
      <c r="L267" s="417"/>
      <c r="M267" s="417"/>
      <c r="N267" s="417"/>
      <c r="P267" s="72"/>
      <c r="Q267" s="72"/>
    </row>
    <row r="268" spans="1:17" s="316" customFormat="1" ht="12.75" hidden="1" customHeight="1" x14ac:dyDescent="0.2">
      <c r="A268" s="17" t="s">
        <v>1090</v>
      </c>
      <c r="B268" s="417"/>
      <c r="C268" s="417"/>
      <c r="D268" s="417"/>
      <c r="E268" s="717" t="str">
        <f>Translations!$B$1150</f>
        <v>Further procedure added by the operator</v>
      </c>
      <c r="F268" s="717"/>
      <c r="G268" s="717"/>
      <c r="H268" s="717"/>
      <c r="I268" s="717"/>
      <c r="J268" s="717"/>
      <c r="K268" s="717"/>
      <c r="L268" s="717"/>
      <c r="M268" s="717"/>
      <c r="N268" s="717"/>
      <c r="O268" s="417"/>
      <c r="P268" s="72"/>
      <c r="Q268" s="72"/>
    </row>
    <row r="269" spans="1:17" ht="12.75" hidden="1" customHeight="1" x14ac:dyDescent="0.2">
      <c r="A269" s="17" t="s">
        <v>1090</v>
      </c>
      <c r="B269" s="417"/>
      <c r="C269" s="417"/>
      <c r="D269" s="417"/>
      <c r="E269" s="417"/>
      <c r="F269" s="417"/>
      <c r="G269" s="417"/>
      <c r="H269" s="417"/>
      <c r="I269" s="417"/>
      <c r="J269" s="417"/>
      <c r="K269" s="417"/>
      <c r="L269" s="417"/>
      <c r="M269" s="417"/>
      <c r="N269" s="417"/>
      <c r="O269" s="417"/>
      <c r="P269" s="72"/>
      <c r="Q269" s="72"/>
    </row>
    <row r="270" spans="1:17" ht="12.75" hidden="1" customHeight="1" x14ac:dyDescent="0.2">
      <c r="A270" s="17" t="s">
        <v>1090</v>
      </c>
      <c r="B270" s="417"/>
      <c r="C270" s="417"/>
      <c r="D270" s="417"/>
      <c r="E270" s="950" t="str">
        <f>Translations!$B$405</f>
        <v>Title of procedure</v>
      </c>
      <c r="F270" s="951"/>
      <c r="G270" s="902"/>
      <c r="H270" s="851"/>
      <c r="I270" s="851"/>
      <c r="J270" s="851"/>
      <c r="K270" s="851"/>
      <c r="L270" s="851"/>
      <c r="M270" s="851"/>
      <c r="N270" s="852"/>
      <c r="O270" s="417"/>
      <c r="P270" s="72"/>
      <c r="Q270" s="72"/>
    </row>
    <row r="271" spans="1:17" ht="12.75" hidden="1" customHeight="1" x14ac:dyDescent="0.2">
      <c r="A271" s="17" t="s">
        <v>1090</v>
      </c>
      <c r="B271" s="417"/>
      <c r="C271" s="417"/>
      <c r="D271" s="417"/>
      <c r="E271" s="950" t="str">
        <f>Translations!$B$407</f>
        <v>Reference for procedure</v>
      </c>
      <c r="F271" s="951"/>
      <c r="G271" s="902"/>
      <c r="H271" s="851"/>
      <c r="I271" s="851"/>
      <c r="J271" s="851"/>
      <c r="K271" s="851"/>
      <c r="L271" s="851"/>
      <c r="M271" s="851"/>
      <c r="N271" s="852"/>
      <c r="O271" s="417"/>
      <c r="P271" s="72"/>
      <c r="Q271" s="72"/>
    </row>
    <row r="272" spans="1:17" ht="12.75" hidden="1" customHeight="1" x14ac:dyDescent="0.2">
      <c r="A272" s="17" t="s">
        <v>1090</v>
      </c>
      <c r="B272" s="417"/>
      <c r="C272" s="417"/>
      <c r="D272" s="417"/>
      <c r="E272" s="950" t="str">
        <f>Translations!$B$409</f>
        <v>Diagram reference (where applicable)</v>
      </c>
      <c r="F272" s="951"/>
      <c r="G272" s="902"/>
      <c r="H272" s="851"/>
      <c r="I272" s="851"/>
      <c r="J272" s="851"/>
      <c r="K272" s="851"/>
      <c r="L272" s="851"/>
      <c r="M272" s="851"/>
      <c r="N272" s="852"/>
      <c r="O272" s="417"/>
      <c r="P272" s="72"/>
      <c r="Q272" s="72"/>
    </row>
    <row r="273" spans="1:23" ht="25.5" hidden="1" customHeight="1" x14ac:dyDescent="0.2">
      <c r="A273" s="17" t="s">
        <v>1090</v>
      </c>
      <c r="B273" s="417"/>
      <c r="C273" s="417"/>
      <c r="D273" s="417"/>
      <c r="E273" s="952" t="str">
        <f>Translations!$B$411</f>
        <v xml:space="preserve">Brief description of procedure    </v>
      </c>
      <c r="F273" s="953"/>
      <c r="G273" s="954"/>
      <c r="H273" s="955"/>
      <c r="I273" s="955"/>
      <c r="J273" s="955"/>
      <c r="K273" s="955"/>
      <c r="L273" s="955"/>
      <c r="M273" s="955"/>
      <c r="N273" s="956"/>
      <c r="O273" s="417"/>
      <c r="P273" s="72"/>
      <c r="Q273" s="72"/>
    </row>
    <row r="274" spans="1:23" ht="25.5" hidden="1" customHeight="1" x14ac:dyDescent="0.2">
      <c r="A274" s="17" t="s">
        <v>1090</v>
      </c>
      <c r="B274" s="417"/>
      <c r="C274" s="417"/>
      <c r="D274" s="417"/>
      <c r="E274" s="590"/>
      <c r="F274" s="591"/>
      <c r="G274" s="957"/>
      <c r="H274" s="958"/>
      <c r="I274" s="958"/>
      <c r="J274" s="958"/>
      <c r="K274" s="958"/>
      <c r="L274" s="958"/>
      <c r="M274" s="958"/>
      <c r="N274" s="959"/>
      <c r="O274" s="417"/>
      <c r="P274" s="72"/>
      <c r="Q274" s="72"/>
    </row>
    <row r="275" spans="1:23" ht="25.5" hidden="1" customHeight="1" x14ac:dyDescent="0.2">
      <c r="A275" s="17" t="s">
        <v>1090</v>
      </c>
      <c r="B275" s="417"/>
      <c r="C275" s="417"/>
      <c r="D275" s="417"/>
      <c r="E275" s="592"/>
      <c r="F275" s="593"/>
      <c r="G275" s="960"/>
      <c r="H275" s="961"/>
      <c r="I275" s="961"/>
      <c r="J275" s="961"/>
      <c r="K275" s="961"/>
      <c r="L275" s="961"/>
      <c r="M275" s="961"/>
      <c r="N275" s="962"/>
      <c r="O275" s="417"/>
      <c r="P275" s="72"/>
      <c r="Q275" s="72"/>
    </row>
    <row r="276" spans="1:23" ht="25.5" hidden="1" customHeight="1" x14ac:dyDescent="0.2">
      <c r="A276" s="17" t="s">
        <v>1090</v>
      </c>
      <c r="B276" s="417"/>
      <c r="C276" s="417"/>
      <c r="D276" s="417"/>
      <c r="E276" s="950" t="str">
        <f>Translations!$B$414</f>
        <v>Post or department responsible for the procedure and for any data generated</v>
      </c>
      <c r="F276" s="951"/>
      <c r="G276" s="902"/>
      <c r="H276" s="903"/>
      <c r="I276" s="903"/>
      <c r="J276" s="903"/>
      <c r="K276" s="903"/>
      <c r="L276" s="903"/>
      <c r="M276" s="903"/>
      <c r="N276" s="904"/>
      <c r="O276" s="417"/>
      <c r="P276" s="72"/>
      <c r="Q276" s="72"/>
    </row>
    <row r="277" spans="1:23" ht="12.75" hidden="1" customHeight="1" x14ac:dyDescent="0.2">
      <c r="A277" s="17" t="s">
        <v>1090</v>
      </c>
      <c r="B277" s="417"/>
      <c r="C277" s="417"/>
      <c r="D277" s="417"/>
      <c r="E277" s="950" t="str">
        <f>Translations!$B$416</f>
        <v>Location where records are kept</v>
      </c>
      <c r="F277" s="951"/>
      <c r="G277" s="902"/>
      <c r="H277" s="851"/>
      <c r="I277" s="851"/>
      <c r="J277" s="851"/>
      <c r="K277" s="851"/>
      <c r="L277" s="851"/>
      <c r="M277" s="851"/>
      <c r="N277" s="852"/>
      <c r="O277" s="417"/>
      <c r="P277" s="72"/>
      <c r="Q277" s="72"/>
    </row>
    <row r="278" spans="1:23" ht="25.5" hidden="1" customHeight="1" x14ac:dyDescent="0.2">
      <c r="A278" s="17" t="s">
        <v>1090</v>
      </c>
      <c r="B278" s="417"/>
      <c r="C278" s="417"/>
      <c r="D278" s="417"/>
      <c r="E278" s="950" t="str">
        <f>Translations!$B$418</f>
        <v>Name of IT system used (where applicable).</v>
      </c>
      <c r="F278" s="951"/>
      <c r="G278" s="902"/>
      <c r="H278" s="851"/>
      <c r="I278" s="851"/>
      <c r="J278" s="851"/>
      <c r="K278" s="851"/>
      <c r="L278" s="851"/>
      <c r="M278" s="851"/>
      <c r="N278" s="852"/>
      <c r="O278" s="417"/>
      <c r="P278" s="72"/>
      <c r="Q278" s="72"/>
    </row>
    <row r="279" spans="1:23" ht="25.5" hidden="1" customHeight="1" x14ac:dyDescent="0.2">
      <c r="A279" s="17" t="s">
        <v>1090</v>
      </c>
      <c r="B279" s="417"/>
      <c r="C279" s="417"/>
      <c r="D279" s="417"/>
      <c r="E279" s="950" t="str">
        <f>Translations!$B$420</f>
        <v>List of EN or other standards applied (where relevant)</v>
      </c>
      <c r="F279" s="951"/>
      <c r="G279" s="902"/>
      <c r="H279" s="851"/>
      <c r="I279" s="851"/>
      <c r="J279" s="851"/>
      <c r="K279" s="851"/>
      <c r="L279" s="851"/>
      <c r="M279" s="851"/>
      <c r="N279" s="852"/>
      <c r="O279" s="417"/>
      <c r="P279" s="72"/>
      <c r="Q279" s="72"/>
    </row>
    <row r="280" spans="1:23" ht="12.75" customHeight="1" x14ac:dyDescent="0.2">
      <c r="A280" s="72" t="s">
        <v>5</v>
      </c>
      <c r="B280" s="417"/>
      <c r="C280" s="417"/>
      <c r="D280" s="417"/>
      <c r="E280" s="417"/>
      <c r="F280" s="417"/>
      <c r="G280" s="417"/>
      <c r="H280" s="417"/>
      <c r="I280" s="417"/>
      <c r="J280" s="417"/>
      <c r="K280" s="417"/>
      <c r="L280" s="417"/>
      <c r="M280" s="417"/>
      <c r="N280" s="417"/>
      <c r="O280" s="417"/>
      <c r="P280" s="72"/>
      <c r="Q280" s="72"/>
    </row>
    <row r="281" spans="1:23" ht="5.0999999999999996" customHeight="1" x14ac:dyDescent="0.2">
      <c r="A281" s="17"/>
      <c r="B281" s="417"/>
      <c r="C281" s="430"/>
      <c r="D281" s="14"/>
      <c r="E281" s="417"/>
      <c r="F281" s="417"/>
      <c r="G281" s="1025" t="str">
        <f>Translations!$B$429</f>
        <v>Click "+" to add more procedures</v>
      </c>
      <c r="H281" s="1026"/>
      <c r="I281" s="1026"/>
      <c r="J281" s="1026"/>
      <c r="K281" s="1027"/>
      <c r="L281" s="417"/>
      <c r="M281" s="322"/>
      <c r="N281" s="417"/>
      <c r="O281" s="337"/>
      <c r="P281" s="72"/>
      <c r="Q281" s="72"/>
    </row>
    <row r="282" spans="1:23" ht="12.75" customHeight="1" x14ac:dyDescent="0.2">
      <c r="A282" s="17"/>
      <c r="B282" s="417"/>
      <c r="C282" s="430"/>
      <c r="D282" s="14"/>
      <c r="E282" s="417"/>
      <c r="F282" s="417"/>
      <c r="G282" s="1028"/>
      <c r="H282" s="1029"/>
      <c r="I282" s="1029"/>
      <c r="J282" s="1029"/>
      <c r="K282" s="854"/>
      <c r="L282" s="417"/>
      <c r="M282" s="322"/>
      <c r="N282" s="417"/>
      <c r="O282" s="337"/>
      <c r="P282" s="72"/>
      <c r="Q282" s="72"/>
    </row>
    <row r="283" spans="1:23" ht="5.0999999999999996" customHeight="1" x14ac:dyDescent="0.2">
      <c r="A283" s="17"/>
      <c r="B283" s="417"/>
      <c r="C283" s="430"/>
      <c r="D283" s="14"/>
      <c r="E283" s="417"/>
      <c r="F283" s="417"/>
      <c r="G283" s="1030"/>
      <c r="H283" s="1031"/>
      <c r="I283" s="1031"/>
      <c r="J283" s="1031"/>
      <c r="K283" s="1032"/>
      <c r="L283" s="417"/>
      <c r="M283" s="322"/>
      <c r="N283" s="417"/>
      <c r="O283" s="337"/>
      <c r="P283" s="72"/>
      <c r="Q283" s="72"/>
    </row>
    <row r="284" spans="1:23" ht="12.75" customHeight="1" x14ac:dyDescent="0.2">
      <c r="A284" s="72"/>
      <c r="B284" s="417"/>
      <c r="C284" s="417"/>
      <c r="D284" s="417"/>
      <c r="E284" s="417"/>
      <c r="F284" s="417"/>
      <c r="G284" s="417"/>
      <c r="H284" s="417"/>
      <c r="I284" s="417"/>
      <c r="J284" s="417"/>
      <c r="K284" s="417"/>
      <c r="L284" s="417"/>
      <c r="M284" s="417"/>
      <c r="N284" s="417"/>
      <c r="O284" s="417"/>
      <c r="P284" s="72"/>
      <c r="Q284" s="72"/>
    </row>
    <row r="285" spans="1:23" s="11" customFormat="1" ht="15" customHeight="1" x14ac:dyDescent="0.2">
      <c r="A285" s="6"/>
      <c r="E285" s="218"/>
      <c r="F285" s="770" t="str">
        <f>EUconst_MsgNextSheet</f>
        <v xml:space="preserve">&lt;&lt;&lt; Click here to proceed to next sheet &gt;&gt;&gt; </v>
      </c>
      <c r="G285" s="770"/>
      <c r="H285" s="770"/>
      <c r="I285" s="770"/>
      <c r="J285" s="770"/>
      <c r="K285" s="770"/>
      <c r="L285" s="770"/>
      <c r="M285" s="218"/>
      <c r="N285" s="218"/>
      <c r="P285" s="6"/>
      <c r="Q285" s="72"/>
      <c r="R285" s="8"/>
      <c r="S285" s="8"/>
      <c r="T285" s="8"/>
      <c r="U285" s="8"/>
      <c r="V285" s="8"/>
      <c r="W285" s="8"/>
    </row>
    <row r="286" spans="1:23" x14ac:dyDescent="0.2">
      <c r="A286" s="72"/>
      <c r="B286" s="417"/>
      <c r="C286" s="417"/>
      <c r="D286" s="417"/>
      <c r="E286" s="430"/>
      <c r="F286" s="417"/>
      <c r="G286" s="417"/>
      <c r="H286" s="417"/>
      <c r="I286" s="417"/>
      <c r="J286" s="417"/>
      <c r="K286" s="417"/>
      <c r="L286" s="417"/>
      <c r="M286" s="417"/>
      <c r="N286" s="417"/>
      <c r="O286" s="417"/>
      <c r="P286" s="72"/>
      <c r="Q286" s="72"/>
    </row>
  </sheetData>
  <sheetProtection sheet="1" objects="1" scenarios="1" formatCells="0" formatColumns="0" formatRows="0"/>
  <mergeCells count="386">
    <mergeCell ref="E279:F279"/>
    <mergeCell ref="G279:N279"/>
    <mergeCell ref="G281:K283"/>
    <mergeCell ref="L6:N6"/>
    <mergeCell ref="K8:N8"/>
    <mergeCell ref="C8:J8"/>
    <mergeCell ref="E268:N268"/>
    <mergeCell ref="E277:F277"/>
    <mergeCell ref="G277:N277"/>
    <mergeCell ref="E278:F278"/>
    <mergeCell ref="E272:F272"/>
    <mergeCell ref="G272:N272"/>
    <mergeCell ref="E262:F262"/>
    <mergeCell ref="E273:F273"/>
    <mergeCell ref="G273:N273"/>
    <mergeCell ref="G278:N278"/>
    <mergeCell ref="G274:N274"/>
    <mergeCell ref="G275:N275"/>
    <mergeCell ref="E276:F276"/>
    <mergeCell ref="G276:N276"/>
    <mergeCell ref="E271:F271"/>
    <mergeCell ref="G271:N271"/>
    <mergeCell ref="E260:F260"/>
    <mergeCell ref="G260:N260"/>
    <mergeCell ref="D265:N265"/>
    <mergeCell ref="E270:F270"/>
    <mergeCell ref="G270:N270"/>
    <mergeCell ref="G262:N262"/>
    <mergeCell ref="G263:N263"/>
    <mergeCell ref="E263:F263"/>
    <mergeCell ref="G261:N261"/>
    <mergeCell ref="E259:F259"/>
    <mergeCell ref="G243:N243"/>
    <mergeCell ref="E261:F261"/>
    <mergeCell ref="D247:N247"/>
    <mergeCell ref="E249:N249"/>
    <mergeCell ref="E255:F255"/>
    <mergeCell ref="G255:N255"/>
    <mergeCell ref="E258:F258"/>
    <mergeCell ref="G258:N258"/>
    <mergeCell ref="G245:N245"/>
    <mergeCell ref="E253:F253"/>
    <mergeCell ref="E250:N250"/>
    <mergeCell ref="E251:N251"/>
    <mergeCell ref="E257:F257"/>
    <mergeCell ref="G257:N257"/>
    <mergeCell ref="E204:F204"/>
    <mergeCell ref="E238:F238"/>
    <mergeCell ref="G259:N259"/>
    <mergeCell ref="E226:I226"/>
    <mergeCell ref="E244:F244"/>
    <mergeCell ref="E245:F245"/>
    <mergeCell ref="G244:N244"/>
    <mergeCell ref="G253:N253"/>
    <mergeCell ref="E222:N222"/>
    <mergeCell ref="G242:N242"/>
    <mergeCell ref="E205:F205"/>
    <mergeCell ref="G240:N240"/>
    <mergeCell ref="E239:F239"/>
    <mergeCell ref="E240:F240"/>
    <mergeCell ref="E241:F241"/>
    <mergeCell ref="G241:N241"/>
    <mergeCell ref="G205:N205"/>
    <mergeCell ref="E242:F242"/>
    <mergeCell ref="G237:N237"/>
    <mergeCell ref="E225:N225"/>
    <mergeCell ref="E229:I229"/>
    <mergeCell ref="E233:N233"/>
    <mergeCell ref="E228:N228"/>
    <mergeCell ref="E235:F235"/>
    <mergeCell ref="G235:N235"/>
    <mergeCell ref="E254:F254"/>
    <mergeCell ref="G256:N256"/>
    <mergeCell ref="G239:N239"/>
    <mergeCell ref="G238:N238"/>
    <mergeCell ref="G236:N236"/>
    <mergeCell ref="E256:F256"/>
    <mergeCell ref="G254:N254"/>
    <mergeCell ref="E236:F236"/>
    <mergeCell ref="E237:F237"/>
    <mergeCell ref="E243:F243"/>
    <mergeCell ref="G196:N196"/>
    <mergeCell ref="E197:F197"/>
    <mergeCell ref="G197:N197"/>
    <mergeCell ref="G198:N198"/>
    <mergeCell ref="G201:N201"/>
    <mergeCell ref="D231:N231"/>
    <mergeCell ref="G203:N203"/>
    <mergeCell ref="G204:N204"/>
    <mergeCell ref="E202:F202"/>
    <mergeCell ref="G202:N202"/>
    <mergeCell ref="E203:F203"/>
    <mergeCell ref="E221:N221"/>
    <mergeCell ref="E199:F201"/>
    <mergeCell ref="G199:N199"/>
    <mergeCell ref="E223:I223"/>
    <mergeCell ref="E193:N193"/>
    <mergeCell ref="E190:F190"/>
    <mergeCell ref="G190:N190"/>
    <mergeCell ref="G182:N182"/>
    <mergeCell ref="E192:N192"/>
    <mergeCell ref="E189:F189"/>
    <mergeCell ref="E183:F183"/>
    <mergeCell ref="E184:F186"/>
    <mergeCell ref="G186:N186"/>
    <mergeCell ref="E187:F187"/>
    <mergeCell ref="G187:N187"/>
    <mergeCell ref="G189:N189"/>
    <mergeCell ref="G188:N188"/>
    <mergeCell ref="E178:N178"/>
    <mergeCell ref="E179:N179"/>
    <mergeCell ref="E181:F181"/>
    <mergeCell ref="E188:F188"/>
    <mergeCell ref="G184:N184"/>
    <mergeCell ref="G185:N185"/>
    <mergeCell ref="E182:F182"/>
    <mergeCell ref="E175:F175"/>
    <mergeCell ref="E169:F169"/>
    <mergeCell ref="G169:N169"/>
    <mergeCell ref="E170:F172"/>
    <mergeCell ref="G170:N170"/>
    <mergeCell ref="G171:N171"/>
    <mergeCell ref="G183:N183"/>
    <mergeCell ref="G181:N181"/>
    <mergeCell ref="E176:F176"/>
    <mergeCell ref="G172:N172"/>
    <mergeCell ref="E173:F173"/>
    <mergeCell ref="G173:N173"/>
    <mergeCell ref="E174:F174"/>
    <mergeCell ref="G174:N174"/>
    <mergeCell ref="G175:N175"/>
    <mergeCell ref="G176:N176"/>
    <mergeCell ref="E168:F168"/>
    <mergeCell ref="E165:N165"/>
    <mergeCell ref="E156:F158"/>
    <mergeCell ref="G156:N156"/>
    <mergeCell ref="G157:N157"/>
    <mergeCell ref="G158:N158"/>
    <mergeCell ref="G168:N168"/>
    <mergeCell ref="G161:N161"/>
    <mergeCell ref="E162:F162"/>
    <mergeCell ref="E167:F167"/>
    <mergeCell ref="E164:N164"/>
    <mergeCell ref="G167:N167"/>
    <mergeCell ref="G159:N159"/>
    <mergeCell ref="E160:F160"/>
    <mergeCell ref="E159:F159"/>
    <mergeCell ref="E161:F161"/>
    <mergeCell ref="G160:N160"/>
    <mergeCell ref="G162:N162"/>
    <mergeCell ref="E150:N150"/>
    <mergeCell ref="E151:N151"/>
    <mergeCell ref="G155:N155"/>
    <mergeCell ref="E153:F153"/>
    <mergeCell ref="G153:N153"/>
    <mergeCell ref="E155:F155"/>
    <mergeCell ref="E154:F154"/>
    <mergeCell ref="G154:N154"/>
    <mergeCell ref="E147:F147"/>
    <mergeCell ref="G148:N148"/>
    <mergeCell ref="E146:F146"/>
    <mergeCell ref="G146:N146"/>
    <mergeCell ref="G147:N147"/>
    <mergeCell ref="E148:F148"/>
    <mergeCell ref="E141:F141"/>
    <mergeCell ref="G141:N141"/>
    <mergeCell ref="E145:F145"/>
    <mergeCell ref="G145:N145"/>
    <mergeCell ref="G143:N143"/>
    <mergeCell ref="G144:N144"/>
    <mergeCell ref="E142:F144"/>
    <mergeCell ref="G142:N142"/>
    <mergeCell ref="E133:F133"/>
    <mergeCell ref="G133:N133"/>
    <mergeCell ref="G128:N128"/>
    <mergeCell ref="G129:N129"/>
    <mergeCell ref="G131:N131"/>
    <mergeCell ref="E131:F131"/>
    <mergeCell ref="E140:F140"/>
    <mergeCell ref="G140:N140"/>
    <mergeCell ref="E139:F139"/>
    <mergeCell ref="G139:N139"/>
    <mergeCell ref="E134:F134"/>
    <mergeCell ref="G134:N134"/>
    <mergeCell ref="E136:N136"/>
    <mergeCell ref="E137:N137"/>
    <mergeCell ref="E122:N122"/>
    <mergeCell ref="E123:N123"/>
    <mergeCell ref="E127:F127"/>
    <mergeCell ref="G130:N130"/>
    <mergeCell ref="G125:N125"/>
    <mergeCell ref="G127:N127"/>
    <mergeCell ref="E125:F125"/>
    <mergeCell ref="G126:N126"/>
    <mergeCell ref="E132:F132"/>
    <mergeCell ref="E126:F126"/>
    <mergeCell ref="G132:N132"/>
    <mergeCell ref="E128:F130"/>
    <mergeCell ref="G116:N116"/>
    <mergeCell ref="E113:F113"/>
    <mergeCell ref="G112:N112"/>
    <mergeCell ref="E112:F112"/>
    <mergeCell ref="E109:N109"/>
    <mergeCell ref="D106:N106"/>
    <mergeCell ref="G113:N113"/>
    <mergeCell ref="E119:F119"/>
    <mergeCell ref="E120:F120"/>
    <mergeCell ref="G117:N117"/>
    <mergeCell ref="G114:N114"/>
    <mergeCell ref="G115:N115"/>
    <mergeCell ref="G119:N119"/>
    <mergeCell ref="E114:F116"/>
    <mergeCell ref="G118:N118"/>
    <mergeCell ref="G120:N120"/>
    <mergeCell ref="E118:F118"/>
    <mergeCell ref="B2:D4"/>
    <mergeCell ref="E2:F2"/>
    <mergeCell ref="G2:H2"/>
    <mergeCell ref="E4:F4"/>
    <mergeCell ref="G4:H4"/>
    <mergeCell ref="G50:N50"/>
    <mergeCell ref="G49:N49"/>
    <mergeCell ref="G48:N48"/>
    <mergeCell ref="M4:N4"/>
    <mergeCell ref="K4:L4"/>
    <mergeCell ref="E13:N13"/>
    <mergeCell ref="E49:F49"/>
    <mergeCell ref="E50:F50"/>
    <mergeCell ref="E48:F48"/>
    <mergeCell ref="D10:N10"/>
    <mergeCell ref="C6:K6"/>
    <mergeCell ref="E41:F41"/>
    <mergeCell ref="G43:N43"/>
    <mergeCell ref="H21:N21"/>
    <mergeCell ref="E14:N14"/>
    <mergeCell ref="E18:G18"/>
    <mergeCell ref="E12:N12"/>
    <mergeCell ref="E15:N15"/>
    <mergeCell ref="E31:F31"/>
    <mergeCell ref="M2:N2"/>
    <mergeCell ref="E3:F3"/>
    <mergeCell ref="G3:H3"/>
    <mergeCell ref="I3:J3"/>
    <mergeCell ref="K3:L3"/>
    <mergeCell ref="K2:L2"/>
    <mergeCell ref="M3:N3"/>
    <mergeCell ref="I2:J2"/>
    <mergeCell ref="I4:J4"/>
    <mergeCell ref="E16:G16"/>
    <mergeCell ref="H16:N16"/>
    <mergeCell ref="E20:G20"/>
    <mergeCell ref="E32:F32"/>
    <mergeCell ref="G32:N32"/>
    <mergeCell ref="E17:G17"/>
    <mergeCell ref="H19:N19"/>
    <mergeCell ref="E21:G21"/>
    <mergeCell ref="H18:N18"/>
    <mergeCell ref="G31:N31"/>
    <mergeCell ref="H17:N17"/>
    <mergeCell ref="H20:N20"/>
    <mergeCell ref="G47:N47"/>
    <mergeCell ref="G45:N45"/>
    <mergeCell ref="G42:N42"/>
    <mergeCell ref="E47:F47"/>
    <mergeCell ref="E44:F46"/>
    <mergeCell ref="G44:N44"/>
    <mergeCell ref="E19:G19"/>
    <mergeCell ref="G33:N33"/>
    <mergeCell ref="E34:F36"/>
    <mergeCell ref="G34:N34"/>
    <mergeCell ref="G36:N36"/>
    <mergeCell ref="E33:F33"/>
    <mergeCell ref="G41:N41"/>
    <mergeCell ref="G35:N35"/>
    <mergeCell ref="E29:N29"/>
    <mergeCell ref="E28:N28"/>
    <mergeCell ref="G37:N37"/>
    <mergeCell ref="E37:F37"/>
    <mergeCell ref="E38:F38"/>
    <mergeCell ref="E39:F39"/>
    <mergeCell ref="E40:F40"/>
    <mergeCell ref="G39:N39"/>
    <mergeCell ref="G38:N38"/>
    <mergeCell ref="G40:N40"/>
    <mergeCell ref="G46:N46"/>
    <mergeCell ref="E43:F43"/>
    <mergeCell ref="E42:F42"/>
    <mergeCell ref="F285:L285"/>
    <mergeCell ref="E92:F92"/>
    <mergeCell ref="E67:F67"/>
    <mergeCell ref="G99:N99"/>
    <mergeCell ref="G96:N96"/>
    <mergeCell ref="E96:F96"/>
    <mergeCell ref="E93:F95"/>
    <mergeCell ref="G67:N67"/>
    <mergeCell ref="E117:F117"/>
    <mergeCell ref="E100:F100"/>
    <mergeCell ref="G98:N98"/>
    <mergeCell ref="E97:F97"/>
    <mergeCell ref="E98:F98"/>
    <mergeCell ref="E99:F99"/>
    <mergeCell ref="G100:N100"/>
    <mergeCell ref="G111:N111"/>
    <mergeCell ref="E111:F111"/>
    <mergeCell ref="G97:N97"/>
    <mergeCell ref="G104:N104"/>
    <mergeCell ref="E108:N108"/>
    <mergeCell ref="E101:F104"/>
    <mergeCell ref="G103:N103"/>
    <mergeCell ref="G101:N101"/>
    <mergeCell ref="G102:N102"/>
    <mergeCell ref="G95:N95"/>
    <mergeCell ref="G92:N92"/>
    <mergeCell ref="D84:N84"/>
    <mergeCell ref="E86:N86"/>
    <mergeCell ref="G94:N94"/>
    <mergeCell ref="E87:N87"/>
    <mergeCell ref="E90:F90"/>
    <mergeCell ref="G61:N61"/>
    <mergeCell ref="G62:N62"/>
    <mergeCell ref="G66:N66"/>
    <mergeCell ref="E66:F66"/>
    <mergeCell ref="E88:N88"/>
    <mergeCell ref="E65:F65"/>
    <mergeCell ref="G64:N64"/>
    <mergeCell ref="E64:F64"/>
    <mergeCell ref="E61:F63"/>
    <mergeCell ref="G63:N63"/>
    <mergeCell ref="G65:N65"/>
    <mergeCell ref="E77:N77"/>
    <mergeCell ref="E78:N78"/>
    <mergeCell ref="E91:F91"/>
    <mergeCell ref="E71:K71"/>
    <mergeCell ref="E73:N73"/>
    <mergeCell ref="E75:N75"/>
    <mergeCell ref="G93:N93"/>
    <mergeCell ref="G91:N91"/>
    <mergeCell ref="G90:N90"/>
    <mergeCell ref="E219:F219"/>
    <mergeCell ref="G219:N219"/>
    <mergeCell ref="E194:N194"/>
    <mergeCell ref="E216:F216"/>
    <mergeCell ref="G216:N216"/>
    <mergeCell ref="E217:F217"/>
    <mergeCell ref="G217:N217"/>
    <mergeCell ref="E218:F218"/>
    <mergeCell ref="G218:N218"/>
    <mergeCell ref="E212:F212"/>
    <mergeCell ref="G212:N212"/>
    <mergeCell ref="E213:F215"/>
    <mergeCell ref="G213:N213"/>
    <mergeCell ref="G214:N214"/>
    <mergeCell ref="G215:N215"/>
    <mergeCell ref="E207:N207"/>
    <mergeCell ref="E208:N208"/>
    <mergeCell ref="E210:F210"/>
    <mergeCell ref="G210:N210"/>
    <mergeCell ref="E211:F211"/>
    <mergeCell ref="G211:N211"/>
    <mergeCell ref="G200:N200"/>
    <mergeCell ref="E196:F196"/>
    <mergeCell ref="E198:F198"/>
    <mergeCell ref="H26:N26"/>
    <mergeCell ref="E76:N76"/>
    <mergeCell ref="E22:G22"/>
    <mergeCell ref="H22:N22"/>
    <mergeCell ref="E23:G23"/>
    <mergeCell ref="H23:N23"/>
    <mergeCell ref="E24:G24"/>
    <mergeCell ref="H24:N24"/>
    <mergeCell ref="E25:G25"/>
    <mergeCell ref="H25:N25"/>
    <mergeCell ref="E26:G26"/>
    <mergeCell ref="E69:N69"/>
    <mergeCell ref="E72:N72"/>
    <mergeCell ref="E60:F60"/>
    <mergeCell ref="G60:N60"/>
    <mergeCell ref="E59:F59"/>
    <mergeCell ref="E52:N52"/>
    <mergeCell ref="E58:F58"/>
    <mergeCell ref="E54:N54"/>
    <mergeCell ref="G59:N59"/>
    <mergeCell ref="G58:N58"/>
    <mergeCell ref="E55:N55"/>
    <mergeCell ref="E56:N56"/>
    <mergeCell ref="E53:N53"/>
  </mergeCells>
  <phoneticPr fontId="6" type="noConversion"/>
  <conditionalFormatting sqref="G270:N279">
    <cfRule type="expression" dxfId="54" priority="2" stopIfTrue="1">
      <formula>$W$32</formula>
    </cfRule>
  </conditionalFormatting>
  <conditionalFormatting sqref="E81:N81">
    <cfRule type="expression" dxfId="53" priority="1" stopIfTrue="1">
      <formula>AND($L$71&lt;&gt;"",$L$71=FALSE)</formula>
    </cfRule>
  </conditionalFormatting>
  <dataValidations disablePrompts="1" count="2">
    <dataValidation type="list" allowBlank="1" showInputMessage="1" showErrorMessage="1" sqref="L71" xr:uid="{00000000-0002-0000-0D00-000000000000}">
      <formula1>EUconst_TrueFalse</formula1>
    </dataValidation>
    <dataValidation type="list" allowBlank="1" showInputMessage="1" showErrorMessage="1" sqref="E81:N81" xr:uid="{00000000-0002-0000-0D00-000001000000}">
      <formula1>EUconst_IRMonth</formula1>
    </dataValidation>
  </dataValidations>
  <hyperlinks>
    <hyperlink ref="G2:H2" location="JUMP_a_Content" display="Table of contents" xr:uid="{00000000-0004-0000-0D00-000000000000}"/>
    <hyperlink ref="I2:J2" location="JUMP_J_Top" display="JUMP_J_Top" xr:uid="{00000000-0004-0000-0D00-000001000000}"/>
    <hyperlink ref="K2:L2" location="JUMP_L_Top" display="JUMP_L_Top" xr:uid="{00000000-0004-0000-0D00-000002000000}"/>
    <hyperlink ref="E3:F3" location="JUMP_K_Top" display="Top of sheet" xr:uid="{00000000-0004-0000-0D00-000003000000}"/>
    <hyperlink ref="G3:H3" location="JUMP_K_14" display="Management" xr:uid="{00000000-0004-0000-0D00-000004000000}"/>
    <hyperlink ref="I3:J3" location="JUMP_K_15" display="Data flow activities" xr:uid="{00000000-0004-0000-0D00-000005000000}"/>
    <hyperlink ref="K3:L3" location="JUMP_K_16" display="Control activities" xr:uid="{00000000-0004-0000-0D00-000006000000}"/>
    <hyperlink ref="G4:H4" location="JUMP_K_17" display="Definitions and abbreviations" xr:uid="{00000000-0004-0000-0D00-000007000000}"/>
    <hyperlink ref="I4:J4" location="JUMP_K_18" display="Additional information" xr:uid="{00000000-0004-0000-0D00-000008000000}"/>
    <hyperlink ref="K4:L4" location="JUMP_K_19" display="Changes in operation" xr:uid="{00000000-0004-0000-0D00-000009000000}"/>
    <hyperlink ref="F285:L285" location="JUMP_K_Top" display="JUMP_K_Top" xr:uid="{00000000-0004-0000-0D00-00000A000000}"/>
    <hyperlink ref="E4:F4" location="JUMP_J_Bottom" display="JUMP_J_Bottom" xr:uid="{00000000-0004-0000-0D00-00000B000000}"/>
  </hyperlinks>
  <pageMargins left="0.78740157480314965" right="0.78740157480314965" top="0.78740157480314965" bottom="0.78740157480314965" header="0.39370078740157483" footer="0.39370078740157483"/>
  <pageSetup paperSize="9" scale="59" fitToHeight="10" orientation="portrait" copies="2" r:id="rId1"/>
  <headerFooter alignWithMargins="0">
    <oddHeader>&amp;L&amp;F, &amp;A&amp;R&amp;D, &amp;T</oddHeader>
    <oddFooter>&amp;C&amp;P / &amp;N</oddFooter>
  </headerFooter>
  <rowBreaks count="5" manualBreakCount="5">
    <brk id="83" min="1" max="14" man="1"/>
    <brk id="105" min="1" max="14" man="1"/>
    <brk id="149" min="1" max="14" man="1"/>
    <brk id="205" min="1" max="14" man="1"/>
    <brk id="230" max="16383" man="1"/>
  </rowBreaks>
  <colBreaks count="1" manualBreakCount="1">
    <brk id="13"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indexed="9"/>
    <pageSetUpPr fitToPage="1"/>
  </sheetPr>
  <dimension ref="A1:M39"/>
  <sheetViews>
    <sheetView workbookViewId="0">
      <selection sqref="A1:C3"/>
    </sheetView>
  </sheetViews>
  <sheetFormatPr defaultColWidth="9.140625" defaultRowHeight="12.75" x14ac:dyDescent="0.2"/>
  <cols>
    <col min="1" max="1" width="3.140625" style="8" customWidth="1"/>
    <col min="2" max="2" width="4.140625" style="8" customWidth="1"/>
    <col min="3" max="13" width="12.7109375" style="8" customWidth="1"/>
    <col min="14" max="16384" width="9.140625" style="8"/>
  </cols>
  <sheetData>
    <row r="1" spans="1:13" ht="13.5" customHeight="1" thickBot="1" x14ac:dyDescent="0.25">
      <c r="A1" s="803" t="str">
        <f>Translations!$B$781</f>
        <v>L. Member State specific content</v>
      </c>
      <c r="B1" s="804"/>
      <c r="C1" s="805"/>
      <c r="D1" s="814" t="str">
        <f>Translations!$B$59</f>
        <v>Navigation area:</v>
      </c>
      <c r="E1" s="780"/>
      <c r="F1" s="771" t="str">
        <f>Translations!$B$60</f>
        <v>Table of contents</v>
      </c>
      <c r="G1" s="772"/>
      <c r="H1" s="771" t="str">
        <f>Translations!$B$61</f>
        <v>Previous sheet</v>
      </c>
      <c r="I1" s="772"/>
      <c r="J1" s="771"/>
      <c r="K1" s="772"/>
      <c r="L1" s="406"/>
    </row>
    <row r="2" spans="1:13" ht="12.75" customHeight="1" x14ac:dyDescent="0.2">
      <c r="A2" s="806"/>
      <c r="B2" s="807"/>
      <c r="C2" s="808"/>
      <c r="D2" s="776" t="str">
        <f>Translations!$B$63</f>
        <v>Top of sheet</v>
      </c>
      <c r="E2" s="776"/>
      <c r="F2" s="1193"/>
      <c r="G2" s="1194"/>
      <c r="H2" s="1195"/>
      <c r="I2" s="1196"/>
      <c r="J2" s="1187"/>
      <c r="K2" s="1188"/>
      <c r="L2" s="448"/>
    </row>
    <row r="3" spans="1:13" ht="13.5" customHeight="1" thickBot="1" x14ac:dyDescent="0.25">
      <c r="A3" s="809"/>
      <c r="B3" s="810"/>
      <c r="C3" s="811"/>
      <c r="D3" s="776"/>
      <c r="E3" s="776"/>
      <c r="F3" s="1197"/>
      <c r="G3" s="1185"/>
      <c r="H3" s="1185"/>
      <c r="I3" s="1185"/>
      <c r="J3" s="1185"/>
      <c r="K3" s="1186"/>
      <c r="L3" s="448"/>
    </row>
    <row r="4" spans="1:13" x14ac:dyDescent="0.2">
      <c r="A4" s="417"/>
      <c r="B4" s="7"/>
      <c r="C4" s="417"/>
      <c r="D4" s="417"/>
      <c r="E4" s="441"/>
      <c r="F4" s="441"/>
      <c r="G4" s="417"/>
      <c r="H4" s="417"/>
      <c r="I4" s="417"/>
      <c r="J4" s="417"/>
      <c r="K4" s="417"/>
      <c r="L4" s="417"/>
      <c r="M4" s="417"/>
    </row>
    <row r="5" spans="1:13" ht="18" x14ac:dyDescent="0.2">
      <c r="A5" s="417"/>
      <c r="B5" s="766" t="str">
        <f>Translations!$B$43</f>
        <v>L. Member State specific further information</v>
      </c>
      <c r="C5" s="766"/>
      <c r="D5" s="766"/>
      <c r="E5" s="766"/>
      <c r="F5" s="766"/>
      <c r="G5" s="766"/>
      <c r="H5" s="766"/>
      <c r="I5" s="766"/>
      <c r="J5" s="766"/>
      <c r="K5" s="417"/>
      <c r="L5" s="417"/>
      <c r="M5" s="417"/>
    </row>
    <row r="6" spans="1:13" x14ac:dyDescent="0.2">
      <c r="A6" s="417"/>
      <c r="B6" s="417"/>
      <c r="C6" s="417"/>
      <c r="D6" s="417"/>
      <c r="E6" s="417"/>
      <c r="F6" s="417"/>
      <c r="G6" s="417"/>
      <c r="H6" s="417"/>
      <c r="I6" s="417"/>
      <c r="J6" s="417"/>
      <c r="K6" s="417"/>
      <c r="L6" s="417"/>
      <c r="M6" s="417"/>
    </row>
    <row r="7" spans="1:13" ht="15.75" x14ac:dyDescent="0.25">
      <c r="A7" s="417"/>
      <c r="B7" s="77">
        <v>26</v>
      </c>
      <c r="C7" s="1199" t="str">
        <f>Translations!$B$44</f>
        <v>Comments</v>
      </c>
      <c r="D7" s="732"/>
      <c r="E7" s="732"/>
      <c r="F7" s="732"/>
      <c r="G7" s="732"/>
      <c r="H7" s="732"/>
      <c r="I7" s="732"/>
      <c r="J7" s="732"/>
      <c r="K7" s="732"/>
      <c r="L7" s="732"/>
      <c r="M7" s="732"/>
    </row>
    <row r="8" spans="1:13" x14ac:dyDescent="0.2">
      <c r="A8" s="417"/>
      <c r="B8" s="417"/>
      <c r="C8" s="417"/>
      <c r="D8" s="417"/>
      <c r="E8" s="417"/>
      <c r="F8" s="417"/>
      <c r="G8" s="417"/>
      <c r="H8" s="417"/>
      <c r="I8" s="417"/>
      <c r="J8" s="417"/>
      <c r="K8" s="417"/>
      <c r="L8" s="417"/>
      <c r="M8" s="417"/>
    </row>
    <row r="9" spans="1:13" x14ac:dyDescent="0.2">
      <c r="A9" s="417"/>
      <c r="B9" s="717" t="str">
        <f>Translations!$B$782</f>
        <v>Space for further Comments:</v>
      </c>
      <c r="C9" s="732"/>
      <c r="D9" s="732"/>
      <c r="E9" s="732"/>
      <c r="F9" s="732"/>
      <c r="G9" s="732"/>
      <c r="H9" s="732"/>
      <c r="I9" s="732"/>
      <c r="J9" s="732"/>
      <c r="K9" s="732"/>
      <c r="L9" s="732"/>
      <c r="M9" s="732"/>
    </row>
    <row r="10" spans="1:13" x14ac:dyDescent="0.2">
      <c r="A10" s="417"/>
      <c r="B10" s="1251"/>
      <c r="C10" s="1153"/>
      <c r="D10" s="1153"/>
      <c r="E10" s="1153"/>
      <c r="F10" s="1153"/>
      <c r="G10" s="1153"/>
      <c r="H10" s="1153"/>
      <c r="I10" s="1153"/>
      <c r="J10" s="1153"/>
      <c r="K10" s="1153"/>
      <c r="L10" s="1153"/>
      <c r="M10" s="1154"/>
    </row>
    <row r="11" spans="1:13" x14ac:dyDescent="0.2">
      <c r="A11" s="337"/>
      <c r="B11" s="1250"/>
      <c r="C11" s="1149"/>
      <c r="D11" s="1149"/>
      <c r="E11" s="1149"/>
      <c r="F11" s="1149"/>
      <c r="G11" s="1149"/>
      <c r="H11" s="1149"/>
      <c r="I11" s="1149"/>
      <c r="J11" s="1149"/>
      <c r="K11" s="1149"/>
      <c r="L11" s="1149"/>
      <c r="M11" s="1150"/>
    </row>
    <row r="12" spans="1:13" x14ac:dyDescent="0.2">
      <c r="A12" s="417"/>
      <c r="B12" s="1250"/>
      <c r="C12" s="1149"/>
      <c r="D12" s="1149"/>
      <c r="E12" s="1149"/>
      <c r="F12" s="1149"/>
      <c r="G12" s="1149"/>
      <c r="H12" s="1149"/>
      <c r="I12" s="1149"/>
      <c r="J12" s="1149"/>
      <c r="K12" s="1149"/>
      <c r="L12" s="1149"/>
      <c r="M12" s="1150"/>
    </row>
    <row r="13" spans="1:13" x14ac:dyDescent="0.2">
      <c r="A13" s="417"/>
      <c r="B13" s="1250"/>
      <c r="C13" s="1149"/>
      <c r="D13" s="1149"/>
      <c r="E13" s="1149"/>
      <c r="F13" s="1149"/>
      <c r="G13" s="1149"/>
      <c r="H13" s="1149"/>
      <c r="I13" s="1149"/>
      <c r="J13" s="1149"/>
      <c r="K13" s="1149"/>
      <c r="L13" s="1149"/>
      <c r="M13" s="1150"/>
    </row>
    <row r="14" spans="1:13" x14ac:dyDescent="0.2">
      <c r="A14" s="417"/>
      <c r="B14" s="1250"/>
      <c r="C14" s="1149"/>
      <c r="D14" s="1149"/>
      <c r="E14" s="1149"/>
      <c r="F14" s="1149"/>
      <c r="G14" s="1149"/>
      <c r="H14" s="1149"/>
      <c r="I14" s="1149"/>
      <c r="J14" s="1149"/>
      <c r="K14" s="1149"/>
      <c r="L14" s="1149"/>
      <c r="M14" s="1150"/>
    </row>
    <row r="15" spans="1:13" x14ac:dyDescent="0.2">
      <c r="A15" s="417"/>
      <c r="B15" s="1250"/>
      <c r="C15" s="1149"/>
      <c r="D15" s="1149"/>
      <c r="E15" s="1149"/>
      <c r="F15" s="1149"/>
      <c r="G15" s="1149"/>
      <c r="H15" s="1149"/>
      <c r="I15" s="1149"/>
      <c r="J15" s="1149"/>
      <c r="K15" s="1149"/>
      <c r="L15" s="1149"/>
      <c r="M15" s="1150"/>
    </row>
    <row r="16" spans="1:13" x14ac:dyDescent="0.2">
      <c r="A16" s="417"/>
      <c r="B16" s="1250"/>
      <c r="C16" s="1149"/>
      <c r="D16" s="1149"/>
      <c r="E16" s="1149"/>
      <c r="F16" s="1149"/>
      <c r="G16" s="1149"/>
      <c r="H16" s="1149"/>
      <c r="I16" s="1149"/>
      <c r="J16" s="1149"/>
      <c r="K16" s="1149"/>
      <c r="L16" s="1149"/>
      <c r="M16" s="1150"/>
    </row>
    <row r="17" spans="1:13" x14ac:dyDescent="0.2">
      <c r="A17" s="417"/>
      <c r="B17" s="1250"/>
      <c r="C17" s="1149"/>
      <c r="D17" s="1149"/>
      <c r="E17" s="1149"/>
      <c r="F17" s="1149"/>
      <c r="G17" s="1149"/>
      <c r="H17" s="1149"/>
      <c r="I17" s="1149"/>
      <c r="J17" s="1149"/>
      <c r="K17" s="1149"/>
      <c r="L17" s="1149"/>
      <c r="M17" s="1150"/>
    </row>
    <row r="18" spans="1:13" x14ac:dyDescent="0.2">
      <c r="A18" s="417"/>
      <c r="B18" s="1250"/>
      <c r="C18" s="1149"/>
      <c r="D18" s="1149"/>
      <c r="E18" s="1149"/>
      <c r="F18" s="1149"/>
      <c r="G18" s="1149"/>
      <c r="H18" s="1149"/>
      <c r="I18" s="1149"/>
      <c r="J18" s="1149"/>
      <c r="K18" s="1149"/>
      <c r="L18" s="1149"/>
      <c r="M18" s="1150"/>
    </row>
    <row r="19" spans="1:13" x14ac:dyDescent="0.2">
      <c r="A19" s="417"/>
      <c r="B19" s="1250"/>
      <c r="C19" s="1149"/>
      <c r="D19" s="1149"/>
      <c r="E19" s="1149"/>
      <c r="F19" s="1149"/>
      <c r="G19" s="1149"/>
      <c r="H19" s="1149"/>
      <c r="I19" s="1149"/>
      <c r="J19" s="1149"/>
      <c r="K19" s="1149"/>
      <c r="L19" s="1149"/>
      <c r="M19" s="1150"/>
    </row>
    <row r="20" spans="1:13" x14ac:dyDescent="0.2">
      <c r="A20" s="417"/>
      <c r="B20" s="1250"/>
      <c r="C20" s="1149"/>
      <c r="D20" s="1149"/>
      <c r="E20" s="1149"/>
      <c r="F20" s="1149"/>
      <c r="G20" s="1149"/>
      <c r="H20" s="1149"/>
      <c r="I20" s="1149"/>
      <c r="J20" s="1149"/>
      <c r="K20" s="1149"/>
      <c r="L20" s="1149"/>
      <c r="M20" s="1150"/>
    </row>
    <row r="21" spans="1:13" x14ac:dyDescent="0.2">
      <c r="A21" s="417"/>
      <c r="B21" s="1250"/>
      <c r="C21" s="1149"/>
      <c r="D21" s="1149"/>
      <c r="E21" s="1149"/>
      <c r="F21" s="1149"/>
      <c r="G21" s="1149"/>
      <c r="H21" s="1149"/>
      <c r="I21" s="1149"/>
      <c r="J21" s="1149"/>
      <c r="K21" s="1149"/>
      <c r="L21" s="1149"/>
      <c r="M21" s="1150"/>
    </row>
    <row r="22" spans="1:13" x14ac:dyDescent="0.2">
      <c r="A22" s="417"/>
      <c r="B22" s="1250"/>
      <c r="C22" s="1149"/>
      <c r="D22" s="1149"/>
      <c r="E22" s="1149"/>
      <c r="F22" s="1149"/>
      <c r="G22" s="1149"/>
      <c r="H22" s="1149"/>
      <c r="I22" s="1149"/>
      <c r="J22" s="1149"/>
      <c r="K22" s="1149"/>
      <c r="L22" s="1149"/>
      <c r="M22" s="1150"/>
    </row>
    <row r="23" spans="1:13" x14ac:dyDescent="0.2">
      <c r="A23" s="417"/>
      <c r="B23" s="1250"/>
      <c r="C23" s="1149"/>
      <c r="D23" s="1149"/>
      <c r="E23" s="1149"/>
      <c r="F23" s="1149"/>
      <c r="G23" s="1149"/>
      <c r="H23" s="1149"/>
      <c r="I23" s="1149"/>
      <c r="J23" s="1149"/>
      <c r="K23" s="1149"/>
      <c r="L23" s="1149"/>
      <c r="M23" s="1150"/>
    </row>
    <row r="24" spans="1:13" x14ac:dyDescent="0.2">
      <c r="A24" s="417"/>
      <c r="B24" s="1250"/>
      <c r="C24" s="1149"/>
      <c r="D24" s="1149"/>
      <c r="E24" s="1149"/>
      <c r="F24" s="1149"/>
      <c r="G24" s="1149"/>
      <c r="H24" s="1149"/>
      <c r="I24" s="1149"/>
      <c r="J24" s="1149"/>
      <c r="K24" s="1149"/>
      <c r="L24" s="1149"/>
      <c r="M24" s="1150"/>
    </row>
    <row r="25" spans="1:13" x14ac:dyDescent="0.2">
      <c r="A25" s="417"/>
      <c r="B25" s="1250"/>
      <c r="C25" s="1149"/>
      <c r="D25" s="1149"/>
      <c r="E25" s="1149"/>
      <c r="F25" s="1149"/>
      <c r="G25" s="1149"/>
      <c r="H25" s="1149"/>
      <c r="I25" s="1149"/>
      <c r="J25" s="1149"/>
      <c r="K25" s="1149"/>
      <c r="L25" s="1149"/>
      <c r="M25" s="1150"/>
    </row>
    <row r="26" spans="1:13" x14ac:dyDescent="0.2">
      <c r="A26" s="417"/>
      <c r="B26" s="1250"/>
      <c r="C26" s="1149"/>
      <c r="D26" s="1149"/>
      <c r="E26" s="1149"/>
      <c r="F26" s="1149"/>
      <c r="G26" s="1149"/>
      <c r="H26" s="1149"/>
      <c r="I26" s="1149"/>
      <c r="J26" s="1149"/>
      <c r="K26" s="1149"/>
      <c r="L26" s="1149"/>
      <c r="M26" s="1150"/>
    </row>
    <row r="27" spans="1:13" x14ac:dyDescent="0.2">
      <c r="A27" s="417"/>
      <c r="B27" s="1250"/>
      <c r="C27" s="1149"/>
      <c r="D27" s="1149"/>
      <c r="E27" s="1149"/>
      <c r="F27" s="1149"/>
      <c r="G27" s="1149"/>
      <c r="H27" s="1149"/>
      <c r="I27" s="1149"/>
      <c r="J27" s="1149"/>
      <c r="K27" s="1149"/>
      <c r="L27" s="1149"/>
      <c r="M27" s="1150"/>
    </row>
    <row r="28" spans="1:13" x14ac:dyDescent="0.2">
      <c r="A28" s="417"/>
      <c r="B28" s="1250"/>
      <c r="C28" s="1149"/>
      <c r="D28" s="1149"/>
      <c r="E28" s="1149"/>
      <c r="F28" s="1149"/>
      <c r="G28" s="1149"/>
      <c r="H28" s="1149"/>
      <c r="I28" s="1149"/>
      <c r="J28" s="1149"/>
      <c r="K28" s="1149"/>
      <c r="L28" s="1149"/>
      <c r="M28" s="1150"/>
    </row>
    <row r="29" spans="1:13" x14ac:dyDescent="0.2">
      <c r="A29" s="417"/>
      <c r="B29" s="1250"/>
      <c r="C29" s="1149"/>
      <c r="D29" s="1149"/>
      <c r="E29" s="1149"/>
      <c r="F29" s="1149"/>
      <c r="G29" s="1149"/>
      <c r="H29" s="1149"/>
      <c r="I29" s="1149"/>
      <c r="J29" s="1149"/>
      <c r="K29" s="1149"/>
      <c r="L29" s="1149"/>
      <c r="M29" s="1150"/>
    </row>
    <row r="30" spans="1:13" x14ac:dyDescent="0.2">
      <c r="A30" s="417"/>
      <c r="B30" s="1250"/>
      <c r="C30" s="1149"/>
      <c r="D30" s="1149"/>
      <c r="E30" s="1149"/>
      <c r="F30" s="1149"/>
      <c r="G30" s="1149"/>
      <c r="H30" s="1149"/>
      <c r="I30" s="1149"/>
      <c r="J30" s="1149"/>
      <c r="K30" s="1149"/>
      <c r="L30" s="1149"/>
      <c r="M30" s="1150"/>
    </row>
    <row r="31" spans="1:13" x14ac:dyDescent="0.2">
      <c r="A31" s="417"/>
      <c r="B31" s="1250"/>
      <c r="C31" s="1149"/>
      <c r="D31" s="1149"/>
      <c r="E31" s="1149"/>
      <c r="F31" s="1149"/>
      <c r="G31" s="1149"/>
      <c r="H31" s="1149"/>
      <c r="I31" s="1149"/>
      <c r="J31" s="1149"/>
      <c r="K31" s="1149"/>
      <c r="L31" s="1149"/>
      <c r="M31" s="1150"/>
    </row>
    <row r="32" spans="1:13" x14ac:dyDescent="0.2">
      <c r="A32" s="417"/>
      <c r="B32" s="1250"/>
      <c r="C32" s="1149"/>
      <c r="D32" s="1149"/>
      <c r="E32" s="1149"/>
      <c r="F32" s="1149"/>
      <c r="G32" s="1149"/>
      <c r="H32" s="1149"/>
      <c r="I32" s="1149"/>
      <c r="J32" s="1149"/>
      <c r="K32" s="1149"/>
      <c r="L32" s="1149"/>
      <c r="M32" s="1150"/>
    </row>
    <row r="33" spans="1:13" x14ac:dyDescent="0.2">
      <c r="A33" s="417"/>
      <c r="B33" s="1250"/>
      <c r="C33" s="1149"/>
      <c r="D33" s="1149"/>
      <c r="E33" s="1149"/>
      <c r="F33" s="1149"/>
      <c r="G33" s="1149"/>
      <c r="H33" s="1149"/>
      <c r="I33" s="1149"/>
      <c r="J33" s="1149"/>
      <c r="K33" s="1149"/>
      <c r="L33" s="1149"/>
      <c r="M33" s="1150"/>
    </row>
    <row r="34" spans="1:13" x14ac:dyDescent="0.2">
      <c r="A34" s="417"/>
      <c r="B34" s="1250"/>
      <c r="C34" s="1149"/>
      <c r="D34" s="1149"/>
      <c r="E34" s="1149"/>
      <c r="F34" s="1149"/>
      <c r="G34" s="1149"/>
      <c r="H34" s="1149"/>
      <c r="I34" s="1149"/>
      <c r="J34" s="1149"/>
      <c r="K34" s="1149"/>
      <c r="L34" s="1149"/>
      <c r="M34" s="1150"/>
    </row>
    <row r="35" spans="1:13" x14ac:dyDescent="0.2">
      <c r="A35" s="417"/>
      <c r="B35" s="1252"/>
      <c r="C35" s="1155"/>
      <c r="D35" s="1155"/>
      <c r="E35" s="1155"/>
      <c r="F35" s="1155"/>
      <c r="G35" s="1155"/>
      <c r="H35" s="1155"/>
      <c r="I35" s="1155"/>
      <c r="J35" s="1155"/>
      <c r="K35" s="1155"/>
      <c r="L35" s="1155"/>
      <c r="M35" s="1156"/>
    </row>
    <row r="36" spans="1:13" x14ac:dyDescent="0.2">
      <c r="A36" s="417"/>
      <c r="B36" s="417"/>
      <c r="C36" s="417"/>
      <c r="D36" s="417"/>
      <c r="E36" s="417"/>
      <c r="F36" s="417"/>
      <c r="G36" s="417"/>
      <c r="H36" s="417"/>
      <c r="I36" s="417"/>
      <c r="J36" s="417"/>
      <c r="K36" s="417"/>
      <c r="L36" s="417"/>
      <c r="M36" s="417"/>
    </row>
    <row r="37" spans="1:13" x14ac:dyDescent="0.2">
      <c r="A37" s="417"/>
      <c r="B37" s="417"/>
      <c r="C37" s="417"/>
      <c r="D37" s="417"/>
      <c r="E37" s="417"/>
      <c r="F37" s="417"/>
      <c r="G37" s="417"/>
      <c r="H37" s="417"/>
      <c r="I37" s="417"/>
      <c r="J37" s="417"/>
      <c r="K37" s="417"/>
      <c r="L37" s="417"/>
      <c r="M37" s="417"/>
    </row>
    <row r="38" spans="1:13" x14ac:dyDescent="0.2">
      <c r="A38" s="417"/>
      <c r="B38" s="417"/>
      <c r="C38" s="417"/>
      <c r="D38" s="417"/>
      <c r="E38" s="417"/>
      <c r="F38" s="417"/>
      <c r="G38" s="417"/>
      <c r="H38" s="417"/>
      <c r="I38" s="417"/>
      <c r="J38" s="417"/>
      <c r="K38" s="417"/>
      <c r="L38" s="417"/>
      <c r="M38" s="417"/>
    </row>
    <row r="39" spans="1:13" x14ac:dyDescent="0.2">
      <c r="A39" s="417"/>
      <c r="B39" s="417"/>
      <c r="C39" s="417"/>
      <c r="D39" s="417"/>
      <c r="E39" s="417"/>
      <c r="F39" s="417"/>
      <c r="G39" s="417"/>
      <c r="H39" s="417"/>
      <c r="J39" s="417"/>
      <c r="K39" s="417"/>
      <c r="L39" s="417"/>
      <c r="M39" s="417"/>
    </row>
  </sheetData>
  <sheetProtection sheet="1" objects="1" scenarios="1" formatCells="0" formatColumns="0" formatRows="0"/>
  <mergeCells count="42">
    <mergeCell ref="B29:M29"/>
    <mergeCell ref="B35:M35"/>
    <mergeCell ref="B31:M31"/>
    <mergeCell ref="B32:M32"/>
    <mergeCell ref="B33:M33"/>
    <mergeCell ref="B34:M34"/>
    <mergeCell ref="B30:M30"/>
    <mergeCell ref="B28:M28"/>
    <mergeCell ref="B13:M13"/>
    <mergeCell ref="B14:M14"/>
    <mergeCell ref="B27:M27"/>
    <mergeCell ref="B15:M15"/>
    <mergeCell ref="B16:M16"/>
    <mergeCell ref="B17:M17"/>
    <mergeCell ref="B18:M18"/>
    <mergeCell ref="B23:M23"/>
    <mergeCell ref="B24:M24"/>
    <mergeCell ref="B26:M26"/>
    <mergeCell ref="B19:M19"/>
    <mergeCell ref="B20:M20"/>
    <mergeCell ref="B21:M21"/>
    <mergeCell ref="B22:M22"/>
    <mergeCell ref="B25:M25"/>
    <mergeCell ref="B11:M11"/>
    <mergeCell ref="B12:M12"/>
    <mergeCell ref="B5:J5"/>
    <mergeCell ref="C7:M7"/>
    <mergeCell ref="B9:M9"/>
    <mergeCell ref="B10:M10"/>
    <mergeCell ref="J3:K3"/>
    <mergeCell ref="A1:C3"/>
    <mergeCell ref="D1:E1"/>
    <mergeCell ref="F1:G1"/>
    <mergeCell ref="H1:I1"/>
    <mergeCell ref="J1:K1"/>
    <mergeCell ref="D2:E2"/>
    <mergeCell ref="F2:G2"/>
    <mergeCell ref="H2:I2"/>
    <mergeCell ref="J2:K2"/>
    <mergeCell ref="D3:E3"/>
    <mergeCell ref="F3:G3"/>
    <mergeCell ref="H3:I3"/>
  </mergeCells>
  <phoneticPr fontId="9" type="noConversion"/>
  <hyperlinks>
    <hyperlink ref="D2:E2" location="JUMP_L_Top" display="JUMP_L_Top" xr:uid="{00000000-0004-0000-0E00-000000000000}"/>
    <hyperlink ref="F1:G1" location="JUMP_a_Content" display="Table of contents" xr:uid="{00000000-0004-0000-0E00-000001000000}"/>
    <hyperlink ref="H1:I1" location="JUMP_K_Top" display="JUMP_K_Top" xr:uid="{00000000-0004-0000-0E00-000002000000}"/>
  </hyperlinks>
  <pageMargins left="0.78740157480314965" right="0.78740157480314965" top="0.78740157480314965" bottom="0.78740157480314965" header="0.39370078740157483" footer="0.39370078740157483"/>
  <pageSetup paperSize="9" scale="59" fitToHeight="2" orientation="portrait" r:id="rId1"/>
  <headerFooter alignWithMargins="0">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11">
    <tabColor theme="2" tint="-0.499984740745262"/>
  </sheetPr>
  <dimension ref="A1:GV139"/>
  <sheetViews>
    <sheetView zoomScale="85" zoomScaleNormal="85" workbookViewId="0"/>
  </sheetViews>
  <sheetFormatPr defaultColWidth="0" defaultRowHeight="12.75" x14ac:dyDescent="0.2"/>
  <cols>
    <col min="1" max="1" width="5.7109375" style="692" customWidth="1"/>
    <col min="2" max="5" width="20.7109375" style="692" customWidth="1"/>
    <col min="6" max="72" width="12.7109375" style="692" customWidth="1"/>
    <col min="73" max="87" width="11.42578125" style="692" customWidth="1"/>
    <col min="88" max="88" width="23.140625" style="679" hidden="1" customWidth="1"/>
    <col min="89" max="156" width="11.42578125" style="679" hidden="1" customWidth="1"/>
    <col min="157" max="181" width="11.42578125" style="692" customWidth="1"/>
    <col min="182" max="16384" width="11.42578125" style="692" hidden="1"/>
  </cols>
  <sheetData>
    <row r="1" spans="1:159" x14ac:dyDescent="0.2">
      <c r="CJ1" s="624" t="s">
        <v>1090</v>
      </c>
      <c r="CK1" s="624" t="s">
        <v>1090</v>
      </c>
      <c r="CL1" s="624" t="s">
        <v>1090</v>
      </c>
      <c r="CM1" s="624" t="s">
        <v>1090</v>
      </c>
      <c r="CN1" s="624" t="s">
        <v>1090</v>
      </c>
      <c r="CO1" s="624" t="s">
        <v>1090</v>
      </c>
      <c r="CP1" s="624" t="s">
        <v>1090</v>
      </c>
      <c r="CQ1" s="624" t="s">
        <v>1090</v>
      </c>
      <c r="CR1" s="624" t="s">
        <v>1090</v>
      </c>
      <c r="CS1" s="624" t="s">
        <v>1090</v>
      </c>
      <c r="CT1" s="624" t="s">
        <v>1090</v>
      </c>
      <c r="CU1" s="624" t="s">
        <v>1090</v>
      </c>
      <c r="CV1" s="624" t="s">
        <v>1090</v>
      </c>
      <c r="CW1" s="624" t="s">
        <v>1090</v>
      </c>
      <c r="CX1" s="624" t="s">
        <v>1090</v>
      </c>
      <c r="CY1" s="624" t="s">
        <v>1090</v>
      </c>
      <c r="CZ1" s="624" t="s">
        <v>1090</v>
      </c>
      <c r="DA1" s="624" t="s">
        <v>1090</v>
      </c>
      <c r="DB1" s="624" t="s">
        <v>1090</v>
      </c>
      <c r="DC1" s="624" t="s">
        <v>1090</v>
      </c>
      <c r="DD1" s="624" t="s">
        <v>1090</v>
      </c>
      <c r="DE1" s="624" t="s">
        <v>1090</v>
      </c>
      <c r="DF1" s="624" t="s">
        <v>1090</v>
      </c>
      <c r="DG1" s="624" t="s">
        <v>1090</v>
      </c>
      <c r="DH1" s="624" t="s">
        <v>1090</v>
      </c>
      <c r="DI1" s="624" t="s">
        <v>1090</v>
      </c>
      <c r="DJ1" s="624" t="s">
        <v>1090</v>
      </c>
      <c r="DK1" s="624" t="s">
        <v>1090</v>
      </c>
      <c r="DL1" s="624" t="s">
        <v>1090</v>
      </c>
      <c r="DM1" s="624" t="s">
        <v>1090</v>
      </c>
      <c r="DN1" s="624" t="s">
        <v>1090</v>
      </c>
      <c r="DO1" s="624" t="s">
        <v>1090</v>
      </c>
      <c r="DP1" s="624" t="s">
        <v>1090</v>
      </c>
      <c r="DQ1" s="624" t="s">
        <v>1090</v>
      </c>
      <c r="DR1" s="624" t="s">
        <v>1090</v>
      </c>
      <c r="DS1" s="624" t="s">
        <v>1090</v>
      </c>
      <c r="DT1" s="624" t="s">
        <v>1090</v>
      </c>
      <c r="DU1" s="624" t="s">
        <v>1090</v>
      </c>
      <c r="DV1" s="624" t="s">
        <v>1090</v>
      </c>
      <c r="DW1" s="624" t="s">
        <v>1090</v>
      </c>
      <c r="DX1" s="624" t="s">
        <v>1090</v>
      </c>
      <c r="DY1" s="624" t="s">
        <v>1090</v>
      </c>
      <c r="DZ1" s="624" t="s">
        <v>1090</v>
      </c>
      <c r="EA1" s="624" t="s">
        <v>1090</v>
      </c>
      <c r="EB1" s="624" t="s">
        <v>1090</v>
      </c>
      <c r="EC1" s="624" t="s">
        <v>1090</v>
      </c>
      <c r="ED1" s="624" t="s">
        <v>1090</v>
      </c>
      <c r="EE1" s="624" t="s">
        <v>1090</v>
      </c>
      <c r="EF1" s="624" t="s">
        <v>1090</v>
      </c>
      <c r="EG1" s="624" t="s">
        <v>1090</v>
      </c>
      <c r="EH1" s="624" t="s">
        <v>1090</v>
      </c>
      <c r="EI1" s="624" t="s">
        <v>1090</v>
      </c>
      <c r="EJ1" s="624" t="s">
        <v>1090</v>
      </c>
      <c r="EK1" s="624" t="s">
        <v>1090</v>
      </c>
      <c r="EL1" s="624" t="s">
        <v>1090</v>
      </c>
      <c r="EM1" s="624" t="s">
        <v>1090</v>
      </c>
      <c r="EN1" s="624" t="s">
        <v>1090</v>
      </c>
      <c r="EO1" s="624" t="s">
        <v>1090</v>
      </c>
      <c r="EP1" s="624" t="s">
        <v>1090</v>
      </c>
      <c r="EQ1" s="624" t="s">
        <v>1090</v>
      </c>
      <c r="ER1" s="624" t="s">
        <v>1090</v>
      </c>
      <c r="ES1" s="624" t="s">
        <v>1090</v>
      </c>
      <c r="ET1" s="624" t="s">
        <v>1090</v>
      </c>
      <c r="EU1" s="624" t="s">
        <v>1090</v>
      </c>
      <c r="EV1" s="624" t="s">
        <v>1090</v>
      </c>
      <c r="EW1" s="624" t="s">
        <v>1090</v>
      </c>
      <c r="EX1" s="624" t="s">
        <v>1090</v>
      </c>
      <c r="EY1" s="624" t="s">
        <v>1090</v>
      </c>
      <c r="EZ1" s="624" t="s">
        <v>1090</v>
      </c>
    </row>
    <row r="2" spans="1:159" ht="35.1" customHeight="1" thickBot="1" x14ac:dyDescent="0.45">
      <c r="B2" s="595" t="str">
        <f>Translations!$B$1237</f>
        <v>General information</v>
      </c>
      <c r="C2" s="693"/>
      <c r="D2" s="8"/>
      <c r="E2" s="8"/>
      <c r="F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row>
    <row r="3" spans="1:159" ht="38.25" customHeight="1" thickBot="1" x14ac:dyDescent="0.25">
      <c r="N3" s="1260" t="str">
        <f>C_InstallationDescription!$E$42</f>
        <v>List of activities pursuant to Annex I of the EU ETS Directive carried out at the installation:</v>
      </c>
      <c r="O3" s="1261"/>
      <c r="P3" s="1261"/>
      <c r="Q3" s="1261"/>
      <c r="R3" s="1261"/>
      <c r="S3" s="1261"/>
      <c r="T3" s="1262"/>
      <c r="Z3" s="1263" t="str">
        <f>C_InstallationDescription!$E$90</f>
        <v>Monitoring approaches proposed to apply:</v>
      </c>
      <c r="AA3" s="1264"/>
      <c r="AB3" s="1264"/>
      <c r="AC3" s="1264"/>
      <c r="AD3" s="1264"/>
      <c r="AE3" s="1264"/>
      <c r="AF3" s="1265"/>
      <c r="FA3" s="679"/>
      <c r="FB3" s="679"/>
      <c r="FC3" s="679"/>
    </row>
    <row r="4" spans="1:159" s="694" customFormat="1" ht="80.099999999999994" customHeight="1" x14ac:dyDescent="0.2">
      <c r="B4" s="597" t="str">
        <f>'B_Operator&amp;Inst.ID'!$E$24</f>
        <v>Unique ID of the installation (e.g. as in NIMs):</v>
      </c>
      <c r="C4" s="597" t="str">
        <f>Translations!$B$156</f>
        <v>Operator Name</v>
      </c>
      <c r="D4" s="597" t="str">
        <f>Translations!$B$47</f>
        <v>Installation name:</v>
      </c>
      <c r="E4" s="596" t="str">
        <f>Translations!$B$152</f>
        <v>Competent Authority</v>
      </c>
      <c r="F4" s="597" t="str">
        <f>'B_Operator&amp;Inst.ID'!G46</f>
        <v>Title:</v>
      </c>
      <c r="G4" s="597" t="str">
        <f>'B_Operator&amp;Inst.ID'!G47</f>
        <v>First Name:</v>
      </c>
      <c r="H4" s="597" t="str">
        <f>'B_Operator&amp;Inst.ID'!G48</f>
        <v>Surname:</v>
      </c>
      <c r="I4" s="597" t="str">
        <f>'B_Operator&amp;Inst.ID'!G49</f>
        <v>Job title:</v>
      </c>
      <c r="J4" s="597" t="str">
        <f>'B_Operator&amp;Inst.ID'!G50</f>
        <v>Organisation name (if different from the operator):</v>
      </c>
      <c r="K4" s="597" t="str">
        <f>'B_Operator&amp;Inst.ID'!G52</f>
        <v>Telephone number:</v>
      </c>
      <c r="L4" s="597" t="str">
        <f>'B_Operator&amp;Inst.ID'!G53</f>
        <v>Email address:</v>
      </c>
      <c r="M4" s="598" t="str">
        <f>C_InstallationDescription!$E$38</f>
        <v>Source Stream Diagram document title and reference:</v>
      </c>
      <c r="N4" s="598">
        <v>1</v>
      </c>
      <c r="O4" s="598">
        <v>2</v>
      </c>
      <c r="P4" s="598">
        <v>3</v>
      </c>
      <c r="Q4" s="598">
        <v>4</v>
      </c>
      <c r="R4" s="598">
        <v>5</v>
      </c>
      <c r="S4" s="598">
        <v>6</v>
      </c>
      <c r="T4" s="598">
        <v>7</v>
      </c>
      <c r="U4" s="598" t="str">
        <f>C_InstallationDescription!$E$70</f>
        <v>Estimated annual emissions</v>
      </c>
      <c r="V4" s="598" t="str">
        <f>C_InstallationDescription!$E$71</f>
        <v>Installation category in accordance with Article 19</v>
      </c>
      <c r="W4" s="598" t="str">
        <f>C_InstallationDescription!$E$73</f>
        <v>Installation with low emissions?</v>
      </c>
      <c r="X4" s="598" t="str">
        <f>C_InstallationDescription!$E$82</f>
        <v>Estimated emissions under d) or e) based on conservative estimates?</v>
      </c>
      <c r="Y4" s="598" t="str">
        <f>C_InstallationDescription!$E$82</f>
        <v>Estimated emissions under d) or e) based on conservative estimates?</v>
      </c>
      <c r="Z4" s="689" t="str">
        <f>C_InstallationDescription!E96</f>
        <v>Calculation approach for CO2:</v>
      </c>
      <c r="AA4" s="689" t="str">
        <f>C_InstallationDescription!E97</f>
        <v>Measurement approach for CO2:</v>
      </c>
      <c r="AB4" s="689" t="str">
        <f>C_InstallationDescription!E98</f>
        <v>Fall-back approach (Article 22):</v>
      </c>
      <c r="AC4" s="689" t="str">
        <f>C_InstallationDescription!E99</f>
        <v>Monitoring of N2O emissions:</v>
      </c>
      <c r="AD4" s="689" t="str">
        <f>C_InstallationDescription!E100</f>
        <v>Monitoring of PFC emissions:</v>
      </c>
      <c r="AE4" s="689" t="str">
        <f>C_InstallationDescription!E101</f>
        <v>Monitoring of transferred/inherent CO2 and CCS:</v>
      </c>
      <c r="AF4" s="689" t="str">
        <f>C_InstallationDescription!E102</f>
        <v>Monitoring of 'permanent CCU'</v>
      </c>
      <c r="AG4" s="692"/>
      <c r="AH4" s="692"/>
      <c r="AI4" s="692"/>
      <c r="AJ4" s="692"/>
      <c r="AK4" s="692"/>
      <c r="AL4" s="692"/>
      <c r="AM4" s="692"/>
      <c r="AN4" s="692"/>
      <c r="AO4" s="692"/>
      <c r="AP4" s="692"/>
      <c r="AQ4" s="692"/>
      <c r="AR4" s="692"/>
      <c r="AS4" s="692"/>
      <c r="AT4" s="692"/>
      <c r="AU4" s="692"/>
      <c r="AV4" s="692"/>
      <c r="AW4" s="692"/>
      <c r="AX4" s="692"/>
      <c r="AY4" s="692"/>
      <c r="AZ4" s="692"/>
      <c r="BA4" s="692"/>
      <c r="BB4" s="692"/>
      <c r="BC4" s="692"/>
      <c r="BD4" s="692"/>
      <c r="BE4" s="692"/>
      <c r="BF4" s="692"/>
      <c r="BG4" s="692"/>
      <c r="BH4" s="692"/>
      <c r="BI4" s="692"/>
      <c r="BJ4" s="692"/>
      <c r="BK4" s="692"/>
      <c r="BL4" s="692"/>
      <c r="BM4" s="692"/>
      <c r="BN4" s="692"/>
      <c r="BO4" s="692"/>
      <c r="CJ4" s="679"/>
      <c r="CK4" s="679"/>
      <c r="CL4" s="679"/>
      <c r="CM4" s="679"/>
      <c r="CN4" s="695"/>
      <c r="CO4" s="695"/>
      <c r="CP4" s="695"/>
      <c r="CQ4" s="695"/>
      <c r="CR4" s="695"/>
      <c r="CS4" s="695"/>
      <c r="CT4" s="695"/>
      <c r="CU4" s="695"/>
      <c r="CV4" s="695"/>
      <c r="CW4" s="695"/>
      <c r="CX4" s="695"/>
      <c r="CY4" s="695"/>
      <c r="CZ4" s="695"/>
      <c r="DA4" s="695"/>
      <c r="DB4" s="695"/>
      <c r="DC4" s="695"/>
      <c r="DD4" s="695"/>
      <c r="DE4" s="695"/>
      <c r="DF4" s="695"/>
      <c r="DG4" s="695"/>
      <c r="DH4" s="695"/>
      <c r="DI4" s="695"/>
      <c r="DJ4" s="695"/>
      <c r="DK4" s="695"/>
      <c r="DL4" s="695"/>
      <c r="DM4" s="695"/>
      <c r="DN4" s="695"/>
      <c r="DO4" s="695"/>
      <c r="DP4" s="695"/>
      <c r="DQ4" s="695"/>
      <c r="DR4" s="695"/>
      <c r="DS4" s="695"/>
      <c r="DT4" s="695"/>
      <c r="DU4" s="695"/>
      <c r="DV4" s="695"/>
      <c r="DW4" s="695"/>
      <c r="DX4" s="695"/>
      <c r="DY4" s="695"/>
      <c r="DZ4" s="695"/>
      <c r="EA4" s="695"/>
      <c r="EB4" s="695"/>
      <c r="EC4" s="695"/>
      <c r="ED4" s="695"/>
      <c r="EE4" s="695"/>
      <c r="EF4" s="695"/>
      <c r="EG4" s="695"/>
      <c r="EH4" s="695"/>
      <c r="EI4" s="695"/>
      <c r="EJ4" s="695"/>
      <c r="EK4" s="695"/>
      <c r="EL4" s="695"/>
      <c r="EM4" s="695"/>
      <c r="EN4" s="695"/>
      <c r="EO4" s="695"/>
      <c r="EP4" s="695"/>
      <c r="EQ4" s="695"/>
      <c r="ER4" s="695"/>
      <c r="ES4" s="695"/>
      <c r="ET4" s="695"/>
      <c r="EU4" s="695"/>
      <c r="EV4" s="695"/>
      <c r="EW4" s="695"/>
      <c r="EX4" s="695"/>
      <c r="EY4" s="695"/>
      <c r="EZ4" s="695"/>
      <c r="FA4" s="695"/>
      <c r="FB4" s="695"/>
      <c r="FC4" s="695"/>
    </row>
    <row r="5" spans="1:159" x14ac:dyDescent="0.2">
      <c r="B5" s="600">
        <f>'B_Operator&amp;Inst.ID'!$I$24</f>
        <v>0</v>
      </c>
      <c r="C5" s="600">
        <f>'B_Operator&amp;Inst.ID'!$I$16</f>
        <v>0</v>
      </c>
      <c r="D5" s="600">
        <f>'B_Operator&amp;Inst.ID'!$I$22</f>
        <v>0</v>
      </c>
      <c r="E5" s="599">
        <f>'B_Operator&amp;Inst.ID'!$I$10</f>
        <v>0</v>
      </c>
      <c r="F5" s="600">
        <f>'B_Operator&amp;Inst.ID'!I46</f>
        <v>0</v>
      </c>
      <c r="G5" s="600">
        <f>'B_Operator&amp;Inst.ID'!I47</f>
        <v>0</v>
      </c>
      <c r="H5" s="600">
        <f>'B_Operator&amp;Inst.ID'!I48</f>
        <v>0</v>
      </c>
      <c r="I5" s="600">
        <f>'B_Operator&amp;Inst.ID'!I49</f>
        <v>0</v>
      </c>
      <c r="J5" s="600">
        <f>'B_Operator&amp;Inst.ID'!I50</f>
        <v>0</v>
      </c>
      <c r="K5" s="600">
        <f>'B_Operator&amp;Inst.ID'!I52</f>
        <v>0</v>
      </c>
      <c r="L5" s="600">
        <f>'B_Operator&amp;Inst.ID'!I53</f>
        <v>0</v>
      </c>
      <c r="M5" s="600">
        <f>C_InstallationDescription!$K$38</f>
        <v>0</v>
      </c>
      <c r="N5" s="696" t="str">
        <f>IF(INDEX(C_InstallationDescription!$F$56:$F$62,N4)="","",INDEX(C_InstallationDescription!$F$56:$F$62,N4))</f>
        <v/>
      </c>
      <c r="O5" s="696" t="str">
        <f>IF(INDEX(C_InstallationDescription!$F$56:$F$62,O4)="","",INDEX(C_InstallationDescription!$F$56:$F$62,O4))</f>
        <v/>
      </c>
      <c r="P5" s="696" t="str">
        <f>IF(INDEX(C_InstallationDescription!$F$56:$F$62,P4)="","",INDEX(C_InstallationDescription!$F$56:$F$62,P4))</f>
        <v/>
      </c>
      <c r="Q5" s="696" t="str">
        <f>IF(INDEX(C_InstallationDescription!$F$56:$F$62,Q4)="","",INDEX(C_InstallationDescription!$F$56:$F$62,Q4))</f>
        <v/>
      </c>
      <c r="R5" s="696" t="str">
        <f>IF(INDEX(C_InstallationDescription!$F$56:$F$62,R4)="","",INDEX(C_InstallationDescription!$F$56:$F$62,R4))</f>
        <v/>
      </c>
      <c r="S5" s="696" t="str">
        <f>IF(INDEX(C_InstallationDescription!$F$56:$F$62,S4)="","",INDEX(C_InstallationDescription!$F$56:$F$62,S4))</f>
        <v/>
      </c>
      <c r="T5" s="696" t="str">
        <f>IF(INDEX(C_InstallationDescription!$F$56:$F$62,T4)="","",INDEX(C_InstallationDescription!$F$56:$F$62,T4))</f>
        <v/>
      </c>
      <c r="U5" s="697">
        <f>C_InstallationDescription!$I$70</f>
        <v>0</v>
      </c>
      <c r="V5" s="599" t="str">
        <f>C_InstallationDescription!$I$71</f>
        <v/>
      </c>
      <c r="W5" s="600" t="str">
        <f>IF(C_InstallationDescription!$I$73="","",C_InstallationDescription!$I$73)</f>
        <v/>
      </c>
      <c r="X5" s="600" t="str">
        <f>IF(C_InstallationDescription!L82="","",C_InstallationDescription!L82)</f>
        <v/>
      </c>
      <c r="Y5" s="619" t="str">
        <f>IF(C_InstallationDescription!E84="","",C_InstallationDescription!E84)</f>
        <v/>
      </c>
      <c r="Z5" s="600" t="str">
        <f>IF(C_InstallationDescription!I96="","",C_InstallationDescription!I96)</f>
        <v/>
      </c>
      <c r="AA5" s="600" t="str">
        <f>IF(C_InstallationDescription!I97="","",C_InstallationDescription!I97)</f>
        <v/>
      </c>
      <c r="AB5" s="600" t="str">
        <f>IF(C_InstallationDescription!I98="","",C_InstallationDescription!I98)</f>
        <v/>
      </c>
      <c r="AC5" s="600" t="str">
        <f>IF(C_InstallationDescription!I99="","",C_InstallationDescription!I99)</f>
        <v/>
      </c>
      <c r="AD5" s="600" t="str">
        <f>IF(C_InstallationDescription!I100="","",C_InstallationDescription!I100)</f>
        <v/>
      </c>
      <c r="AE5" s="600">
        <f>CNTR_InstHasTransferredCO2</f>
        <v>0</v>
      </c>
      <c r="AF5" s="600">
        <f>CNTR_InstHasCCU</f>
        <v>0</v>
      </c>
      <c r="FA5" s="679"/>
      <c r="FB5" s="679"/>
      <c r="FC5" s="679"/>
    </row>
    <row r="6" spans="1:159" ht="12.75" customHeight="1" x14ac:dyDescent="0.2"/>
    <row r="7" spans="1:159" hidden="1" x14ac:dyDescent="0.2">
      <c r="A7" s="683" t="s">
        <v>1090</v>
      </c>
      <c r="B7" s="698"/>
      <c r="C7" s="698"/>
      <c r="D7" s="698"/>
      <c r="E7" s="698"/>
      <c r="F7" s="698"/>
      <c r="G7" s="698"/>
      <c r="H7" s="698"/>
      <c r="I7" s="698">
        <v>8</v>
      </c>
      <c r="J7" s="698">
        <v>11</v>
      </c>
      <c r="K7" s="698">
        <v>8</v>
      </c>
      <c r="L7" s="698">
        <v>12</v>
      </c>
      <c r="M7" s="698">
        <v>12</v>
      </c>
      <c r="N7" s="698">
        <v>12</v>
      </c>
      <c r="O7" s="698">
        <v>8</v>
      </c>
      <c r="P7" s="698">
        <v>9</v>
      </c>
      <c r="Q7" s="698">
        <v>10</v>
      </c>
      <c r="R7" s="698">
        <v>11</v>
      </c>
      <c r="S7" s="698">
        <v>12</v>
      </c>
      <c r="T7" s="698">
        <v>5</v>
      </c>
      <c r="U7" s="698">
        <v>8</v>
      </c>
      <c r="V7" s="698">
        <v>8</v>
      </c>
      <c r="W7" s="698">
        <v>8</v>
      </c>
      <c r="X7" s="698">
        <v>8</v>
      </c>
      <c r="Y7" s="698">
        <v>8</v>
      </c>
      <c r="Z7" s="698">
        <v>9</v>
      </c>
      <c r="AA7" s="698">
        <v>10</v>
      </c>
      <c r="AB7" s="698">
        <v>11</v>
      </c>
      <c r="AC7" s="698">
        <v>12</v>
      </c>
      <c r="AD7" s="698">
        <v>13</v>
      </c>
      <c r="AE7" s="698">
        <v>14</v>
      </c>
      <c r="AF7" s="698">
        <v>8</v>
      </c>
      <c r="AG7" s="698">
        <v>8</v>
      </c>
      <c r="AH7" s="698">
        <v>9</v>
      </c>
      <c r="AI7" s="698">
        <v>10</v>
      </c>
      <c r="AJ7" s="698">
        <v>11</v>
      </c>
      <c r="AK7" s="698">
        <v>12</v>
      </c>
      <c r="AL7" s="698">
        <v>13</v>
      </c>
      <c r="AM7" s="698">
        <v>14</v>
      </c>
      <c r="AN7" s="698">
        <v>8</v>
      </c>
      <c r="AO7" s="698">
        <v>8</v>
      </c>
      <c r="AP7" s="698">
        <v>9</v>
      </c>
      <c r="AQ7" s="698">
        <v>10</v>
      </c>
      <c r="AR7" s="698">
        <v>11</v>
      </c>
      <c r="AS7" s="698">
        <v>12</v>
      </c>
      <c r="AT7" s="698">
        <v>13</v>
      </c>
      <c r="AU7" s="698">
        <v>14</v>
      </c>
      <c r="AV7" s="698">
        <v>8</v>
      </c>
      <c r="AW7" s="698">
        <v>8</v>
      </c>
      <c r="AX7" s="698">
        <v>9</v>
      </c>
      <c r="AY7" s="698">
        <v>10</v>
      </c>
      <c r="AZ7" s="698">
        <v>11</v>
      </c>
      <c r="BA7" s="698">
        <v>12</v>
      </c>
      <c r="BB7" s="698">
        <v>13</v>
      </c>
      <c r="BC7" s="698">
        <v>14</v>
      </c>
      <c r="BD7" s="698">
        <v>8</v>
      </c>
      <c r="BE7" s="698">
        <v>8</v>
      </c>
      <c r="BF7" s="698">
        <v>9</v>
      </c>
      <c r="BG7" s="698">
        <v>10</v>
      </c>
      <c r="BH7" s="698">
        <v>11</v>
      </c>
      <c r="BI7" s="698">
        <v>12</v>
      </c>
      <c r="BJ7" s="698">
        <v>13</v>
      </c>
      <c r="BK7" s="698">
        <v>14</v>
      </c>
      <c r="BL7" s="698">
        <v>8</v>
      </c>
      <c r="BM7" s="698">
        <v>8</v>
      </c>
      <c r="BN7" s="698">
        <v>9</v>
      </c>
      <c r="BO7" s="698">
        <v>10</v>
      </c>
      <c r="BP7" s="698">
        <v>11</v>
      </c>
      <c r="BQ7" s="698">
        <v>12</v>
      </c>
      <c r="BR7" s="698">
        <v>13</v>
      </c>
      <c r="BS7" s="698">
        <v>14</v>
      </c>
      <c r="BT7" s="698">
        <v>5</v>
      </c>
      <c r="BU7" s="698"/>
      <c r="BV7" s="698"/>
      <c r="BW7" s="698"/>
      <c r="BX7" s="698"/>
      <c r="BY7" s="698"/>
      <c r="BZ7" s="698"/>
      <c r="CA7" s="698"/>
      <c r="CB7" s="698"/>
      <c r="CC7" s="698"/>
      <c r="CD7" s="698"/>
      <c r="CE7" s="698"/>
      <c r="CF7" s="698"/>
      <c r="CG7" s="698"/>
      <c r="CH7" s="698"/>
      <c r="CI7" s="698"/>
    </row>
    <row r="8" spans="1:159" ht="35.1" customHeight="1" thickBot="1" x14ac:dyDescent="0.45">
      <c r="B8" s="595" t="str">
        <f>Translations!$B$1238</f>
        <v>Source streams (excl. PFC)</v>
      </c>
      <c r="C8" s="693"/>
      <c r="D8" s="693"/>
      <c r="E8" s="693"/>
      <c r="F8" s="693"/>
      <c r="G8" s="693"/>
      <c r="H8" s="693"/>
      <c r="I8" s="693"/>
      <c r="J8" s="693"/>
      <c r="K8" s="693"/>
      <c r="L8" s="693"/>
      <c r="M8" s="693"/>
      <c r="N8" s="693"/>
      <c r="O8" s="693"/>
      <c r="P8" s="693"/>
      <c r="Q8" s="693"/>
      <c r="R8" s="693"/>
      <c r="S8" s="693"/>
      <c r="T8" s="693"/>
      <c r="U8" s="693"/>
      <c r="V8" s="693"/>
      <c r="W8" s="693"/>
      <c r="X8" s="693"/>
      <c r="Y8" s="693"/>
      <c r="Z8" s="693"/>
      <c r="AA8" s="693"/>
      <c r="AB8" s="693"/>
      <c r="AC8" s="693"/>
      <c r="AD8" s="693"/>
      <c r="AE8" s="693"/>
      <c r="AF8" s="693"/>
      <c r="AG8" s="693"/>
      <c r="AH8" s="693"/>
      <c r="AI8" s="693"/>
      <c r="AJ8" s="693"/>
      <c r="AK8" s="693"/>
      <c r="AL8" s="693"/>
      <c r="AM8" s="693"/>
      <c r="AN8" s="693"/>
      <c r="AO8" s="693"/>
      <c r="AP8" s="693"/>
      <c r="AQ8" s="693"/>
      <c r="AR8" s="693"/>
      <c r="AS8" s="693"/>
      <c r="AT8" s="693"/>
      <c r="AU8" s="693"/>
      <c r="AV8" s="693"/>
      <c r="AW8" s="693"/>
      <c r="AX8" s="693"/>
      <c r="AY8" s="693"/>
      <c r="AZ8" s="693"/>
      <c r="BA8" s="693"/>
      <c r="BB8" s="693"/>
      <c r="BC8" s="693"/>
      <c r="BD8" s="693"/>
      <c r="BE8" s="693"/>
      <c r="BF8" s="693"/>
      <c r="BG8" s="693"/>
      <c r="BH8" s="693"/>
      <c r="BI8" s="693"/>
      <c r="BJ8" s="693"/>
      <c r="BK8" s="693"/>
      <c r="BL8" s="693"/>
      <c r="BM8" s="693"/>
      <c r="BN8" s="693"/>
      <c r="BO8" s="693"/>
      <c r="BP8" s="693"/>
      <c r="BQ8" s="693"/>
      <c r="BR8" s="693"/>
      <c r="BS8" s="693"/>
      <c r="BT8" s="693"/>
    </row>
    <row r="9" spans="1:159" s="625" customFormat="1" ht="20.100000000000001" customHeight="1" x14ac:dyDescent="0.2">
      <c r="O9" s="1256" t="str">
        <f>Translations!$B$472</f>
        <v>Measurement instruments used:</v>
      </c>
      <c r="P9" s="1257"/>
      <c r="Q9" s="1257"/>
      <c r="R9" s="1257"/>
      <c r="S9" s="1258"/>
      <c r="T9" s="693"/>
      <c r="X9" s="1259" t="str">
        <f>Translations!$B$520</f>
        <v>Net calorific value (NCV)</v>
      </c>
      <c r="Y9" s="1259"/>
      <c r="Z9" s="1259"/>
      <c r="AA9" s="1259"/>
      <c r="AB9" s="1259"/>
      <c r="AC9" s="1259"/>
      <c r="AD9" s="1259"/>
      <c r="AE9" s="1259"/>
      <c r="AF9" s="1259" t="str">
        <f>Translations!$B$521</f>
        <v>Emission factor (preliminary)</v>
      </c>
      <c r="AG9" s="1259"/>
      <c r="AH9" s="1259"/>
      <c r="AI9" s="1259"/>
      <c r="AJ9" s="1259"/>
      <c r="AK9" s="1259"/>
      <c r="AL9" s="1259"/>
      <c r="AM9" s="1259"/>
      <c r="AN9" s="1259" t="str">
        <f>Translations!$B$522</f>
        <v>Oxidation factor</v>
      </c>
      <c r="AO9" s="1259"/>
      <c r="AP9" s="1259"/>
      <c r="AQ9" s="1259"/>
      <c r="AR9" s="1259"/>
      <c r="AS9" s="1259"/>
      <c r="AT9" s="1259"/>
      <c r="AU9" s="1259"/>
      <c r="AV9" s="1259" t="str">
        <f>Translations!$B$523</f>
        <v>Conversion factor</v>
      </c>
      <c r="AW9" s="1259"/>
      <c r="AX9" s="1259"/>
      <c r="AY9" s="1259"/>
      <c r="AZ9" s="1259"/>
      <c r="BA9" s="1259"/>
      <c r="BB9" s="1259"/>
      <c r="BC9" s="1259"/>
      <c r="BD9" s="1259" t="str">
        <f>Translations!$B$524</f>
        <v>Carbon content</v>
      </c>
      <c r="BE9" s="1259"/>
      <c r="BF9" s="1259"/>
      <c r="BG9" s="1259"/>
      <c r="BH9" s="1259"/>
      <c r="BI9" s="1259"/>
      <c r="BJ9" s="1259"/>
      <c r="BK9" s="1259"/>
      <c r="BL9" s="1259" t="str">
        <f>Translations!$B$525</f>
        <v>Biomass fraction (if applicable)</v>
      </c>
      <c r="BM9" s="1259"/>
      <c r="BN9" s="1259"/>
      <c r="BO9" s="1259"/>
      <c r="BP9" s="1259"/>
      <c r="BQ9" s="1259"/>
      <c r="BR9" s="1259"/>
      <c r="BS9" s="1259"/>
      <c r="CJ9" s="699"/>
      <c r="CK9" s="699"/>
      <c r="CL9" s="699"/>
      <c r="CM9" s="699"/>
      <c r="CN9" s="699"/>
      <c r="CO9" s="699"/>
      <c r="CP9" s="699"/>
      <c r="CQ9" s="699"/>
      <c r="CR9" s="699"/>
      <c r="CS9" s="699"/>
      <c r="CT9" s="699"/>
      <c r="CU9" s="699"/>
      <c r="CV9" s="699"/>
      <c r="CW9" s="699"/>
      <c r="CX9" s="699"/>
      <c r="CY9" s="699"/>
      <c r="CZ9" s="699"/>
      <c r="DA9" s="699"/>
      <c r="DB9" s="699"/>
      <c r="DC9" s="699"/>
      <c r="DD9" s="699"/>
      <c r="DE9" s="699"/>
      <c r="DF9" s="699"/>
      <c r="DG9" s="699"/>
      <c r="DH9" s="699"/>
      <c r="DI9" s="699"/>
      <c r="DJ9" s="699"/>
      <c r="DK9" s="699"/>
      <c r="DL9" s="699"/>
      <c r="DM9" s="699"/>
      <c r="DN9" s="699"/>
      <c r="DO9" s="699"/>
      <c r="DP9" s="699"/>
      <c r="DQ9" s="699"/>
      <c r="DR9" s="699"/>
      <c r="DS9" s="699"/>
      <c r="DT9" s="699"/>
      <c r="DU9" s="699"/>
      <c r="DV9" s="699"/>
      <c r="DW9" s="699"/>
      <c r="DX9" s="699"/>
      <c r="DY9" s="699"/>
      <c r="DZ9" s="699"/>
      <c r="EA9" s="699"/>
      <c r="EB9" s="699"/>
      <c r="EC9" s="699"/>
      <c r="ED9" s="699"/>
      <c r="EE9" s="699"/>
      <c r="EF9" s="699"/>
      <c r="EG9" s="699"/>
      <c r="EH9" s="699"/>
      <c r="EI9" s="699"/>
      <c r="EJ9" s="699"/>
      <c r="EK9" s="699"/>
      <c r="EL9" s="699"/>
      <c r="EM9" s="699"/>
      <c r="EN9" s="699"/>
      <c r="EO9" s="699"/>
      <c r="EP9" s="699"/>
      <c r="EQ9" s="699"/>
      <c r="ER9" s="699"/>
      <c r="ES9" s="699"/>
      <c r="ET9" s="699"/>
      <c r="EU9" s="699"/>
      <c r="EV9" s="699"/>
      <c r="EW9" s="699"/>
      <c r="EX9" s="699"/>
      <c r="EY9" s="699"/>
      <c r="EZ9" s="699"/>
    </row>
    <row r="10" spans="1:159" s="694" customFormat="1" ht="80.099999999999994" customHeight="1" x14ac:dyDescent="0.2">
      <c r="B10" s="596" t="str">
        <f>Translations!$B$287</f>
        <v>Source Stream ref. F1, F2,...</v>
      </c>
      <c r="C10" s="596" t="str">
        <f>Translations!$B$288</f>
        <v>Source stream Name</v>
      </c>
      <c r="D10" s="596" t="str">
        <f>Translations!$B$289</f>
        <v>Source stream type</v>
      </c>
      <c r="E10" s="596" t="str">
        <f>Translations!$B$310</f>
        <v>Source stream full name (name + type)</v>
      </c>
      <c r="F10" s="596" t="str">
        <f>Translations!$B$276</f>
        <v>Estimated emissions [t CO2e / year]</v>
      </c>
      <c r="G10" s="596" t="str">
        <f>Translations!$B$277</f>
        <v>Possible category</v>
      </c>
      <c r="H10" s="596" t="str">
        <f>Translations!$B$311</f>
        <v>Selected category</v>
      </c>
      <c r="I10" s="596" t="str">
        <f>Translations!$B$456</f>
        <v>Determination method:</v>
      </c>
      <c r="J10" s="596" t="str">
        <f>Translations!$B$459</f>
        <v>Reference to procedure used for determining stock piles at end of year:</v>
      </c>
      <c r="K10" s="596" t="str">
        <f>Translations!$B$462</f>
        <v>Instrument under control of:</v>
      </c>
      <c r="L10" s="596" t="str">
        <f>Translations!$B$465</f>
        <v>Please confirm that the conditions of Article 29(1) are satisfied:</v>
      </c>
      <c r="M10" s="596" t="str">
        <f>Translations!$B$468</f>
        <v>Do you use invoices for determining the amount of this fuel or material?</v>
      </c>
      <c r="N10" s="596" t="str">
        <f>Translations!$B$469</f>
        <v>Please confirm that the trade partner and the operator are independent:</v>
      </c>
      <c r="O10" s="596">
        <v>1</v>
      </c>
      <c r="P10" s="596">
        <v>2</v>
      </c>
      <c r="Q10" s="596">
        <v>3</v>
      </c>
      <c r="R10" s="596">
        <v>4</v>
      </c>
      <c r="S10" s="596">
        <v>5</v>
      </c>
      <c r="T10" s="596" t="str">
        <f>Translations!$B$475</f>
        <v>Comment / Description of approach, if several instruments used:</v>
      </c>
      <c r="U10" s="596" t="str">
        <f>Translations!$B$477</f>
        <v>Activity data tier level required:</v>
      </c>
      <c r="V10" s="596" t="str">
        <f>Translations!$B$478</f>
        <v>Activity data tier used:</v>
      </c>
      <c r="W10" s="596" t="str">
        <f>Translations!$B$479</f>
        <v>Uncertainty achieved:</v>
      </c>
      <c r="X10" s="596" t="str">
        <f>Translations!$B$517</f>
        <v>required tier</v>
      </c>
      <c r="Y10" s="596" t="str">
        <f>Translations!$B$518</f>
        <v>applied tier</v>
      </c>
      <c r="Z10" s="596" t="str">
        <f>Translations!$B$535</f>
        <v>default value</v>
      </c>
      <c r="AA10" s="596" t="str">
        <f>Translations!$B$536</f>
        <v>Unit</v>
      </c>
      <c r="AB10" s="596" t="str">
        <f>Translations!$B$537</f>
        <v>source ref</v>
      </c>
      <c r="AC10" s="596" t="str">
        <f>Translations!$B$538</f>
        <v>analysis ref</v>
      </c>
      <c r="AD10" s="596" t="str">
        <f>Translations!$B$539</f>
        <v>sampling ref</v>
      </c>
      <c r="AE10" s="596" t="str">
        <f>Translations!$B$540</f>
        <v>Analysis frequency</v>
      </c>
      <c r="AF10" s="596" t="str">
        <f>Translations!$B$517</f>
        <v>required tier</v>
      </c>
      <c r="AG10" s="596" t="str">
        <f>Translations!$B$518</f>
        <v>applied tier</v>
      </c>
      <c r="AH10" s="596" t="str">
        <f>Translations!$B$535</f>
        <v>default value</v>
      </c>
      <c r="AI10" s="596" t="str">
        <f>Translations!$B$536</f>
        <v>Unit</v>
      </c>
      <c r="AJ10" s="596" t="str">
        <f>Translations!$B$537</f>
        <v>source ref</v>
      </c>
      <c r="AK10" s="596" t="str">
        <f>Translations!$B$538</f>
        <v>analysis ref</v>
      </c>
      <c r="AL10" s="596" t="str">
        <f>Translations!$B$539</f>
        <v>sampling ref</v>
      </c>
      <c r="AM10" s="596" t="str">
        <f>Translations!$B$540</f>
        <v>Analysis frequency</v>
      </c>
      <c r="AN10" s="596" t="str">
        <f>Translations!$B$517</f>
        <v>required tier</v>
      </c>
      <c r="AO10" s="596" t="str">
        <f>Translations!$B$518</f>
        <v>applied tier</v>
      </c>
      <c r="AP10" s="596" t="str">
        <f>Translations!$B$535</f>
        <v>default value</v>
      </c>
      <c r="AQ10" s="596" t="str">
        <f>Translations!$B$536</f>
        <v>Unit</v>
      </c>
      <c r="AR10" s="596" t="str">
        <f>Translations!$B$537</f>
        <v>source ref</v>
      </c>
      <c r="AS10" s="596" t="str">
        <f>Translations!$B$538</f>
        <v>analysis ref</v>
      </c>
      <c r="AT10" s="596" t="str">
        <f>Translations!$B$539</f>
        <v>sampling ref</v>
      </c>
      <c r="AU10" s="596" t="str">
        <f>Translations!$B$540</f>
        <v>Analysis frequency</v>
      </c>
      <c r="AV10" s="596" t="str">
        <f>Translations!$B$517</f>
        <v>required tier</v>
      </c>
      <c r="AW10" s="596" t="str">
        <f>Translations!$B$518</f>
        <v>applied tier</v>
      </c>
      <c r="AX10" s="596" t="str">
        <f>Translations!$B$535</f>
        <v>default value</v>
      </c>
      <c r="AY10" s="596" t="str">
        <f>Translations!$B$536</f>
        <v>Unit</v>
      </c>
      <c r="AZ10" s="596" t="str">
        <f>Translations!$B$537</f>
        <v>source ref</v>
      </c>
      <c r="BA10" s="596" t="str">
        <f>Translations!$B$538</f>
        <v>analysis ref</v>
      </c>
      <c r="BB10" s="596" t="str">
        <f>Translations!$B$539</f>
        <v>sampling ref</v>
      </c>
      <c r="BC10" s="596" t="str">
        <f>Translations!$B$540</f>
        <v>Analysis frequency</v>
      </c>
      <c r="BD10" s="596" t="str">
        <f>Translations!$B$517</f>
        <v>required tier</v>
      </c>
      <c r="BE10" s="596" t="str">
        <f>Translations!$B$518</f>
        <v>applied tier</v>
      </c>
      <c r="BF10" s="596" t="str">
        <f>Translations!$B$535</f>
        <v>default value</v>
      </c>
      <c r="BG10" s="596" t="str">
        <f>Translations!$B$536</f>
        <v>Unit</v>
      </c>
      <c r="BH10" s="596" t="str">
        <f>Translations!$B$537</f>
        <v>source ref</v>
      </c>
      <c r="BI10" s="596" t="str">
        <f>Translations!$B$538</f>
        <v>analysis ref</v>
      </c>
      <c r="BJ10" s="596" t="str">
        <f>Translations!$B$539</f>
        <v>sampling ref</v>
      </c>
      <c r="BK10" s="596" t="str">
        <f>Translations!$B$540</f>
        <v>Analysis frequency</v>
      </c>
      <c r="BL10" s="596" t="str">
        <f>Translations!$B$517</f>
        <v>required tier</v>
      </c>
      <c r="BM10" s="596" t="str">
        <f>Translations!$B$518</f>
        <v>applied tier</v>
      </c>
      <c r="BN10" s="596" t="str">
        <f>Translations!$B$535</f>
        <v>default value</v>
      </c>
      <c r="BO10" s="596" t="str">
        <f>Translations!$B$536</f>
        <v>Unit</v>
      </c>
      <c r="BP10" s="596" t="str">
        <f>Translations!$B$537</f>
        <v>source ref</v>
      </c>
      <c r="BQ10" s="596" t="str">
        <f>Translations!$B$538</f>
        <v>analysis ref</v>
      </c>
      <c r="BR10" s="596" t="str">
        <f>Translations!$B$539</f>
        <v>sampling ref</v>
      </c>
      <c r="BS10" s="596" t="str">
        <f>Translations!$B$540</f>
        <v>Analysis frequency</v>
      </c>
      <c r="BT10" s="596" t="str">
        <f>Translations!$B$1198</f>
        <v>Comments and justification if required tiers are not applied:</v>
      </c>
      <c r="BU10" s="625"/>
      <c r="CJ10" s="695"/>
      <c r="CK10" s="695"/>
      <c r="CL10" s="695"/>
      <c r="CM10" s="695"/>
      <c r="CN10" s="695"/>
      <c r="CO10" s="695"/>
      <c r="CP10" s="695"/>
      <c r="CQ10" s="695"/>
      <c r="CR10" s="695"/>
      <c r="CS10" s="695"/>
      <c r="CT10" s="695"/>
      <c r="CU10" s="695"/>
      <c r="CV10" s="695"/>
      <c r="CW10" s="695"/>
      <c r="CX10" s="695"/>
      <c r="CY10" s="695"/>
      <c r="CZ10" s="695"/>
      <c r="DA10" s="695"/>
      <c r="DB10" s="695"/>
      <c r="DC10" s="695"/>
      <c r="DD10" s="695"/>
      <c r="DE10" s="695"/>
      <c r="DF10" s="695"/>
      <c r="DG10" s="695"/>
      <c r="DH10" s="695"/>
      <c r="DI10" s="695"/>
      <c r="DJ10" s="695"/>
      <c r="DK10" s="695"/>
      <c r="DL10" s="695"/>
      <c r="DM10" s="695"/>
      <c r="DN10" s="695"/>
      <c r="DO10" s="695"/>
      <c r="DP10" s="695"/>
      <c r="DQ10" s="695"/>
      <c r="DR10" s="695"/>
      <c r="DS10" s="695"/>
      <c r="DT10" s="695"/>
      <c r="DU10" s="695"/>
      <c r="DV10" s="695"/>
      <c r="DW10" s="695"/>
      <c r="DX10" s="695"/>
      <c r="DY10" s="695"/>
      <c r="DZ10" s="695"/>
      <c r="EA10" s="695"/>
      <c r="EB10" s="695"/>
      <c r="EC10" s="695"/>
      <c r="ED10" s="695"/>
      <c r="EE10" s="695"/>
      <c r="EF10" s="695"/>
      <c r="EG10" s="695"/>
      <c r="EH10" s="695"/>
      <c r="EI10" s="695"/>
      <c r="EJ10" s="695"/>
      <c r="EK10" s="695"/>
      <c r="EL10" s="695"/>
      <c r="EM10" s="695"/>
      <c r="EN10" s="695"/>
      <c r="EO10" s="695"/>
      <c r="EP10" s="695"/>
      <c r="EQ10" s="695"/>
      <c r="ER10" s="695"/>
      <c r="ES10" s="695"/>
      <c r="ET10" s="695"/>
      <c r="EU10" s="695"/>
      <c r="EV10" s="695"/>
      <c r="EW10" s="695"/>
      <c r="EX10" s="695"/>
      <c r="EY10" s="695"/>
      <c r="EZ10" s="695"/>
    </row>
    <row r="11" spans="1:159" ht="12.75" customHeight="1" x14ac:dyDescent="0.2">
      <c r="B11" s="700" t="str">
        <f>IF(COUNTIF($CK$10:CK11,TRUE)&gt;0,"",INDEX(C_InstallationDescription!$E$226:$E$242,ROWS($A$11:A11)))</f>
        <v/>
      </c>
      <c r="C11" s="701" t="str">
        <f>IF($E11="","",INDEX(C_InstallationDescription!F:F,MATCH($B11,C_InstallationDescription!$E:$E,0)))</f>
        <v/>
      </c>
      <c r="D11" s="701" t="str">
        <f>IF($E11="","",INDEX(C_InstallationDescription!I:I,MATCH($B11,C_InstallationDescription!$E:$E,0)))</f>
        <v/>
      </c>
      <c r="E11" s="701" t="str">
        <f>IF($B11="","",INDEX(C_InstallationDescription!F:F,MATCH($CJ11,C_InstallationDescription!$Q:$Q,0)))</f>
        <v/>
      </c>
      <c r="F11" s="702" t="str">
        <f>IF($E11="","",INDEX(C_InstallationDescription!L:L,MATCH($CJ11,C_InstallationDescription!$Q:$Q,0)))</f>
        <v/>
      </c>
      <c r="G11" s="701" t="str">
        <f>IF($E11="","",INDEX(C_InstallationDescription!M:M,MATCH($CJ11,C_InstallationDescription!$Q:$Q,0)))</f>
        <v/>
      </c>
      <c r="H11" s="701" t="str">
        <f>IF($E11="","",INDEX(C_InstallationDescription!N:N,MATCH($CJ11,C_InstallationDescription!$Q:$Q,0)))</f>
        <v/>
      </c>
      <c r="I11" s="703" t="str">
        <f>IF($E11="","",IF(INDEX(E_SourceStreams!$A:$N,CN11,I$7)="","",INDEX(E_SourceStreams!$A:$N,CN11,I$7)))</f>
        <v/>
      </c>
      <c r="J11" s="703" t="str">
        <f>IF($E11="","",IF(INDEX(E_SourceStreams!$A:$N,CO11,J$7)="","",INDEX(E_SourceStreams!$A:$N,CO11,J$7)))</f>
        <v/>
      </c>
      <c r="K11" s="703" t="str">
        <f>IF($E11="","",IF(INDEX(E_SourceStreams!$A:$N,CP11,K$7)="","",INDEX(E_SourceStreams!$A:$N,CP11,K$7)))</f>
        <v/>
      </c>
      <c r="L11" s="703" t="str">
        <f>IF($E11="","",IF(INDEX(E_SourceStreams!$A:$N,CQ11,L$7)="","",INDEX(E_SourceStreams!$A:$N,CQ11,L$7)))</f>
        <v/>
      </c>
      <c r="M11" s="703" t="str">
        <f>IF($E11="","",IF(INDEX(E_SourceStreams!$A:$N,CR11,M$7)="","",INDEX(E_SourceStreams!$A:$N,CR11,M$7)))</f>
        <v/>
      </c>
      <c r="N11" s="703" t="str">
        <f>IF($E11="","",IF(INDEX(E_SourceStreams!$A:$N,CS11,N$7)="","",INDEX(E_SourceStreams!$A:$N,CS11,N$7)))</f>
        <v/>
      </c>
      <c r="O11" s="703" t="str">
        <f>IF($E11="","",IF(INDEX(E_SourceStreams!$A:$N,CT11,O$7)="","",INDEX(E_SourceStreams!$A:$N,CT11,O$7)))</f>
        <v/>
      </c>
      <c r="P11" s="703" t="str">
        <f>IF($E11="","",IF(INDEX(E_SourceStreams!$A:$N,CU11,P$7)="","",INDEX(E_SourceStreams!$A:$N,CU11,P$7)))</f>
        <v/>
      </c>
      <c r="Q11" s="703" t="str">
        <f>IF($E11="","",IF(INDEX(E_SourceStreams!$A:$N,CV11,Q$7)="","",INDEX(E_SourceStreams!$A:$N,CV11,Q$7)))</f>
        <v/>
      </c>
      <c r="R11" s="703" t="str">
        <f>IF($E11="","",IF(INDEX(E_SourceStreams!$A:$N,CW11,R$7)="","",INDEX(E_SourceStreams!$A:$N,CW11,R$7)))</f>
        <v/>
      </c>
      <c r="S11" s="703" t="str">
        <f>IF($E11="","",IF(INDEX(E_SourceStreams!$A:$N,CX11,S$7)="","",INDEX(E_SourceStreams!$A:$N,CX11,S$7)))</f>
        <v/>
      </c>
      <c r="T11" s="703" t="str">
        <f>IF($E11="","",IF(INDEX(E_SourceStreams!$A:$N,CY11,T$7)="","",INDEX(E_SourceStreams!$A:$N,CY11,T$7)))</f>
        <v/>
      </c>
      <c r="U11" s="703" t="str">
        <f>IF($E11="","",IF(INDEX(E_SourceStreams!$A:$N,CZ11,U$7)="","",INDEX(E_SourceStreams!$A:$N,CZ11,U$7)))</f>
        <v/>
      </c>
      <c r="V11" s="703" t="str">
        <f>IF($E11="","",IF(INDEX(E_SourceStreams!$A:$N,DA11,V$7)="","",INDEX(E_SourceStreams!$A:$N,DA11,V$7)))</f>
        <v/>
      </c>
      <c r="W11" s="704" t="str">
        <f>IF($E11="","",IF(INDEX(E_SourceStreams!$A:$N,DB11,W$7)="","",INDEX(E_SourceStreams!$A:$N,DB11,W$7)))</f>
        <v/>
      </c>
      <c r="X11" s="703" t="str">
        <f>IF($E11="","",IF(INDEX(E_SourceStreams!$A:$N,DC11,X$7)="","",INDEX(E_SourceStreams!$A:$N,DC11,X$7)))</f>
        <v/>
      </c>
      <c r="Y11" s="703" t="str">
        <f>IF($E11="","",IF(INDEX(E_SourceStreams!$A:$N,DD11,Y$7)="","",INDEX(E_SourceStreams!$A:$N,DD11,Y$7)))</f>
        <v/>
      </c>
      <c r="Z11" s="703" t="str">
        <f>IF($E11="","",IF(INDEX(E_SourceStreams!$A:$N,DE11,Z$7)="","",INDEX(E_SourceStreams!$A:$N,DE11,Z$7)))</f>
        <v/>
      </c>
      <c r="AA11" s="703" t="str">
        <f>IF($E11="","",IF(INDEX(E_SourceStreams!$A:$N,DF11,AA$7)="","",INDEX(E_SourceStreams!$A:$N,DF11,AA$7)))</f>
        <v/>
      </c>
      <c r="AB11" s="703" t="str">
        <f>IF($E11="","",IF(INDEX(E_SourceStreams!$A:$N,DG11,AB$7)="","",INDEX(E_SourceStreams!$A:$N,DG11,AB$7)))</f>
        <v/>
      </c>
      <c r="AC11" s="703" t="str">
        <f>IF($E11="","",IF(INDEX(E_SourceStreams!$A:$N,DH11,AC$7)="","",INDEX(E_SourceStreams!$A:$N,DH11,AC$7)))</f>
        <v/>
      </c>
      <c r="AD11" s="703" t="str">
        <f>IF($E11="","",IF(INDEX(E_SourceStreams!$A:$N,DI11,AD$7)="","",INDEX(E_SourceStreams!$A:$N,DI11,AD$7)))</f>
        <v/>
      </c>
      <c r="AE11" s="703" t="str">
        <f>IF($E11="","",IF(INDEX(E_SourceStreams!$A:$N,DJ11,AE$7)="","",INDEX(E_SourceStreams!$A:$N,DJ11,AE$7)))</f>
        <v/>
      </c>
      <c r="AF11" s="703" t="str">
        <f>IF($E11="","",IF(INDEX(E_SourceStreams!$A:$N,DK11,AF$7)="","",INDEX(E_SourceStreams!$A:$N,DK11,AF$7)))</f>
        <v/>
      </c>
      <c r="AG11" s="703" t="str">
        <f>IF($E11="","",IF(INDEX(E_SourceStreams!$A:$N,DL11,AG$7)="","",INDEX(E_SourceStreams!$A:$N,DL11,AG$7)))</f>
        <v/>
      </c>
      <c r="AH11" s="703" t="str">
        <f>IF($E11="","",IF(INDEX(E_SourceStreams!$A:$N,DM11,AH$7)="","",INDEX(E_SourceStreams!$A:$N,DM11,AH$7)))</f>
        <v/>
      </c>
      <c r="AI11" s="703" t="str">
        <f>IF($E11="","",IF(INDEX(E_SourceStreams!$A:$N,DN11,AI$7)="","",INDEX(E_SourceStreams!$A:$N,DN11,AI$7)))</f>
        <v/>
      </c>
      <c r="AJ11" s="703" t="str">
        <f>IF($E11="","",IF(INDEX(E_SourceStreams!$A:$N,DO11,AJ$7)="","",INDEX(E_SourceStreams!$A:$N,DO11,AJ$7)))</f>
        <v/>
      </c>
      <c r="AK11" s="703" t="str">
        <f>IF($E11="","",IF(INDEX(E_SourceStreams!$A:$N,DP11,AK$7)="","",INDEX(E_SourceStreams!$A:$N,DP11,AK$7)))</f>
        <v/>
      </c>
      <c r="AL11" s="703" t="str">
        <f>IF($E11="","",IF(INDEX(E_SourceStreams!$A:$N,DQ11,AL$7)="","",INDEX(E_SourceStreams!$A:$N,DQ11,AL$7)))</f>
        <v/>
      </c>
      <c r="AM11" s="703" t="str">
        <f>IF($E11="","",IF(INDEX(E_SourceStreams!$A:$N,DR11,AM$7)="","",INDEX(E_SourceStreams!$A:$N,DR11,AM$7)))</f>
        <v/>
      </c>
      <c r="AN11" s="703" t="str">
        <f>IF($E11="","",IF(INDEX(E_SourceStreams!$A:$N,DS11,AN$7)="","",INDEX(E_SourceStreams!$A:$N,DS11,AN$7)))</f>
        <v/>
      </c>
      <c r="AO11" s="703" t="str">
        <f>IF($E11="","",IF(INDEX(E_SourceStreams!$A:$N,DT11,AO$7)="","",INDEX(E_SourceStreams!$A:$N,DT11,AO$7)))</f>
        <v/>
      </c>
      <c r="AP11" s="703" t="str">
        <f>IF($E11="","",IF(INDEX(E_SourceStreams!$A:$N,DU11,AP$7)="","",INDEX(E_SourceStreams!$A:$N,DU11,AP$7)))</f>
        <v/>
      </c>
      <c r="AQ11" s="703" t="str">
        <f>IF($E11="","",IF(INDEX(E_SourceStreams!$A:$N,DV11,AQ$7)="","",INDEX(E_SourceStreams!$A:$N,DV11,AQ$7)))</f>
        <v/>
      </c>
      <c r="AR11" s="703" t="str">
        <f>IF($E11="","",IF(INDEX(E_SourceStreams!$A:$N,DW11,AR$7)="","",INDEX(E_SourceStreams!$A:$N,DW11,AR$7)))</f>
        <v/>
      </c>
      <c r="AS11" s="703" t="str">
        <f>IF($E11="","",IF(INDEX(E_SourceStreams!$A:$N,DX11,AS$7)="","",INDEX(E_SourceStreams!$A:$N,DX11,AS$7)))</f>
        <v/>
      </c>
      <c r="AT11" s="703" t="str">
        <f>IF($E11="","",IF(INDEX(E_SourceStreams!$A:$N,DY11,AT$7)="","",INDEX(E_SourceStreams!$A:$N,DY11,AT$7)))</f>
        <v/>
      </c>
      <c r="AU11" s="703" t="str">
        <f>IF($E11="","",IF(INDEX(E_SourceStreams!$A:$N,DZ11,AU$7)="","",INDEX(E_SourceStreams!$A:$N,DZ11,AU$7)))</f>
        <v/>
      </c>
      <c r="AV11" s="703" t="str">
        <f>IF($E11="","",IF(INDEX(E_SourceStreams!$A:$N,EA11,AV$7)="","",INDEX(E_SourceStreams!$A:$N,EA11,AV$7)))</f>
        <v/>
      </c>
      <c r="AW11" s="703" t="str">
        <f>IF($E11="","",IF(INDEX(E_SourceStreams!$A:$N,EB11,AW$7)="","",INDEX(E_SourceStreams!$A:$N,EB11,AW$7)))</f>
        <v/>
      </c>
      <c r="AX11" s="703" t="str">
        <f>IF($E11="","",IF(INDEX(E_SourceStreams!$A:$N,EC11,AX$7)="","",INDEX(E_SourceStreams!$A:$N,EC11,AX$7)))</f>
        <v/>
      </c>
      <c r="AY11" s="703" t="str">
        <f>IF($E11="","",IF(INDEX(E_SourceStreams!$A:$N,ED11,AY$7)="","",INDEX(E_SourceStreams!$A:$N,ED11,AY$7)))</f>
        <v/>
      </c>
      <c r="AZ11" s="703" t="str">
        <f>IF($E11="","",IF(INDEX(E_SourceStreams!$A:$N,EE11,AZ$7)="","",INDEX(E_SourceStreams!$A:$N,EE11,AZ$7)))</f>
        <v/>
      </c>
      <c r="BA11" s="703" t="str">
        <f>IF($E11="","",IF(INDEX(E_SourceStreams!$A:$N,EF11,BA$7)="","",INDEX(E_SourceStreams!$A:$N,EF11,BA$7)))</f>
        <v/>
      </c>
      <c r="BB11" s="703" t="str">
        <f>IF($E11="","",IF(INDEX(E_SourceStreams!$A:$N,EG11,BB$7)="","",INDEX(E_SourceStreams!$A:$N,EG11,BB$7)))</f>
        <v/>
      </c>
      <c r="BC11" s="703" t="str">
        <f>IF($E11="","",IF(INDEX(E_SourceStreams!$A:$N,EH11,BC$7)="","",INDEX(E_SourceStreams!$A:$N,EH11,BC$7)))</f>
        <v/>
      </c>
      <c r="BD11" s="703" t="str">
        <f>IF($E11="","",IF(INDEX(E_SourceStreams!$A:$N,EI11,BD$7)="","",INDEX(E_SourceStreams!$A:$N,EI11,BD$7)))</f>
        <v/>
      </c>
      <c r="BE11" s="703" t="str">
        <f>IF($E11="","",IF(INDEX(E_SourceStreams!$A:$N,EJ11,BE$7)="","",INDEX(E_SourceStreams!$A:$N,EJ11,BE$7)))</f>
        <v/>
      </c>
      <c r="BF11" s="703" t="str">
        <f>IF($E11="","",IF(INDEX(E_SourceStreams!$A:$N,EK11,BF$7)="","",INDEX(E_SourceStreams!$A:$N,EK11,BF$7)))</f>
        <v/>
      </c>
      <c r="BG11" s="703" t="str">
        <f>IF($E11="","",IF(INDEX(E_SourceStreams!$A:$N,EL11,BG$7)="","",INDEX(E_SourceStreams!$A:$N,EL11,BG$7)))</f>
        <v/>
      </c>
      <c r="BH11" s="703" t="str">
        <f>IF($E11="","",IF(INDEX(E_SourceStreams!$A:$N,EM11,BH$7)="","",INDEX(E_SourceStreams!$A:$N,EM11,BH$7)))</f>
        <v/>
      </c>
      <c r="BI11" s="703" t="str">
        <f>IF($E11="","",IF(INDEX(E_SourceStreams!$A:$N,EN11,BI$7)="","",INDEX(E_SourceStreams!$A:$N,EN11,BI$7)))</f>
        <v/>
      </c>
      <c r="BJ11" s="703" t="str">
        <f>IF($E11="","",IF(INDEX(E_SourceStreams!$A:$N,EO11,BJ$7)="","",INDEX(E_SourceStreams!$A:$N,EO11,BJ$7)))</f>
        <v/>
      </c>
      <c r="BK11" s="703" t="str">
        <f>IF($E11="","",IF(INDEX(E_SourceStreams!$A:$N,EP11,BK$7)="","",INDEX(E_SourceStreams!$A:$N,EP11,BK$7)))</f>
        <v/>
      </c>
      <c r="BL11" s="703" t="str">
        <f>IF($E11="","",IF(INDEX(E_SourceStreams!$A:$N,EQ11,BL$7)="","",INDEX(E_SourceStreams!$A:$N,EQ11,BL$7)))</f>
        <v/>
      </c>
      <c r="BM11" s="703" t="str">
        <f>IF($E11="","",IF(INDEX(E_SourceStreams!$A:$N,ER11,BM$7)="","",INDEX(E_SourceStreams!$A:$N,ER11,BM$7)))</f>
        <v/>
      </c>
      <c r="BN11" s="703" t="str">
        <f>IF($E11="","",IF(INDEX(E_SourceStreams!$A:$N,ES11,BN$7)="","",INDEX(E_SourceStreams!$A:$N,ES11,BN$7)))</f>
        <v/>
      </c>
      <c r="BO11" s="703" t="str">
        <f>IF($E11="","",IF(INDEX(E_SourceStreams!$A:$N,ET11,BO$7)="","",INDEX(E_SourceStreams!$A:$N,ET11,BO$7)))</f>
        <v/>
      </c>
      <c r="BP11" s="703" t="str">
        <f>IF($E11="","",IF(INDEX(E_SourceStreams!$A:$N,EU11,BP$7)="","",INDEX(E_SourceStreams!$A:$N,EU11,BP$7)))</f>
        <v/>
      </c>
      <c r="BQ11" s="703" t="str">
        <f>IF($E11="","",IF(INDEX(E_SourceStreams!$A:$N,EV11,BQ$7)="","",INDEX(E_SourceStreams!$A:$N,EV11,BQ$7)))</f>
        <v/>
      </c>
      <c r="BR11" s="703" t="str">
        <f>IF($E11="","",IF(INDEX(E_SourceStreams!$A:$N,EW11,BR$7)="","",INDEX(E_SourceStreams!$A:$N,EW11,BR$7)))</f>
        <v/>
      </c>
      <c r="BS11" s="703" t="str">
        <f>IF($E11="","",IF(INDEX(E_SourceStreams!$A:$N,EX11,BS$7)="","",INDEX(E_SourceStreams!$A:$N,EX11,BS$7)))</f>
        <v/>
      </c>
      <c r="BT11" s="703" t="str">
        <f>IF($E11="","",IF(INDEX(E_SourceStreams!$A:$N,EY11,BT$7)="","",INDEX(E_SourceStreams!$A:$N,EY11,BT$7)))</f>
        <v/>
      </c>
      <c r="BU11" s="625"/>
      <c r="CJ11" s="679" t="str">
        <f t="shared" ref="CJ11:CJ42" si="0">EUconst_CNTR_SourceCategory&amp;B11</f>
        <v>SourceCategory_</v>
      </c>
      <c r="CK11" s="679" t="b">
        <f>INDEX(C_InstallationDescription!$A$226:$A$332,ROWS($CI$11:CI11))="ausblenden"</f>
        <v>0</v>
      </c>
      <c r="CL11" s="679" t="str">
        <f t="shared" ref="CL11:CL42" si="1">EUconst_CNTR_SourceStreamName&amp;B11</f>
        <v>SourceStreamName_</v>
      </c>
      <c r="CN11" s="705">
        <v>52</v>
      </c>
      <c r="CO11" s="705">
        <v>56</v>
      </c>
      <c r="CP11" s="705">
        <v>61</v>
      </c>
      <c r="CQ11" s="705">
        <v>66</v>
      </c>
      <c r="CR11" s="705">
        <v>71</v>
      </c>
      <c r="CS11" s="705">
        <v>75</v>
      </c>
      <c r="CT11" s="705">
        <v>80</v>
      </c>
      <c r="CU11" s="705">
        <v>80</v>
      </c>
      <c r="CV11" s="705">
        <v>80</v>
      </c>
      <c r="CW11" s="705">
        <v>80</v>
      </c>
      <c r="CX11" s="705">
        <v>80</v>
      </c>
      <c r="CY11" s="705">
        <v>87</v>
      </c>
      <c r="CZ11" s="705">
        <v>91</v>
      </c>
      <c r="DA11" s="705">
        <v>92</v>
      </c>
      <c r="DB11" s="705">
        <v>93</v>
      </c>
      <c r="DC11" s="705">
        <f>ROW(E_SourceStreams!E138)</f>
        <v>138</v>
      </c>
      <c r="DD11" s="705">
        <v>162</v>
      </c>
      <c r="DE11" s="705">
        <v>162</v>
      </c>
      <c r="DF11" s="705">
        <v>162</v>
      </c>
      <c r="DG11" s="705">
        <v>162</v>
      </c>
      <c r="DH11" s="705">
        <v>162</v>
      </c>
      <c r="DI11" s="705">
        <v>162</v>
      </c>
      <c r="DJ11" s="705">
        <v>162</v>
      </c>
      <c r="DK11" s="705">
        <v>151</v>
      </c>
      <c r="DL11" s="705">
        <v>163</v>
      </c>
      <c r="DM11" s="705">
        <v>163</v>
      </c>
      <c r="DN11" s="705">
        <v>163</v>
      </c>
      <c r="DO11" s="705">
        <v>163</v>
      </c>
      <c r="DP11" s="705">
        <v>163</v>
      </c>
      <c r="DQ11" s="705">
        <v>163</v>
      </c>
      <c r="DR11" s="705">
        <v>163</v>
      </c>
      <c r="DS11" s="705">
        <v>152</v>
      </c>
      <c r="DT11" s="705">
        <v>164</v>
      </c>
      <c r="DU11" s="705">
        <v>164</v>
      </c>
      <c r="DV11" s="705">
        <v>164</v>
      </c>
      <c r="DW11" s="705">
        <v>164</v>
      </c>
      <c r="DX11" s="705">
        <v>164</v>
      </c>
      <c r="DY11" s="705">
        <v>164</v>
      </c>
      <c r="DZ11" s="705">
        <v>164</v>
      </c>
      <c r="EA11" s="705">
        <v>153</v>
      </c>
      <c r="EB11" s="705">
        <v>165</v>
      </c>
      <c r="EC11" s="705">
        <v>165</v>
      </c>
      <c r="ED11" s="705">
        <v>165</v>
      </c>
      <c r="EE11" s="705">
        <v>165</v>
      </c>
      <c r="EF11" s="705">
        <v>165</v>
      </c>
      <c r="EG11" s="705">
        <v>165</v>
      </c>
      <c r="EH11" s="705">
        <v>165</v>
      </c>
      <c r="EI11" s="705">
        <v>154</v>
      </c>
      <c r="EJ11" s="705">
        <v>166</v>
      </c>
      <c r="EK11" s="705">
        <v>166</v>
      </c>
      <c r="EL11" s="705">
        <v>166</v>
      </c>
      <c r="EM11" s="705">
        <v>166</v>
      </c>
      <c r="EN11" s="705">
        <v>166</v>
      </c>
      <c r="EO11" s="705">
        <v>166</v>
      </c>
      <c r="EP11" s="705">
        <v>166</v>
      </c>
      <c r="EQ11" s="705">
        <v>155</v>
      </c>
      <c r="ER11" s="705">
        <v>167</v>
      </c>
      <c r="ES11" s="705">
        <v>167</v>
      </c>
      <c r="ET11" s="705">
        <v>167</v>
      </c>
      <c r="EU11" s="705">
        <v>167</v>
      </c>
      <c r="EV11" s="705">
        <v>167</v>
      </c>
      <c r="EW11" s="705">
        <v>167</v>
      </c>
      <c r="EX11" s="705">
        <v>167</v>
      </c>
      <c r="EY11" s="705">
        <v>184</v>
      </c>
      <c r="EZ11" s="705"/>
    </row>
    <row r="12" spans="1:159" ht="12.75" customHeight="1" x14ac:dyDescent="0.2">
      <c r="B12" s="700" t="str">
        <f>IF(COUNTIF($CK$10:CK12,TRUE)&gt;0,"",INDEX(C_InstallationDescription!$E$226:$E$242,ROWS($A$11:A12)))</f>
        <v/>
      </c>
      <c r="C12" s="581" t="str">
        <f>IF($E12="","",INDEX(C_InstallationDescription!F:F,MATCH($B12,C_InstallationDescription!$E:$E,0)))</f>
        <v/>
      </c>
      <c r="D12" s="581" t="str">
        <f>IF($E12="","",INDEX(C_InstallationDescription!I:I,MATCH($B12,C_InstallationDescription!$E:$E,0)))</f>
        <v/>
      </c>
      <c r="E12" s="581" t="str">
        <f>IF($B12="","",INDEX(C_InstallationDescription!F:F,MATCH($CJ12,C_InstallationDescription!$Q:$Q,0)))</f>
        <v/>
      </c>
      <c r="F12" s="706" t="str">
        <f>IF($E12="","",INDEX(C_InstallationDescription!L:L,MATCH($CJ12,C_InstallationDescription!$Q:$Q,0)))</f>
        <v/>
      </c>
      <c r="G12" s="581" t="str">
        <f>IF($E12="","",INDEX(C_InstallationDescription!M:M,MATCH($CJ12,C_InstallationDescription!$Q:$Q,0)))</f>
        <v/>
      </c>
      <c r="H12" s="581" t="str">
        <f>IF($E12="","",INDEX(C_InstallationDescription!N:N,MATCH($CJ12,C_InstallationDescription!$Q:$Q,0)))</f>
        <v/>
      </c>
      <c r="I12" s="703" t="str">
        <f>IF($E12="","",IF(INDEX(E_SourceStreams!$A:$N,CN12,I$7)="","",INDEX(E_SourceStreams!$A:$N,CN12,I$7)))</f>
        <v/>
      </c>
      <c r="J12" s="703" t="str">
        <f>IF($E12="","",IF(INDEX(E_SourceStreams!$A:$N,CO12,J$7)="","",INDEX(E_SourceStreams!$A:$N,CO12,J$7)))</f>
        <v/>
      </c>
      <c r="K12" s="703" t="str">
        <f>IF($E12="","",IF(INDEX(E_SourceStreams!$A:$N,CP12,K$7)="","",INDEX(E_SourceStreams!$A:$N,CP12,K$7)))</f>
        <v/>
      </c>
      <c r="L12" s="703" t="str">
        <f>IF($E12="","",IF(INDEX(E_SourceStreams!$A:$N,CQ12,L$7)="","",INDEX(E_SourceStreams!$A:$N,CQ12,L$7)))</f>
        <v/>
      </c>
      <c r="M12" s="703" t="str">
        <f>IF($E12="","",IF(INDEX(E_SourceStreams!$A:$N,CR12,M$7)="","",INDEX(E_SourceStreams!$A:$N,CR12,M$7)))</f>
        <v/>
      </c>
      <c r="N12" s="703" t="str">
        <f>IF($E12="","",IF(INDEX(E_SourceStreams!$A:$N,CS12,N$7)="","",INDEX(E_SourceStreams!$A:$N,CS12,N$7)))</f>
        <v/>
      </c>
      <c r="O12" s="703" t="str">
        <f>IF($E12="","",IF(INDEX(E_SourceStreams!$A:$N,CT12,O$7)="","",INDEX(E_SourceStreams!$A:$N,CT12,O$7)))</f>
        <v/>
      </c>
      <c r="P12" s="703" t="str">
        <f>IF($E12="","",IF(INDEX(E_SourceStreams!$A:$N,CU12,P$7)="","",INDEX(E_SourceStreams!$A:$N,CU12,P$7)))</f>
        <v/>
      </c>
      <c r="Q12" s="703" t="str">
        <f>IF($E12="","",IF(INDEX(E_SourceStreams!$A:$N,CV12,Q$7)="","",INDEX(E_SourceStreams!$A:$N,CV12,Q$7)))</f>
        <v/>
      </c>
      <c r="R12" s="703" t="str">
        <f>IF($E12="","",IF(INDEX(E_SourceStreams!$A:$N,CW12,R$7)="","",INDEX(E_SourceStreams!$A:$N,CW12,R$7)))</f>
        <v/>
      </c>
      <c r="S12" s="703" t="str">
        <f>IF($E12="","",IF(INDEX(E_SourceStreams!$A:$N,CX12,S$7)="","",INDEX(E_SourceStreams!$A:$N,CX12,S$7)))</f>
        <v/>
      </c>
      <c r="T12" s="703" t="str">
        <f>IF($E12="","",IF(INDEX(E_SourceStreams!$A:$N,CY12,T$7)="","",INDEX(E_SourceStreams!$A:$N,CY12,T$7)))</f>
        <v/>
      </c>
      <c r="U12" s="703" t="str">
        <f>IF($E12="","",IF(INDEX(E_SourceStreams!$A:$N,CZ12,U$7)="","",INDEX(E_SourceStreams!$A:$N,CZ12,U$7)))</f>
        <v/>
      </c>
      <c r="V12" s="703" t="str">
        <f>IF($E12="","",IF(INDEX(E_SourceStreams!$A:$N,DA12,V$7)="","",INDEX(E_SourceStreams!$A:$N,DA12,V$7)))</f>
        <v/>
      </c>
      <c r="W12" s="704" t="str">
        <f>IF($E12="","",IF(INDEX(E_SourceStreams!$A:$N,DB12,W$7)="","",INDEX(E_SourceStreams!$A:$N,DB12,W$7)))</f>
        <v/>
      </c>
      <c r="X12" s="703" t="str">
        <f>IF($E12="","",IF(INDEX(E_SourceStreams!$A:$N,DC12,X$7)="","",INDEX(E_SourceStreams!$A:$N,DC12,X$7)))</f>
        <v/>
      </c>
      <c r="Y12" s="703" t="str">
        <f>IF($E12="","",IF(INDEX(E_SourceStreams!$A:$N,DD12,Y$7)="","",INDEX(E_SourceStreams!$A:$N,DD12,Y$7)))</f>
        <v/>
      </c>
      <c r="Z12" s="703" t="str">
        <f>IF($E12="","",IF(INDEX(E_SourceStreams!$A:$N,DE12,Z$7)="","",INDEX(E_SourceStreams!$A:$N,DE12,Z$7)))</f>
        <v/>
      </c>
      <c r="AA12" s="703" t="str">
        <f>IF($E12="","",IF(INDEX(E_SourceStreams!$A:$N,DF12,AA$7)="","",INDEX(E_SourceStreams!$A:$N,DF12,AA$7)))</f>
        <v/>
      </c>
      <c r="AB12" s="703" t="str">
        <f>IF($E12="","",IF(INDEX(E_SourceStreams!$A:$N,DG12,AB$7)="","",INDEX(E_SourceStreams!$A:$N,DG12,AB$7)))</f>
        <v/>
      </c>
      <c r="AC12" s="703" t="str">
        <f>IF($E12="","",IF(INDEX(E_SourceStreams!$A:$N,DH12,AC$7)="","",INDEX(E_SourceStreams!$A:$N,DH12,AC$7)))</f>
        <v/>
      </c>
      <c r="AD12" s="703" t="str">
        <f>IF($E12="","",IF(INDEX(E_SourceStreams!$A:$N,DI12,AD$7)="","",INDEX(E_SourceStreams!$A:$N,DI12,AD$7)))</f>
        <v/>
      </c>
      <c r="AE12" s="703" t="str">
        <f>IF($E12="","",IF(INDEX(E_SourceStreams!$A:$N,DJ12,AE$7)="","",INDEX(E_SourceStreams!$A:$N,DJ12,AE$7)))</f>
        <v/>
      </c>
      <c r="AF12" s="703" t="str">
        <f>IF($E12="","",IF(INDEX(E_SourceStreams!$A:$N,DK12,AF$7)="","",INDEX(E_SourceStreams!$A:$N,DK12,AF$7)))</f>
        <v/>
      </c>
      <c r="AG12" s="703" t="str">
        <f>IF($E12="","",IF(INDEX(E_SourceStreams!$A:$N,DL12,AG$7)="","",INDEX(E_SourceStreams!$A:$N,DL12,AG$7)))</f>
        <v/>
      </c>
      <c r="AH12" s="703" t="str">
        <f>IF($E12="","",IF(INDEX(E_SourceStreams!$A:$N,DM12,AH$7)="","",INDEX(E_SourceStreams!$A:$N,DM12,AH$7)))</f>
        <v/>
      </c>
      <c r="AI12" s="703" t="str">
        <f>IF($E12="","",IF(INDEX(E_SourceStreams!$A:$N,DN12,AI$7)="","",INDEX(E_SourceStreams!$A:$N,DN12,AI$7)))</f>
        <v/>
      </c>
      <c r="AJ12" s="703" t="str">
        <f>IF($E12="","",IF(INDEX(E_SourceStreams!$A:$N,DO12,AJ$7)="","",INDEX(E_SourceStreams!$A:$N,DO12,AJ$7)))</f>
        <v/>
      </c>
      <c r="AK12" s="703" t="str">
        <f>IF($E12="","",IF(INDEX(E_SourceStreams!$A:$N,DP12,AK$7)="","",INDEX(E_SourceStreams!$A:$N,DP12,AK$7)))</f>
        <v/>
      </c>
      <c r="AL12" s="703" t="str">
        <f>IF($E12="","",IF(INDEX(E_SourceStreams!$A:$N,DQ12,AL$7)="","",INDEX(E_SourceStreams!$A:$N,DQ12,AL$7)))</f>
        <v/>
      </c>
      <c r="AM12" s="703" t="str">
        <f>IF($E12="","",IF(INDEX(E_SourceStreams!$A:$N,DR12,AM$7)="","",INDEX(E_SourceStreams!$A:$N,DR12,AM$7)))</f>
        <v/>
      </c>
      <c r="AN12" s="703" t="str">
        <f>IF($E12="","",IF(INDEX(E_SourceStreams!$A:$N,DS12,AN$7)="","",INDEX(E_SourceStreams!$A:$N,DS12,AN$7)))</f>
        <v/>
      </c>
      <c r="AO12" s="703" t="str">
        <f>IF($E12="","",IF(INDEX(E_SourceStreams!$A:$N,DT12,AO$7)="","",INDEX(E_SourceStreams!$A:$N,DT12,AO$7)))</f>
        <v/>
      </c>
      <c r="AP12" s="703" t="str">
        <f>IF($E12="","",IF(INDEX(E_SourceStreams!$A:$N,DU12,AP$7)="","",INDEX(E_SourceStreams!$A:$N,DU12,AP$7)))</f>
        <v/>
      </c>
      <c r="AQ12" s="703" t="str">
        <f>IF($E12="","",IF(INDEX(E_SourceStreams!$A:$N,DV12,AQ$7)="","",INDEX(E_SourceStreams!$A:$N,DV12,AQ$7)))</f>
        <v/>
      </c>
      <c r="AR12" s="703" t="str">
        <f>IF($E12="","",IF(INDEX(E_SourceStreams!$A:$N,DW12,AR$7)="","",INDEX(E_SourceStreams!$A:$N,DW12,AR$7)))</f>
        <v/>
      </c>
      <c r="AS12" s="703" t="str">
        <f>IF($E12="","",IF(INDEX(E_SourceStreams!$A:$N,DX12,AS$7)="","",INDEX(E_SourceStreams!$A:$N,DX12,AS$7)))</f>
        <v/>
      </c>
      <c r="AT12" s="703" t="str">
        <f>IF($E12="","",IF(INDEX(E_SourceStreams!$A:$N,DY12,AT$7)="","",INDEX(E_SourceStreams!$A:$N,DY12,AT$7)))</f>
        <v/>
      </c>
      <c r="AU12" s="703" t="str">
        <f>IF($E12="","",IF(INDEX(E_SourceStreams!$A:$N,DZ12,AU$7)="","",INDEX(E_SourceStreams!$A:$N,DZ12,AU$7)))</f>
        <v/>
      </c>
      <c r="AV12" s="703" t="str">
        <f>IF($E12="","",IF(INDEX(E_SourceStreams!$A:$N,EA12,AV$7)="","",INDEX(E_SourceStreams!$A:$N,EA12,AV$7)))</f>
        <v/>
      </c>
      <c r="AW12" s="703" t="str">
        <f>IF($E12="","",IF(INDEX(E_SourceStreams!$A:$N,EB12,AW$7)="","",INDEX(E_SourceStreams!$A:$N,EB12,AW$7)))</f>
        <v/>
      </c>
      <c r="AX12" s="703" t="str">
        <f>IF($E12="","",IF(INDEX(E_SourceStreams!$A:$N,EC12,AX$7)="","",INDEX(E_SourceStreams!$A:$N,EC12,AX$7)))</f>
        <v/>
      </c>
      <c r="AY12" s="703" t="str">
        <f>IF($E12="","",IF(INDEX(E_SourceStreams!$A:$N,ED12,AY$7)="","",INDEX(E_SourceStreams!$A:$N,ED12,AY$7)))</f>
        <v/>
      </c>
      <c r="AZ12" s="703" t="str">
        <f>IF($E12="","",IF(INDEX(E_SourceStreams!$A:$N,EE12,AZ$7)="","",INDEX(E_SourceStreams!$A:$N,EE12,AZ$7)))</f>
        <v/>
      </c>
      <c r="BA12" s="703" t="str">
        <f>IF($E12="","",IF(INDEX(E_SourceStreams!$A:$N,EF12,BA$7)="","",INDEX(E_SourceStreams!$A:$N,EF12,BA$7)))</f>
        <v/>
      </c>
      <c r="BB12" s="703" t="str">
        <f>IF($E12="","",IF(INDEX(E_SourceStreams!$A:$N,EG12,BB$7)="","",INDEX(E_SourceStreams!$A:$N,EG12,BB$7)))</f>
        <v/>
      </c>
      <c r="BC12" s="703" t="str">
        <f>IF($E12="","",IF(INDEX(E_SourceStreams!$A:$N,EH12,BC$7)="","",INDEX(E_SourceStreams!$A:$N,EH12,BC$7)))</f>
        <v/>
      </c>
      <c r="BD12" s="703" t="str">
        <f>IF($E12="","",IF(INDEX(E_SourceStreams!$A:$N,EI12,BD$7)="","",INDEX(E_SourceStreams!$A:$N,EI12,BD$7)))</f>
        <v/>
      </c>
      <c r="BE12" s="703" t="str">
        <f>IF($E12="","",IF(INDEX(E_SourceStreams!$A:$N,EJ12,BE$7)="","",INDEX(E_SourceStreams!$A:$N,EJ12,BE$7)))</f>
        <v/>
      </c>
      <c r="BF12" s="703" t="str">
        <f>IF($E12="","",IF(INDEX(E_SourceStreams!$A:$N,EK12,BF$7)="","",INDEX(E_SourceStreams!$A:$N,EK12,BF$7)))</f>
        <v/>
      </c>
      <c r="BG12" s="703" t="str">
        <f>IF($E12="","",IF(INDEX(E_SourceStreams!$A:$N,EL12,BG$7)="","",INDEX(E_SourceStreams!$A:$N,EL12,BG$7)))</f>
        <v/>
      </c>
      <c r="BH12" s="703" t="str">
        <f>IF($E12="","",IF(INDEX(E_SourceStreams!$A:$N,EM12,BH$7)="","",INDEX(E_SourceStreams!$A:$N,EM12,BH$7)))</f>
        <v/>
      </c>
      <c r="BI12" s="703" t="str">
        <f>IF($E12="","",IF(INDEX(E_SourceStreams!$A:$N,EN12,BI$7)="","",INDEX(E_SourceStreams!$A:$N,EN12,BI$7)))</f>
        <v/>
      </c>
      <c r="BJ12" s="703" t="str">
        <f>IF($E12="","",IF(INDEX(E_SourceStreams!$A:$N,EO12,BJ$7)="","",INDEX(E_SourceStreams!$A:$N,EO12,BJ$7)))</f>
        <v/>
      </c>
      <c r="BK12" s="703" t="str">
        <f>IF($E12="","",IF(INDEX(E_SourceStreams!$A:$N,EP12,BK$7)="","",INDEX(E_SourceStreams!$A:$N,EP12,BK$7)))</f>
        <v/>
      </c>
      <c r="BL12" s="703" t="str">
        <f>IF($E12="","",IF(INDEX(E_SourceStreams!$A:$N,EQ12,BL$7)="","",INDEX(E_SourceStreams!$A:$N,EQ12,BL$7)))</f>
        <v/>
      </c>
      <c r="BM12" s="703" t="str">
        <f>IF($E12="","",IF(INDEX(E_SourceStreams!$A:$N,ER12,BM$7)="","",INDEX(E_SourceStreams!$A:$N,ER12,BM$7)))</f>
        <v/>
      </c>
      <c r="BN12" s="703" t="str">
        <f>IF($E12="","",IF(INDEX(E_SourceStreams!$A:$N,ES12,BN$7)="","",INDEX(E_SourceStreams!$A:$N,ES12,BN$7)))</f>
        <v/>
      </c>
      <c r="BO12" s="703" t="str">
        <f>IF($E12="","",IF(INDEX(E_SourceStreams!$A:$N,ET12,BO$7)="","",INDEX(E_SourceStreams!$A:$N,ET12,BO$7)))</f>
        <v/>
      </c>
      <c r="BP12" s="703" t="str">
        <f>IF($E12="","",IF(INDEX(E_SourceStreams!$A:$N,EU12,BP$7)="","",INDEX(E_SourceStreams!$A:$N,EU12,BP$7)))</f>
        <v/>
      </c>
      <c r="BQ12" s="703" t="str">
        <f>IF($E12="","",IF(INDEX(E_SourceStreams!$A:$N,EV12,BQ$7)="","",INDEX(E_SourceStreams!$A:$N,EV12,BQ$7)))</f>
        <v/>
      </c>
      <c r="BR12" s="703" t="str">
        <f>IF($E12="","",IF(INDEX(E_SourceStreams!$A:$N,EW12,BR$7)="","",INDEX(E_SourceStreams!$A:$N,EW12,BR$7)))</f>
        <v/>
      </c>
      <c r="BS12" s="703" t="str">
        <f>IF($E12="","",IF(INDEX(E_SourceStreams!$A:$N,EX12,BS$7)="","",INDEX(E_SourceStreams!$A:$N,EX12,BS$7)))</f>
        <v/>
      </c>
      <c r="BT12" s="703" t="str">
        <f>IF($E12="","",IF(INDEX(E_SourceStreams!$A:$N,EY12,BT$7)="","",INDEX(E_SourceStreams!$A:$N,EY12,BT$7)))</f>
        <v/>
      </c>
      <c r="BU12" s="625"/>
      <c r="CJ12" s="679" t="str">
        <f t="shared" si="0"/>
        <v>SourceCategory_</v>
      </c>
      <c r="CK12" s="679" t="b">
        <f>INDEX(C_InstallationDescription!$A$226:$A$332,ROWS($CI$11:CI12))="ausblenden"</f>
        <v>0</v>
      </c>
      <c r="CL12" s="679" t="str">
        <f t="shared" si="1"/>
        <v>SourceStreamName_</v>
      </c>
      <c r="CN12" s="705">
        <v>201</v>
      </c>
      <c r="CO12" s="705">
        <v>203</v>
      </c>
      <c r="CP12" s="705">
        <v>205</v>
      </c>
      <c r="CQ12" s="705">
        <v>207</v>
      </c>
      <c r="CR12" s="705">
        <v>209</v>
      </c>
      <c r="CS12" s="705">
        <v>211</v>
      </c>
      <c r="CT12" s="705">
        <v>213</v>
      </c>
      <c r="CU12" s="705">
        <v>213</v>
      </c>
      <c r="CV12" s="705">
        <v>213</v>
      </c>
      <c r="CW12" s="705">
        <v>213</v>
      </c>
      <c r="CX12" s="705">
        <v>213</v>
      </c>
      <c r="CY12" s="705">
        <v>216</v>
      </c>
      <c r="CZ12" s="705">
        <v>220</v>
      </c>
      <c r="DA12" s="705">
        <v>221</v>
      </c>
      <c r="DB12" s="705">
        <v>222</v>
      </c>
      <c r="DC12" s="705">
        <v>229</v>
      </c>
      <c r="DD12" s="705">
        <v>239</v>
      </c>
      <c r="DE12" s="705">
        <v>239</v>
      </c>
      <c r="DF12" s="705">
        <v>239</v>
      </c>
      <c r="DG12" s="705">
        <v>239</v>
      </c>
      <c r="DH12" s="705">
        <v>239</v>
      </c>
      <c r="DI12" s="705">
        <v>239</v>
      </c>
      <c r="DJ12" s="705">
        <v>239</v>
      </c>
      <c r="DK12" s="705">
        <v>230</v>
      </c>
      <c r="DL12" s="705">
        <v>240</v>
      </c>
      <c r="DM12" s="705">
        <v>240</v>
      </c>
      <c r="DN12" s="705">
        <v>240</v>
      </c>
      <c r="DO12" s="705">
        <v>240</v>
      </c>
      <c r="DP12" s="705">
        <v>240</v>
      </c>
      <c r="DQ12" s="705">
        <v>240</v>
      </c>
      <c r="DR12" s="705">
        <v>240</v>
      </c>
      <c r="DS12" s="705">
        <v>231</v>
      </c>
      <c r="DT12" s="705">
        <v>241</v>
      </c>
      <c r="DU12" s="705">
        <v>241</v>
      </c>
      <c r="DV12" s="705">
        <v>241</v>
      </c>
      <c r="DW12" s="705">
        <v>241</v>
      </c>
      <c r="DX12" s="705">
        <v>241</v>
      </c>
      <c r="DY12" s="705">
        <v>241</v>
      </c>
      <c r="DZ12" s="705">
        <v>241</v>
      </c>
      <c r="EA12" s="705">
        <v>232</v>
      </c>
      <c r="EB12" s="705">
        <v>242</v>
      </c>
      <c r="EC12" s="705">
        <v>242</v>
      </c>
      <c r="ED12" s="705">
        <v>242</v>
      </c>
      <c r="EE12" s="705">
        <v>242</v>
      </c>
      <c r="EF12" s="705">
        <v>242</v>
      </c>
      <c r="EG12" s="705">
        <v>242</v>
      </c>
      <c r="EH12" s="705">
        <v>242</v>
      </c>
      <c r="EI12" s="705">
        <v>233</v>
      </c>
      <c r="EJ12" s="705">
        <v>243</v>
      </c>
      <c r="EK12" s="705">
        <v>243</v>
      </c>
      <c r="EL12" s="705">
        <v>243</v>
      </c>
      <c r="EM12" s="705">
        <v>243</v>
      </c>
      <c r="EN12" s="705">
        <v>243</v>
      </c>
      <c r="EO12" s="705">
        <v>243</v>
      </c>
      <c r="EP12" s="705">
        <v>243</v>
      </c>
      <c r="EQ12" s="705">
        <v>234</v>
      </c>
      <c r="ER12" s="705">
        <v>244</v>
      </c>
      <c r="ES12" s="705">
        <v>244</v>
      </c>
      <c r="ET12" s="705">
        <v>244</v>
      </c>
      <c r="EU12" s="705">
        <v>244</v>
      </c>
      <c r="EV12" s="705">
        <v>244</v>
      </c>
      <c r="EW12" s="705">
        <v>244</v>
      </c>
      <c r="EX12" s="705">
        <v>244</v>
      </c>
      <c r="EY12" s="705">
        <v>250</v>
      </c>
      <c r="EZ12" s="705"/>
    </row>
    <row r="13" spans="1:159" ht="12.75" customHeight="1" x14ac:dyDescent="0.2">
      <c r="B13" s="700" t="str">
        <f>IF(COUNTIF($CK$10:CK13,TRUE)&gt;0,"",INDEX(C_InstallationDescription!$E$226:$E$242,ROWS($A$11:A13)))</f>
        <v/>
      </c>
      <c r="C13" s="581" t="str">
        <f>IF($E13="","",INDEX(C_InstallationDescription!F:F,MATCH($B13,C_InstallationDescription!$E:$E,0)))</f>
        <v/>
      </c>
      <c r="D13" s="581" t="str">
        <f>IF($E13="","",INDEX(C_InstallationDescription!I:I,MATCH($B13,C_InstallationDescription!$E:$E,0)))</f>
        <v/>
      </c>
      <c r="E13" s="581" t="str">
        <f>IF($B13="","",INDEX(C_InstallationDescription!F:F,MATCH($CJ13,C_InstallationDescription!$Q:$Q,0)))</f>
        <v/>
      </c>
      <c r="F13" s="706" t="str">
        <f>IF($E13="","",INDEX(C_InstallationDescription!L:L,MATCH($CJ13,C_InstallationDescription!$Q:$Q,0)))</f>
        <v/>
      </c>
      <c r="G13" s="581" t="str">
        <f>IF($E13="","",INDEX(C_InstallationDescription!M:M,MATCH($CJ13,C_InstallationDescription!$Q:$Q,0)))</f>
        <v/>
      </c>
      <c r="H13" s="581" t="str">
        <f>IF($E13="","",INDEX(C_InstallationDescription!N:N,MATCH($CJ13,C_InstallationDescription!$Q:$Q,0)))</f>
        <v/>
      </c>
      <c r="I13" s="703" t="str">
        <f>IF($E13="","",IF(INDEX(E_SourceStreams!$A:$N,CN13,I$7)="","",INDEX(E_SourceStreams!$A:$N,CN13,I$7)))</f>
        <v/>
      </c>
      <c r="J13" s="703" t="str">
        <f>IF($E13="","",IF(INDEX(E_SourceStreams!$A:$N,CO13,J$7)="","",INDEX(E_SourceStreams!$A:$N,CO13,J$7)))</f>
        <v/>
      </c>
      <c r="K13" s="703" t="str">
        <f>IF($E13="","",IF(INDEX(E_SourceStreams!$A:$N,CP13,K$7)="","",INDEX(E_SourceStreams!$A:$N,CP13,K$7)))</f>
        <v/>
      </c>
      <c r="L13" s="703" t="str">
        <f>IF($E13="","",IF(INDEX(E_SourceStreams!$A:$N,CQ13,L$7)="","",INDEX(E_SourceStreams!$A:$N,CQ13,L$7)))</f>
        <v/>
      </c>
      <c r="M13" s="703" t="str">
        <f>IF($E13="","",IF(INDEX(E_SourceStreams!$A:$N,CR13,M$7)="","",INDEX(E_SourceStreams!$A:$N,CR13,M$7)))</f>
        <v/>
      </c>
      <c r="N13" s="703" t="str">
        <f>IF($E13="","",IF(INDEX(E_SourceStreams!$A:$N,CS13,N$7)="","",INDEX(E_SourceStreams!$A:$N,CS13,N$7)))</f>
        <v/>
      </c>
      <c r="O13" s="703" t="str">
        <f>IF($E13="","",IF(INDEX(E_SourceStreams!$A:$N,CT13,O$7)="","",INDEX(E_SourceStreams!$A:$N,CT13,O$7)))</f>
        <v/>
      </c>
      <c r="P13" s="703" t="str">
        <f>IF($E13="","",IF(INDEX(E_SourceStreams!$A:$N,CU13,P$7)="","",INDEX(E_SourceStreams!$A:$N,CU13,P$7)))</f>
        <v/>
      </c>
      <c r="Q13" s="703" t="str">
        <f>IF($E13="","",IF(INDEX(E_SourceStreams!$A:$N,CV13,Q$7)="","",INDEX(E_SourceStreams!$A:$N,CV13,Q$7)))</f>
        <v/>
      </c>
      <c r="R13" s="703" t="str">
        <f>IF($E13="","",IF(INDEX(E_SourceStreams!$A:$N,CW13,R$7)="","",INDEX(E_SourceStreams!$A:$N,CW13,R$7)))</f>
        <v/>
      </c>
      <c r="S13" s="703" t="str">
        <f>IF($E13="","",IF(INDEX(E_SourceStreams!$A:$N,CX13,S$7)="","",INDEX(E_SourceStreams!$A:$N,CX13,S$7)))</f>
        <v/>
      </c>
      <c r="T13" s="703" t="str">
        <f>IF($E13="","",IF(INDEX(E_SourceStreams!$A:$N,CY13,T$7)="","",INDEX(E_SourceStreams!$A:$N,CY13,T$7)))</f>
        <v/>
      </c>
      <c r="U13" s="703" t="str">
        <f>IF($E13="","",IF(INDEX(E_SourceStreams!$A:$N,CZ13,U$7)="","",INDEX(E_SourceStreams!$A:$N,CZ13,U$7)))</f>
        <v/>
      </c>
      <c r="V13" s="703" t="str">
        <f>IF($E13="","",IF(INDEX(E_SourceStreams!$A:$N,DA13,V$7)="","",INDEX(E_SourceStreams!$A:$N,DA13,V$7)))</f>
        <v/>
      </c>
      <c r="W13" s="704" t="str">
        <f>IF($E13="","",IF(INDEX(E_SourceStreams!$A:$N,DB13,W$7)="","",INDEX(E_SourceStreams!$A:$N,DB13,W$7)))</f>
        <v/>
      </c>
      <c r="X13" s="703" t="str">
        <f>IF($E13="","",IF(INDEX(E_SourceStreams!$A:$N,DC13,X$7)="","",INDEX(E_SourceStreams!$A:$N,DC13,X$7)))</f>
        <v/>
      </c>
      <c r="Y13" s="703" t="str">
        <f>IF($E13="","",IF(INDEX(E_SourceStreams!$A:$N,DD13,Y$7)="","",INDEX(E_SourceStreams!$A:$N,DD13,Y$7)))</f>
        <v/>
      </c>
      <c r="Z13" s="703" t="str">
        <f>IF($E13="","",IF(INDEX(E_SourceStreams!$A:$N,DE13,Z$7)="","",INDEX(E_SourceStreams!$A:$N,DE13,Z$7)))</f>
        <v/>
      </c>
      <c r="AA13" s="703" t="str">
        <f>IF($E13="","",IF(INDEX(E_SourceStreams!$A:$N,DF13,AA$7)="","",INDEX(E_SourceStreams!$A:$N,DF13,AA$7)))</f>
        <v/>
      </c>
      <c r="AB13" s="703" t="str">
        <f>IF($E13="","",IF(INDEX(E_SourceStreams!$A:$N,DG13,AB$7)="","",INDEX(E_SourceStreams!$A:$N,DG13,AB$7)))</f>
        <v/>
      </c>
      <c r="AC13" s="703" t="str">
        <f>IF($E13="","",IF(INDEX(E_SourceStreams!$A:$N,DH13,AC$7)="","",INDEX(E_SourceStreams!$A:$N,DH13,AC$7)))</f>
        <v/>
      </c>
      <c r="AD13" s="703" t="str">
        <f>IF($E13="","",IF(INDEX(E_SourceStreams!$A:$N,DI13,AD$7)="","",INDEX(E_SourceStreams!$A:$N,DI13,AD$7)))</f>
        <v/>
      </c>
      <c r="AE13" s="703" t="str">
        <f>IF($E13="","",IF(INDEX(E_SourceStreams!$A:$N,DJ13,AE$7)="","",INDEX(E_SourceStreams!$A:$N,DJ13,AE$7)))</f>
        <v/>
      </c>
      <c r="AF13" s="703" t="str">
        <f>IF($E13="","",IF(INDEX(E_SourceStreams!$A:$N,DK13,AF$7)="","",INDEX(E_SourceStreams!$A:$N,DK13,AF$7)))</f>
        <v/>
      </c>
      <c r="AG13" s="703" t="str">
        <f>IF($E13="","",IF(INDEX(E_SourceStreams!$A:$N,DL13,AG$7)="","",INDEX(E_SourceStreams!$A:$N,DL13,AG$7)))</f>
        <v/>
      </c>
      <c r="AH13" s="703" t="str">
        <f>IF($E13="","",IF(INDEX(E_SourceStreams!$A:$N,DM13,AH$7)="","",INDEX(E_SourceStreams!$A:$N,DM13,AH$7)))</f>
        <v/>
      </c>
      <c r="AI13" s="703" t="str">
        <f>IF($E13="","",IF(INDEX(E_SourceStreams!$A:$N,DN13,AI$7)="","",INDEX(E_SourceStreams!$A:$N,DN13,AI$7)))</f>
        <v/>
      </c>
      <c r="AJ13" s="703" t="str">
        <f>IF($E13="","",IF(INDEX(E_SourceStreams!$A:$N,DO13,AJ$7)="","",INDEX(E_SourceStreams!$A:$N,DO13,AJ$7)))</f>
        <v/>
      </c>
      <c r="AK13" s="703" t="str">
        <f>IF($E13="","",IF(INDEX(E_SourceStreams!$A:$N,DP13,AK$7)="","",INDEX(E_SourceStreams!$A:$N,DP13,AK$7)))</f>
        <v/>
      </c>
      <c r="AL13" s="703" t="str">
        <f>IF($E13="","",IF(INDEX(E_SourceStreams!$A:$N,DQ13,AL$7)="","",INDEX(E_SourceStreams!$A:$N,DQ13,AL$7)))</f>
        <v/>
      </c>
      <c r="AM13" s="703" t="str">
        <f>IF($E13="","",IF(INDEX(E_SourceStreams!$A:$N,DR13,AM$7)="","",INDEX(E_SourceStreams!$A:$N,DR13,AM$7)))</f>
        <v/>
      </c>
      <c r="AN13" s="703" t="str">
        <f>IF($E13="","",IF(INDEX(E_SourceStreams!$A:$N,DS13,AN$7)="","",INDEX(E_SourceStreams!$A:$N,DS13,AN$7)))</f>
        <v/>
      </c>
      <c r="AO13" s="703" t="str">
        <f>IF($E13="","",IF(INDEX(E_SourceStreams!$A:$N,DT13,AO$7)="","",INDEX(E_SourceStreams!$A:$N,DT13,AO$7)))</f>
        <v/>
      </c>
      <c r="AP13" s="703" t="str">
        <f>IF($E13="","",IF(INDEX(E_SourceStreams!$A:$N,DU13,AP$7)="","",INDEX(E_SourceStreams!$A:$N,DU13,AP$7)))</f>
        <v/>
      </c>
      <c r="AQ13" s="703" t="str">
        <f>IF($E13="","",IF(INDEX(E_SourceStreams!$A:$N,DV13,AQ$7)="","",INDEX(E_SourceStreams!$A:$N,DV13,AQ$7)))</f>
        <v/>
      </c>
      <c r="AR13" s="703" t="str">
        <f>IF($E13="","",IF(INDEX(E_SourceStreams!$A:$N,DW13,AR$7)="","",INDEX(E_SourceStreams!$A:$N,DW13,AR$7)))</f>
        <v/>
      </c>
      <c r="AS13" s="703" t="str">
        <f>IF($E13="","",IF(INDEX(E_SourceStreams!$A:$N,DX13,AS$7)="","",INDEX(E_SourceStreams!$A:$N,DX13,AS$7)))</f>
        <v/>
      </c>
      <c r="AT13" s="703" t="str">
        <f>IF($E13="","",IF(INDEX(E_SourceStreams!$A:$N,DY13,AT$7)="","",INDEX(E_SourceStreams!$A:$N,DY13,AT$7)))</f>
        <v/>
      </c>
      <c r="AU13" s="703" t="str">
        <f>IF($E13="","",IF(INDEX(E_SourceStreams!$A:$N,DZ13,AU$7)="","",INDEX(E_SourceStreams!$A:$N,DZ13,AU$7)))</f>
        <v/>
      </c>
      <c r="AV13" s="703" t="str">
        <f>IF($E13="","",IF(INDEX(E_SourceStreams!$A:$N,EA13,AV$7)="","",INDEX(E_SourceStreams!$A:$N,EA13,AV$7)))</f>
        <v/>
      </c>
      <c r="AW13" s="703" t="str">
        <f>IF($E13="","",IF(INDEX(E_SourceStreams!$A:$N,EB13,AW$7)="","",INDEX(E_SourceStreams!$A:$N,EB13,AW$7)))</f>
        <v/>
      </c>
      <c r="AX13" s="703" t="str">
        <f>IF($E13="","",IF(INDEX(E_SourceStreams!$A:$N,EC13,AX$7)="","",INDEX(E_SourceStreams!$A:$N,EC13,AX$7)))</f>
        <v/>
      </c>
      <c r="AY13" s="703" t="str">
        <f>IF($E13="","",IF(INDEX(E_SourceStreams!$A:$N,ED13,AY$7)="","",INDEX(E_SourceStreams!$A:$N,ED13,AY$7)))</f>
        <v/>
      </c>
      <c r="AZ13" s="703" t="str">
        <f>IF($E13="","",IF(INDEX(E_SourceStreams!$A:$N,EE13,AZ$7)="","",INDEX(E_SourceStreams!$A:$N,EE13,AZ$7)))</f>
        <v/>
      </c>
      <c r="BA13" s="703" t="str">
        <f>IF($E13="","",IF(INDEX(E_SourceStreams!$A:$N,EF13,BA$7)="","",INDEX(E_SourceStreams!$A:$N,EF13,BA$7)))</f>
        <v/>
      </c>
      <c r="BB13" s="703" t="str">
        <f>IF($E13="","",IF(INDEX(E_SourceStreams!$A:$N,EG13,BB$7)="","",INDEX(E_SourceStreams!$A:$N,EG13,BB$7)))</f>
        <v/>
      </c>
      <c r="BC13" s="703" t="str">
        <f>IF($E13="","",IF(INDEX(E_SourceStreams!$A:$N,EH13,BC$7)="","",INDEX(E_SourceStreams!$A:$N,EH13,BC$7)))</f>
        <v/>
      </c>
      <c r="BD13" s="703" t="str">
        <f>IF($E13="","",IF(INDEX(E_SourceStreams!$A:$N,EI13,BD$7)="","",INDEX(E_SourceStreams!$A:$N,EI13,BD$7)))</f>
        <v/>
      </c>
      <c r="BE13" s="703" t="str">
        <f>IF($E13="","",IF(INDEX(E_SourceStreams!$A:$N,EJ13,BE$7)="","",INDEX(E_SourceStreams!$A:$N,EJ13,BE$7)))</f>
        <v/>
      </c>
      <c r="BF13" s="703" t="str">
        <f>IF($E13="","",IF(INDEX(E_SourceStreams!$A:$N,EK13,BF$7)="","",INDEX(E_SourceStreams!$A:$N,EK13,BF$7)))</f>
        <v/>
      </c>
      <c r="BG13" s="703" t="str">
        <f>IF($E13="","",IF(INDEX(E_SourceStreams!$A:$N,EL13,BG$7)="","",INDEX(E_SourceStreams!$A:$N,EL13,BG$7)))</f>
        <v/>
      </c>
      <c r="BH13" s="703" t="str">
        <f>IF($E13="","",IF(INDEX(E_SourceStreams!$A:$N,EM13,BH$7)="","",INDEX(E_SourceStreams!$A:$N,EM13,BH$7)))</f>
        <v/>
      </c>
      <c r="BI13" s="703" t="str">
        <f>IF($E13="","",IF(INDEX(E_SourceStreams!$A:$N,EN13,BI$7)="","",INDEX(E_SourceStreams!$A:$N,EN13,BI$7)))</f>
        <v/>
      </c>
      <c r="BJ13" s="703" t="str">
        <f>IF($E13="","",IF(INDEX(E_SourceStreams!$A:$N,EO13,BJ$7)="","",INDEX(E_SourceStreams!$A:$N,EO13,BJ$7)))</f>
        <v/>
      </c>
      <c r="BK13" s="703" t="str">
        <f>IF($E13="","",IF(INDEX(E_SourceStreams!$A:$N,EP13,BK$7)="","",INDEX(E_SourceStreams!$A:$N,EP13,BK$7)))</f>
        <v/>
      </c>
      <c r="BL13" s="703" t="str">
        <f>IF($E13="","",IF(INDEX(E_SourceStreams!$A:$N,EQ13,BL$7)="","",INDEX(E_SourceStreams!$A:$N,EQ13,BL$7)))</f>
        <v/>
      </c>
      <c r="BM13" s="703" t="str">
        <f>IF($E13="","",IF(INDEX(E_SourceStreams!$A:$N,ER13,BM$7)="","",INDEX(E_SourceStreams!$A:$N,ER13,BM$7)))</f>
        <v/>
      </c>
      <c r="BN13" s="703" t="str">
        <f>IF($E13="","",IF(INDEX(E_SourceStreams!$A:$N,ES13,BN$7)="","",INDEX(E_SourceStreams!$A:$N,ES13,BN$7)))</f>
        <v/>
      </c>
      <c r="BO13" s="703" t="str">
        <f>IF($E13="","",IF(INDEX(E_SourceStreams!$A:$N,ET13,BO$7)="","",INDEX(E_SourceStreams!$A:$N,ET13,BO$7)))</f>
        <v/>
      </c>
      <c r="BP13" s="703" t="str">
        <f>IF($E13="","",IF(INDEX(E_SourceStreams!$A:$N,EU13,BP$7)="","",INDEX(E_SourceStreams!$A:$N,EU13,BP$7)))</f>
        <v/>
      </c>
      <c r="BQ13" s="703" t="str">
        <f>IF($E13="","",IF(INDEX(E_SourceStreams!$A:$N,EV13,BQ$7)="","",INDEX(E_SourceStreams!$A:$N,EV13,BQ$7)))</f>
        <v/>
      </c>
      <c r="BR13" s="703" t="str">
        <f>IF($E13="","",IF(INDEX(E_SourceStreams!$A:$N,EW13,BR$7)="","",INDEX(E_SourceStreams!$A:$N,EW13,BR$7)))</f>
        <v/>
      </c>
      <c r="BS13" s="703" t="str">
        <f>IF($E13="","",IF(INDEX(E_SourceStreams!$A:$N,EX13,BS$7)="","",INDEX(E_SourceStreams!$A:$N,EX13,BS$7)))</f>
        <v/>
      </c>
      <c r="BT13" s="703" t="str">
        <f>IF($E13="","",IF(INDEX(E_SourceStreams!$A:$N,EY13,BT$7)="","",INDEX(E_SourceStreams!$A:$N,EY13,BT$7)))</f>
        <v/>
      </c>
      <c r="BU13" s="625"/>
      <c r="CJ13" s="679" t="str">
        <f t="shared" si="0"/>
        <v>SourceCategory_</v>
      </c>
      <c r="CK13" s="679" t="b">
        <f>INDEX(C_InstallationDescription!$A$226:$A$332,ROWS($CI$11:CI13))="ausblenden"</f>
        <v>0</v>
      </c>
      <c r="CL13" s="679" t="str">
        <f t="shared" si="1"/>
        <v>SourceStreamName_</v>
      </c>
      <c r="CN13" s="679">
        <f>CN12+66</f>
        <v>267</v>
      </c>
      <c r="CO13" s="679">
        <f t="shared" ref="CO13:CO76" si="2">CO12+66</f>
        <v>269</v>
      </c>
      <c r="CP13" s="679">
        <f t="shared" ref="CP13:CP76" si="3">CP12+66</f>
        <v>271</v>
      </c>
      <c r="CQ13" s="679">
        <f t="shared" ref="CQ13:CQ76" si="4">CQ12+66</f>
        <v>273</v>
      </c>
      <c r="CR13" s="679">
        <f t="shared" ref="CR13:CR76" si="5">CR12+66</f>
        <v>275</v>
      </c>
      <c r="CS13" s="679">
        <f t="shared" ref="CS13:CS76" si="6">CS12+66</f>
        <v>277</v>
      </c>
      <c r="CT13" s="679">
        <f t="shared" ref="CT13:CT76" si="7">CT12+66</f>
        <v>279</v>
      </c>
      <c r="CU13" s="679">
        <f t="shared" ref="CU13:CU76" si="8">CU12+66</f>
        <v>279</v>
      </c>
      <c r="CV13" s="679">
        <f t="shared" ref="CV13:CV76" si="9">CV12+66</f>
        <v>279</v>
      </c>
      <c r="CW13" s="679">
        <f t="shared" ref="CW13:CW76" si="10">CW12+66</f>
        <v>279</v>
      </c>
      <c r="CX13" s="679">
        <f t="shared" ref="CX13:CX76" si="11">CX12+66</f>
        <v>279</v>
      </c>
      <c r="CY13" s="679">
        <f t="shared" ref="CY13:CY76" si="12">CY12+66</f>
        <v>282</v>
      </c>
      <c r="CZ13" s="679">
        <f t="shared" ref="CZ13:CZ76" si="13">CZ12+66</f>
        <v>286</v>
      </c>
      <c r="DA13" s="679">
        <f t="shared" ref="DA13:DA76" si="14">DA12+66</f>
        <v>287</v>
      </c>
      <c r="DB13" s="679">
        <f t="shared" ref="DB13:DB76" si="15">DB12+66</f>
        <v>288</v>
      </c>
      <c r="DC13" s="679">
        <f t="shared" ref="DC13:DC76" si="16">DC12+66</f>
        <v>295</v>
      </c>
      <c r="DD13" s="679">
        <f t="shared" ref="DD13:DD76" si="17">DD12+66</f>
        <v>305</v>
      </c>
      <c r="DE13" s="679">
        <f t="shared" ref="DE13:DE76" si="18">DE12+66</f>
        <v>305</v>
      </c>
      <c r="DF13" s="679">
        <f t="shared" ref="DF13:DF76" si="19">DF12+66</f>
        <v>305</v>
      </c>
      <c r="DG13" s="679">
        <f t="shared" ref="DG13:DG76" si="20">DG12+66</f>
        <v>305</v>
      </c>
      <c r="DH13" s="679">
        <f t="shared" ref="DH13:DH76" si="21">DH12+66</f>
        <v>305</v>
      </c>
      <c r="DI13" s="679">
        <f t="shared" ref="DI13:DI76" si="22">DI12+66</f>
        <v>305</v>
      </c>
      <c r="DJ13" s="679">
        <f t="shared" ref="DJ13:DJ76" si="23">DJ12+66</f>
        <v>305</v>
      </c>
      <c r="DK13" s="679">
        <f t="shared" ref="DK13:DK76" si="24">DK12+66</f>
        <v>296</v>
      </c>
      <c r="DL13" s="679">
        <f t="shared" ref="DL13:DL76" si="25">DL12+66</f>
        <v>306</v>
      </c>
      <c r="DM13" s="679">
        <f t="shared" ref="DM13:DM76" si="26">DM12+66</f>
        <v>306</v>
      </c>
      <c r="DN13" s="679">
        <f t="shared" ref="DN13:DN76" si="27">DN12+66</f>
        <v>306</v>
      </c>
      <c r="DO13" s="679">
        <f t="shared" ref="DO13:DO76" si="28">DO12+66</f>
        <v>306</v>
      </c>
      <c r="DP13" s="679">
        <f t="shared" ref="DP13:DP76" si="29">DP12+66</f>
        <v>306</v>
      </c>
      <c r="DQ13" s="679">
        <f t="shared" ref="DQ13:DQ76" si="30">DQ12+66</f>
        <v>306</v>
      </c>
      <c r="DR13" s="679">
        <f t="shared" ref="DR13:DR76" si="31">DR12+66</f>
        <v>306</v>
      </c>
      <c r="DS13" s="679">
        <f t="shared" ref="DS13:DS76" si="32">DS12+66</f>
        <v>297</v>
      </c>
      <c r="DT13" s="679">
        <f t="shared" ref="DT13:DT76" si="33">DT12+66</f>
        <v>307</v>
      </c>
      <c r="DU13" s="679">
        <f t="shared" ref="DU13:DU76" si="34">DU12+66</f>
        <v>307</v>
      </c>
      <c r="DV13" s="679">
        <f t="shared" ref="DV13:DV76" si="35">DV12+66</f>
        <v>307</v>
      </c>
      <c r="DW13" s="679">
        <f t="shared" ref="DW13:DW76" si="36">DW12+66</f>
        <v>307</v>
      </c>
      <c r="DX13" s="679">
        <f t="shared" ref="DX13:DX76" si="37">DX12+66</f>
        <v>307</v>
      </c>
      <c r="DY13" s="679">
        <f t="shared" ref="DY13:DY76" si="38">DY12+66</f>
        <v>307</v>
      </c>
      <c r="DZ13" s="679">
        <f t="shared" ref="DZ13:DZ76" si="39">DZ12+66</f>
        <v>307</v>
      </c>
      <c r="EA13" s="679">
        <f t="shared" ref="EA13:EA76" si="40">EA12+66</f>
        <v>298</v>
      </c>
      <c r="EB13" s="679">
        <f t="shared" ref="EB13:EB76" si="41">EB12+66</f>
        <v>308</v>
      </c>
      <c r="EC13" s="679">
        <f t="shared" ref="EC13:EC76" si="42">EC12+66</f>
        <v>308</v>
      </c>
      <c r="ED13" s="679">
        <f t="shared" ref="ED13:ED76" si="43">ED12+66</f>
        <v>308</v>
      </c>
      <c r="EE13" s="679">
        <f t="shared" ref="EE13:EE76" si="44">EE12+66</f>
        <v>308</v>
      </c>
      <c r="EF13" s="679">
        <f t="shared" ref="EF13:EF76" si="45">EF12+66</f>
        <v>308</v>
      </c>
      <c r="EG13" s="679">
        <f t="shared" ref="EG13:EG76" si="46">EG12+66</f>
        <v>308</v>
      </c>
      <c r="EH13" s="679">
        <f t="shared" ref="EH13:EH76" si="47">EH12+66</f>
        <v>308</v>
      </c>
      <c r="EI13" s="679">
        <f t="shared" ref="EI13:EI76" si="48">EI12+66</f>
        <v>299</v>
      </c>
      <c r="EJ13" s="679">
        <f t="shared" ref="EJ13:EJ76" si="49">EJ12+66</f>
        <v>309</v>
      </c>
      <c r="EK13" s="679">
        <f t="shared" ref="EK13:EK76" si="50">EK12+66</f>
        <v>309</v>
      </c>
      <c r="EL13" s="679">
        <f t="shared" ref="EL13:EL76" si="51">EL12+66</f>
        <v>309</v>
      </c>
      <c r="EM13" s="679">
        <f t="shared" ref="EM13:EM76" si="52">EM12+66</f>
        <v>309</v>
      </c>
      <c r="EN13" s="679">
        <f t="shared" ref="EN13:EN76" si="53">EN12+66</f>
        <v>309</v>
      </c>
      <c r="EO13" s="679">
        <f t="shared" ref="EO13:EO76" si="54">EO12+66</f>
        <v>309</v>
      </c>
      <c r="EP13" s="679">
        <f t="shared" ref="EP13:EP76" si="55">EP12+66</f>
        <v>309</v>
      </c>
      <c r="EQ13" s="679">
        <f t="shared" ref="EQ13:EQ76" si="56">EQ12+66</f>
        <v>300</v>
      </c>
      <c r="ER13" s="679">
        <f t="shared" ref="ER13:ER76" si="57">ER12+66</f>
        <v>310</v>
      </c>
      <c r="ES13" s="679">
        <f t="shared" ref="ES13:ES76" si="58">ES12+66</f>
        <v>310</v>
      </c>
      <c r="ET13" s="679">
        <f t="shared" ref="ET13:ET76" si="59">ET12+66</f>
        <v>310</v>
      </c>
      <c r="EU13" s="679">
        <f t="shared" ref="EU13:EU76" si="60">EU12+66</f>
        <v>310</v>
      </c>
      <c r="EV13" s="679">
        <f t="shared" ref="EV13:EV76" si="61">EV12+66</f>
        <v>310</v>
      </c>
      <c r="EW13" s="679">
        <f t="shared" ref="EW13:EW76" si="62">EW12+66</f>
        <v>310</v>
      </c>
      <c r="EX13" s="679">
        <f t="shared" ref="EX13:EX76" si="63">EX12+66</f>
        <v>310</v>
      </c>
      <c r="EY13" s="679">
        <f t="shared" ref="EY13:EY76" si="64">EY12+66</f>
        <v>316</v>
      </c>
    </row>
    <row r="14" spans="1:159" ht="12.75" customHeight="1" x14ac:dyDescent="0.2">
      <c r="B14" s="700" t="str">
        <f>IF(COUNTIF($CK$10:CK14,TRUE)&gt;0,"",INDEX(C_InstallationDescription!$E$226:$E$242,ROWS($A$11:A14)))</f>
        <v/>
      </c>
      <c r="C14" s="581" t="str">
        <f>IF($E14="","",INDEX(C_InstallationDescription!F:F,MATCH($B14,C_InstallationDescription!$E:$E,0)))</f>
        <v/>
      </c>
      <c r="D14" s="581" t="str">
        <f>IF($E14="","",INDEX(C_InstallationDescription!I:I,MATCH($B14,C_InstallationDescription!$E:$E,0)))</f>
        <v/>
      </c>
      <c r="E14" s="581" t="str">
        <f>IF($B14="","",INDEX(C_InstallationDescription!F:F,MATCH($CJ14,C_InstallationDescription!$Q:$Q,0)))</f>
        <v/>
      </c>
      <c r="F14" s="706" t="str">
        <f>IF($E14="","",INDEX(C_InstallationDescription!L:L,MATCH($CJ14,C_InstallationDescription!$Q:$Q,0)))</f>
        <v/>
      </c>
      <c r="G14" s="581" t="str">
        <f>IF($E14="","",INDEX(C_InstallationDescription!M:M,MATCH($CJ14,C_InstallationDescription!$Q:$Q,0)))</f>
        <v/>
      </c>
      <c r="H14" s="581" t="str">
        <f>IF($E14="","",INDEX(C_InstallationDescription!N:N,MATCH($CJ14,C_InstallationDescription!$Q:$Q,0)))</f>
        <v/>
      </c>
      <c r="I14" s="703" t="str">
        <f>IF($E14="","",IF(INDEX(E_SourceStreams!$A:$N,CN14,I$7)="","",INDEX(E_SourceStreams!$A:$N,CN14,I$7)))</f>
        <v/>
      </c>
      <c r="J14" s="703" t="str">
        <f>IF($E14="","",IF(INDEX(E_SourceStreams!$A:$N,CO14,J$7)="","",INDEX(E_SourceStreams!$A:$N,CO14,J$7)))</f>
        <v/>
      </c>
      <c r="K14" s="703" t="str">
        <f>IF($E14="","",IF(INDEX(E_SourceStreams!$A:$N,CP14,K$7)="","",INDEX(E_SourceStreams!$A:$N,CP14,K$7)))</f>
        <v/>
      </c>
      <c r="L14" s="703" t="str">
        <f>IF($E14="","",IF(INDEX(E_SourceStreams!$A:$N,CQ14,L$7)="","",INDEX(E_SourceStreams!$A:$N,CQ14,L$7)))</f>
        <v/>
      </c>
      <c r="M14" s="703" t="str">
        <f>IF($E14="","",IF(INDEX(E_SourceStreams!$A:$N,CR14,M$7)="","",INDEX(E_SourceStreams!$A:$N,CR14,M$7)))</f>
        <v/>
      </c>
      <c r="N14" s="703" t="str">
        <f>IF($E14="","",IF(INDEX(E_SourceStreams!$A:$N,CS14,N$7)="","",INDEX(E_SourceStreams!$A:$N,CS14,N$7)))</f>
        <v/>
      </c>
      <c r="O14" s="703" t="str">
        <f>IF($E14="","",IF(INDEX(E_SourceStreams!$A:$N,CT14,O$7)="","",INDEX(E_SourceStreams!$A:$N,CT14,O$7)))</f>
        <v/>
      </c>
      <c r="P14" s="703" t="str">
        <f>IF($E14="","",IF(INDEX(E_SourceStreams!$A:$N,CU14,P$7)="","",INDEX(E_SourceStreams!$A:$N,CU14,P$7)))</f>
        <v/>
      </c>
      <c r="Q14" s="703" t="str">
        <f>IF($E14="","",IF(INDEX(E_SourceStreams!$A:$N,CV14,Q$7)="","",INDEX(E_SourceStreams!$A:$N,CV14,Q$7)))</f>
        <v/>
      </c>
      <c r="R14" s="703" t="str">
        <f>IF($E14="","",IF(INDEX(E_SourceStreams!$A:$N,CW14,R$7)="","",INDEX(E_SourceStreams!$A:$N,CW14,R$7)))</f>
        <v/>
      </c>
      <c r="S14" s="703" t="str">
        <f>IF($E14="","",IF(INDEX(E_SourceStreams!$A:$N,CX14,S$7)="","",INDEX(E_SourceStreams!$A:$N,CX14,S$7)))</f>
        <v/>
      </c>
      <c r="T14" s="703" t="str">
        <f>IF($E14="","",IF(INDEX(E_SourceStreams!$A:$N,CY14,T$7)="","",INDEX(E_SourceStreams!$A:$N,CY14,T$7)))</f>
        <v/>
      </c>
      <c r="U14" s="703" t="str">
        <f>IF($E14="","",IF(INDEX(E_SourceStreams!$A:$N,CZ14,U$7)="","",INDEX(E_SourceStreams!$A:$N,CZ14,U$7)))</f>
        <v/>
      </c>
      <c r="V14" s="703" t="str">
        <f>IF($E14="","",IF(INDEX(E_SourceStreams!$A:$N,DA14,V$7)="","",INDEX(E_SourceStreams!$A:$N,DA14,V$7)))</f>
        <v/>
      </c>
      <c r="W14" s="704" t="str">
        <f>IF($E14="","",IF(INDEX(E_SourceStreams!$A:$N,DB14,W$7)="","",INDEX(E_SourceStreams!$A:$N,DB14,W$7)))</f>
        <v/>
      </c>
      <c r="X14" s="703" t="str">
        <f>IF($E14="","",IF(INDEX(E_SourceStreams!$A:$N,DC14,X$7)="","",INDEX(E_SourceStreams!$A:$N,DC14,X$7)))</f>
        <v/>
      </c>
      <c r="Y14" s="703" t="str">
        <f>IF($E14="","",IF(INDEX(E_SourceStreams!$A:$N,DD14,Y$7)="","",INDEX(E_SourceStreams!$A:$N,DD14,Y$7)))</f>
        <v/>
      </c>
      <c r="Z14" s="703" t="str">
        <f>IF($E14="","",IF(INDEX(E_SourceStreams!$A:$N,DE14,Z$7)="","",INDEX(E_SourceStreams!$A:$N,DE14,Z$7)))</f>
        <v/>
      </c>
      <c r="AA14" s="703" t="str">
        <f>IF($E14="","",IF(INDEX(E_SourceStreams!$A:$N,DF14,AA$7)="","",INDEX(E_SourceStreams!$A:$N,DF14,AA$7)))</f>
        <v/>
      </c>
      <c r="AB14" s="703" t="str">
        <f>IF($E14="","",IF(INDEX(E_SourceStreams!$A:$N,DG14,AB$7)="","",INDEX(E_SourceStreams!$A:$N,DG14,AB$7)))</f>
        <v/>
      </c>
      <c r="AC14" s="703" t="str">
        <f>IF($E14="","",IF(INDEX(E_SourceStreams!$A:$N,DH14,AC$7)="","",INDEX(E_SourceStreams!$A:$N,DH14,AC$7)))</f>
        <v/>
      </c>
      <c r="AD14" s="703" t="str">
        <f>IF($E14="","",IF(INDEX(E_SourceStreams!$A:$N,DI14,AD$7)="","",INDEX(E_SourceStreams!$A:$N,DI14,AD$7)))</f>
        <v/>
      </c>
      <c r="AE14" s="703" t="str">
        <f>IF($E14="","",IF(INDEX(E_SourceStreams!$A:$N,DJ14,AE$7)="","",INDEX(E_SourceStreams!$A:$N,DJ14,AE$7)))</f>
        <v/>
      </c>
      <c r="AF14" s="703" t="str">
        <f>IF($E14="","",IF(INDEX(E_SourceStreams!$A:$N,DK14,AF$7)="","",INDEX(E_SourceStreams!$A:$N,DK14,AF$7)))</f>
        <v/>
      </c>
      <c r="AG14" s="703" t="str">
        <f>IF($E14="","",IF(INDEX(E_SourceStreams!$A:$N,DL14,AG$7)="","",INDEX(E_SourceStreams!$A:$N,DL14,AG$7)))</f>
        <v/>
      </c>
      <c r="AH14" s="703" t="str">
        <f>IF($E14="","",IF(INDEX(E_SourceStreams!$A:$N,DM14,AH$7)="","",INDEX(E_SourceStreams!$A:$N,DM14,AH$7)))</f>
        <v/>
      </c>
      <c r="AI14" s="703" t="str">
        <f>IF($E14="","",IF(INDEX(E_SourceStreams!$A:$N,DN14,AI$7)="","",INDEX(E_SourceStreams!$A:$N,DN14,AI$7)))</f>
        <v/>
      </c>
      <c r="AJ14" s="703" t="str">
        <f>IF($E14="","",IF(INDEX(E_SourceStreams!$A:$N,DO14,AJ$7)="","",INDEX(E_SourceStreams!$A:$N,DO14,AJ$7)))</f>
        <v/>
      </c>
      <c r="AK14" s="703" t="str">
        <f>IF($E14="","",IF(INDEX(E_SourceStreams!$A:$N,DP14,AK$7)="","",INDEX(E_SourceStreams!$A:$N,DP14,AK$7)))</f>
        <v/>
      </c>
      <c r="AL14" s="703" t="str">
        <f>IF($E14="","",IF(INDEX(E_SourceStreams!$A:$N,DQ14,AL$7)="","",INDEX(E_SourceStreams!$A:$N,DQ14,AL$7)))</f>
        <v/>
      </c>
      <c r="AM14" s="703" t="str">
        <f>IF($E14="","",IF(INDEX(E_SourceStreams!$A:$N,DR14,AM$7)="","",INDEX(E_SourceStreams!$A:$N,DR14,AM$7)))</f>
        <v/>
      </c>
      <c r="AN14" s="703" t="str">
        <f>IF($E14="","",IF(INDEX(E_SourceStreams!$A:$N,DS14,AN$7)="","",INDEX(E_SourceStreams!$A:$N,DS14,AN$7)))</f>
        <v/>
      </c>
      <c r="AO14" s="703" t="str">
        <f>IF($E14="","",IF(INDEX(E_SourceStreams!$A:$N,DT14,AO$7)="","",INDEX(E_SourceStreams!$A:$N,DT14,AO$7)))</f>
        <v/>
      </c>
      <c r="AP14" s="703" t="str">
        <f>IF($E14="","",IF(INDEX(E_SourceStreams!$A:$N,DU14,AP$7)="","",INDEX(E_SourceStreams!$A:$N,DU14,AP$7)))</f>
        <v/>
      </c>
      <c r="AQ14" s="703" t="str">
        <f>IF($E14="","",IF(INDEX(E_SourceStreams!$A:$N,DV14,AQ$7)="","",INDEX(E_SourceStreams!$A:$N,DV14,AQ$7)))</f>
        <v/>
      </c>
      <c r="AR14" s="703" t="str">
        <f>IF($E14="","",IF(INDEX(E_SourceStreams!$A:$N,DW14,AR$7)="","",INDEX(E_SourceStreams!$A:$N,DW14,AR$7)))</f>
        <v/>
      </c>
      <c r="AS14" s="703" t="str">
        <f>IF($E14="","",IF(INDEX(E_SourceStreams!$A:$N,DX14,AS$7)="","",INDEX(E_SourceStreams!$A:$N,DX14,AS$7)))</f>
        <v/>
      </c>
      <c r="AT14" s="703" t="str">
        <f>IF($E14="","",IF(INDEX(E_SourceStreams!$A:$N,DY14,AT$7)="","",INDEX(E_SourceStreams!$A:$N,DY14,AT$7)))</f>
        <v/>
      </c>
      <c r="AU14" s="703" t="str">
        <f>IF($E14="","",IF(INDEX(E_SourceStreams!$A:$N,DZ14,AU$7)="","",INDEX(E_SourceStreams!$A:$N,DZ14,AU$7)))</f>
        <v/>
      </c>
      <c r="AV14" s="703" t="str">
        <f>IF($E14="","",IF(INDEX(E_SourceStreams!$A:$N,EA14,AV$7)="","",INDEX(E_SourceStreams!$A:$N,EA14,AV$7)))</f>
        <v/>
      </c>
      <c r="AW14" s="703" t="str">
        <f>IF($E14="","",IF(INDEX(E_SourceStreams!$A:$N,EB14,AW$7)="","",INDEX(E_SourceStreams!$A:$N,EB14,AW$7)))</f>
        <v/>
      </c>
      <c r="AX14" s="703" t="str">
        <f>IF($E14="","",IF(INDEX(E_SourceStreams!$A:$N,EC14,AX$7)="","",INDEX(E_SourceStreams!$A:$N,EC14,AX$7)))</f>
        <v/>
      </c>
      <c r="AY14" s="703" t="str">
        <f>IF($E14="","",IF(INDEX(E_SourceStreams!$A:$N,ED14,AY$7)="","",INDEX(E_SourceStreams!$A:$N,ED14,AY$7)))</f>
        <v/>
      </c>
      <c r="AZ14" s="703" t="str">
        <f>IF($E14="","",IF(INDEX(E_SourceStreams!$A:$N,EE14,AZ$7)="","",INDEX(E_SourceStreams!$A:$N,EE14,AZ$7)))</f>
        <v/>
      </c>
      <c r="BA14" s="703" t="str">
        <f>IF($E14="","",IF(INDEX(E_SourceStreams!$A:$N,EF14,BA$7)="","",INDEX(E_SourceStreams!$A:$N,EF14,BA$7)))</f>
        <v/>
      </c>
      <c r="BB14" s="703" t="str">
        <f>IF($E14="","",IF(INDEX(E_SourceStreams!$A:$N,EG14,BB$7)="","",INDEX(E_SourceStreams!$A:$N,EG14,BB$7)))</f>
        <v/>
      </c>
      <c r="BC14" s="703" t="str">
        <f>IF($E14="","",IF(INDEX(E_SourceStreams!$A:$N,EH14,BC$7)="","",INDEX(E_SourceStreams!$A:$N,EH14,BC$7)))</f>
        <v/>
      </c>
      <c r="BD14" s="703" t="str">
        <f>IF($E14="","",IF(INDEX(E_SourceStreams!$A:$N,EI14,BD$7)="","",INDEX(E_SourceStreams!$A:$N,EI14,BD$7)))</f>
        <v/>
      </c>
      <c r="BE14" s="703" t="str">
        <f>IF($E14="","",IF(INDEX(E_SourceStreams!$A:$N,EJ14,BE$7)="","",INDEX(E_SourceStreams!$A:$N,EJ14,BE$7)))</f>
        <v/>
      </c>
      <c r="BF14" s="703" t="str">
        <f>IF($E14="","",IF(INDEX(E_SourceStreams!$A:$N,EK14,BF$7)="","",INDEX(E_SourceStreams!$A:$N,EK14,BF$7)))</f>
        <v/>
      </c>
      <c r="BG14" s="703" t="str">
        <f>IF($E14="","",IF(INDEX(E_SourceStreams!$A:$N,EL14,BG$7)="","",INDEX(E_SourceStreams!$A:$N,EL14,BG$7)))</f>
        <v/>
      </c>
      <c r="BH14" s="703" t="str">
        <f>IF($E14="","",IF(INDEX(E_SourceStreams!$A:$N,EM14,BH$7)="","",INDEX(E_SourceStreams!$A:$N,EM14,BH$7)))</f>
        <v/>
      </c>
      <c r="BI14" s="703" t="str">
        <f>IF($E14="","",IF(INDEX(E_SourceStreams!$A:$N,EN14,BI$7)="","",INDEX(E_SourceStreams!$A:$N,EN14,BI$7)))</f>
        <v/>
      </c>
      <c r="BJ14" s="703" t="str">
        <f>IF($E14="","",IF(INDEX(E_SourceStreams!$A:$N,EO14,BJ$7)="","",INDEX(E_SourceStreams!$A:$N,EO14,BJ$7)))</f>
        <v/>
      </c>
      <c r="BK14" s="703" t="str">
        <f>IF($E14="","",IF(INDEX(E_SourceStreams!$A:$N,EP14,BK$7)="","",INDEX(E_SourceStreams!$A:$N,EP14,BK$7)))</f>
        <v/>
      </c>
      <c r="BL14" s="703" t="str">
        <f>IF($E14="","",IF(INDEX(E_SourceStreams!$A:$N,EQ14,BL$7)="","",INDEX(E_SourceStreams!$A:$N,EQ14,BL$7)))</f>
        <v/>
      </c>
      <c r="BM14" s="703" t="str">
        <f>IF($E14="","",IF(INDEX(E_SourceStreams!$A:$N,ER14,BM$7)="","",INDEX(E_SourceStreams!$A:$N,ER14,BM$7)))</f>
        <v/>
      </c>
      <c r="BN14" s="703" t="str">
        <f>IF($E14="","",IF(INDEX(E_SourceStreams!$A:$N,ES14,BN$7)="","",INDEX(E_SourceStreams!$A:$N,ES14,BN$7)))</f>
        <v/>
      </c>
      <c r="BO14" s="703" t="str">
        <f>IF($E14="","",IF(INDEX(E_SourceStreams!$A:$N,ET14,BO$7)="","",INDEX(E_SourceStreams!$A:$N,ET14,BO$7)))</f>
        <v/>
      </c>
      <c r="BP14" s="703" t="str">
        <f>IF($E14="","",IF(INDEX(E_SourceStreams!$A:$N,EU14,BP$7)="","",INDEX(E_SourceStreams!$A:$N,EU14,BP$7)))</f>
        <v/>
      </c>
      <c r="BQ14" s="703" t="str">
        <f>IF($E14="","",IF(INDEX(E_SourceStreams!$A:$N,EV14,BQ$7)="","",INDEX(E_SourceStreams!$A:$N,EV14,BQ$7)))</f>
        <v/>
      </c>
      <c r="BR14" s="703" t="str">
        <f>IF($E14="","",IF(INDEX(E_SourceStreams!$A:$N,EW14,BR$7)="","",INDEX(E_SourceStreams!$A:$N,EW14,BR$7)))</f>
        <v/>
      </c>
      <c r="BS14" s="703" t="str">
        <f>IF($E14="","",IF(INDEX(E_SourceStreams!$A:$N,EX14,BS$7)="","",INDEX(E_SourceStreams!$A:$N,EX14,BS$7)))</f>
        <v/>
      </c>
      <c r="BT14" s="703" t="str">
        <f>IF($E14="","",IF(INDEX(E_SourceStreams!$A:$N,EY14,BT$7)="","",INDEX(E_SourceStreams!$A:$N,EY14,BT$7)))</f>
        <v/>
      </c>
      <c r="BU14" s="625"/>
      <c r="CJ14" s="679" t="str">
        <f t="shared" si="0"/>
        <v>SourceCategory_</v>
      </c>
      <c r="CK14" s="679" t="b">
        <f>INDEX(C_InstallationDescription!$A$226:$A$332,ROWS($CI$11:CI14))="ausblenden"</f>
        <v>0</v>
      </c>
      <c r="CL14" s="679" t="str">
        <f t="shared" si="1"/>
        <v>SourceStreamName_</v>
      </c>
      <c r="CN14" s="679">
        <f t="shared" ref="CN14:CN77" si="65">CN13+66</f>
        <v>333</v>
      </c>
      <c r="CO14" s="679">
        <f t="shared" si="2"/>
        <v>335</v>
      </c>
      <c r="CP14" s="679">
        <f t="shared" si="3"/>
        <v>337</v>
      </c>
      <c r="CQ14" s="679">
        <f t="shared" si="4"/>
        <v>339</v>
      </c>
      <c r="CR14" s="679">
        <f t="shared" si="5"/>
        <v>341</v>
      </c>
      <c r="CS14" s="679">
        <f t="shared" si="6"/>
        <v>343</v>
      </c>
      <c r="CT14" s="679">
        <f t="shared" si="7"/>
        <v>345</v>
      </c>
      <c r="CU14" s="679">
        <f t="shared" si="8"/>
        <v>345</v>
      </c>
      <c r="CV14" s="679">
        <f t="shared" si="9"/>
        <v>345</v>
      </c>
      <c r="CW14" s="679">
        <f t="shared" si="10"/>
        <v>345</v>
      </c>
      <c r="CX14" s="679">
        <f t="shared" si="11"/>
        <v>345</v>
      </c>
      <c r="CY14" s="679">
        <f t="shared" si="12"/>
        <v>348</v>
      </c>
      <c r="CZ14" s="679">
        <f t="shared" si="13"/>
        <v>352</v>
      </c>
      <c r="DA14" s="679">
        <f t="shared" si="14"/>
        <v>353</v>
      </c>
      <c r="DB14" s="679">
        <f t="shared" si="15"/>
        <v>354</v>
      </c>
      <c r="DC14" s="679">
        <f t="shared" si="16"/>
        <v>361</v>
      </c>
      <c r="DD14" s="679">
        <f t="shared" si="17"/>
        <v>371</v>
      </c>
      <c r="DE14" s="679">
        <f t="shared" si="18"/>
        <v>371</v>
      </c>
      <c r="DF14" s="679">
        <f t="shared" si="19"/>
        <v>371</v>
      </c>
      <c r="DG14" s="679">
        <f t="shared" si="20"/>
        <v>371</v>
      </c>
      <c r="DH14" s="679">
        <f t="shared" si="21"/>
        <v>371</v>
      </c>
      <c r="DI14" s="679">
        <f t="shared" si="22"/>
        <v>371</v>
      </c>
      <c r="DJ14" s="679">
        <f t="shared" si="23"/>
        <v>371</v>
      </c>
      <c r="DK14" s="679">
        <f t="shared" si="24"/>
        <v>362</v>
      </c>
      <c r="DL14" s="679">
        <f t="shared" si="25"/>
        <v>372</v>
      </c>
      <c r="DM14" s="679">
        <f t="shared" si="26"/>
        <v>372</v>
      </c>
      <c r="DN14" s="679">
        <f t="shared" si="27"/>
        <v>372</v>
      </c>
      <c r="DO14" s="679">
        <f t="shared" si="28"/>
        <v>372</v>
      </c>
      <c r="DP14" s="679">
        <f t="shared" si="29"/>
        <v>372</v>
      </c>
      <c r="DQ14" s="679">
        <f t="shared" si="30"/>
        <v>372</v>
      </c>
      <c r="DR14" s="679">
        <f t="shared" si="31"/>
        <v>372</v>
      </c>
      <c r="DS14" s="679">
        <f t="shared" si="32"/>
        <v>363</v>
      </c>
      <c r="DT14" s="679">
        <f t="shared" si="33"/>
        <v>373</v>
      </c>
      <c r="DU14" s="679">
        <f t="shared" si="34"/>
        <v>373</v>
      </c>
      <c r="DV14" s="679">
        <f t="shared" si="35"/>
        <v>373</v>
      </c>
      <c r="DW14" s="679">
        <f t="shared" si="36"/>
        <v>373</v>
      </c>
      <c r="DX14" s="679">
        <f t="shared" si="37"/>
        <v>373</v>
      </c>
      <c r="DY14" s="679">
        <f t="shared" si="38"/>
        <v>373</v>
      </c>
      <c r="DZ14" s="679">
        <f t="shared" si="39"/>
        <v>373</v>
      </c>
      <c r="EA14" s="679">
        <f t="shared" si="40"/>
        <v>364</v>
      </c>
      <c r="EB14" s="679">
        <f t="shared" si="41"/>
        <v>374</v>
      </c>
      <c r="EC14" s="679">
        <f t="shared" si="42"/>
        <v>374</v>
      </c>
      <c r="ED14" s="679">
        <f t="shared" si="43"/>
        <v>374</v>
      </c>
      <c r="EE14" s="679">
        <f t="shared" si="44"/>
        <v>374</v>
      </c>
      <c r="EF14" s="679">
        <f t="shared" si="45"/>
        <v>374</v>
      </c>
      <c r="EG14" s="679">
        <f t="shared" si="46"/>
        <v>374</v>
      </c>
      <c r="EH14" s="679">
        <f t="shared" si="47"/>
        <v>374</v>
      </c>
      <c r="EI14" s="679">
        <f t="shared" si="48"/>
        <v>365</v>
      </c>
      <c r="EJ14" s="679">
        <f t="shared" si="49"/>
        <v>375</v>
      </c>
      <c r="EK14" s="679">
        <f t="shared" si="50"/>
        <v>375</v>
      </c>
      <c r="EL14" s="679">
        <f t="shared" si="51"/>
        <v>375</v>
      </c>
      <c r="EM14" s="679">
        <f t="shared" si="52"/>
        <v>375</v>
      </c>
      <c r="EN14" s="679">
        <f t="shared" si="53"/>
        <v>375</v>
      </c>
      <c r="EO14" s="679">
        <f t="shared" si="54"/>
        <v>375</v>
      </c>
      <c r="EP14" s="679">
        <f t="shared" si="55"/>
        <v>375</v>
      </c>
      <c r="EQ14" s="679">
        <f t="shared" si="56"/>
        <v>366</v>
      </c>
      <c r="ER14" s="679">
        <f t="shared" si="57"/>
        <v>376</v>
      </c>
      <c r="ES14" s="679">
        <f t="shared" si="58"/>
        <v>376</v>
      </c>
      <c r="ET14" s="679">
        <f t="shared" si="59"/>
        <v>376</v>
      </c>
      <c r="EU14" s="679">
        <f t="shared" si="60"/>
        <v>376</v>
      </c>
      <c r="EV14" s="679">
        <f t="shared" si="61"/>
        <v>376</v>
      </c>
      <c r="EW14" s="679">
        <f t="shared" si="62"/>
        <v>376</v>
      </c>
      <c r="EX14" s="679">
        <f t="shared" si="63"/>
        <v>376</v>
      </c>
      <c r="EY14" s="679">
        <f t="shared" si="64"/>
        <v>382</v>
      </c>
    </row>
    <row r="15" spans="1:159" ht="12.75" customHeight="1" x14ac:dyDescent="0.2">
      <c r="B15" s="700" t="str">
        <f>IF(COUNTIF($CK$10:CK15,TRUE)&gt;0,"",INDEX(C_InstallationDescription!$E$226:$E$242,ROWS($A$11:A15)))</f>
        <v/>
      </c>
      <c r="C15" s="581" t="str">
        <f>IF($E15="","",INDEX(C_InstallationDescription!F:F,MATCH($B15,C_InstallationDescription!$E:$E,0)))</f>
        <v/>
      </c>
      <c r="D15" s="581" t="str">
        <f>IF($E15="","",INDEX(C_InstallationDescription!I:I,MATCH($B15,C_InstallationDescription!$E:$E,0)))</f>
        <v/>
      </c>
      <c r="E15" s="581" t="str">
        <f>IF($B15="","",INDEX(C_InstallationDescription!F:F,MATCH($CJ15,C_InstallationDescription!$Q:$Q,0)))</f>
        <v/>
      </c>
      <c r="F15" s="706" t="str">
        <f>IF($E15="","",INDEX(C_InstallationDescription!L:L,MATCH($CJ15,C_InstallationDescription!$Q:$Q,0)))</f>
        <v/>
      </c>
      <c r="G15" s="581" t="str">
        <f>IF($E15="","",INDEX(C_InstallationDescription!M:M,MATCH($CJ15,C_InstallationDescription!$Q:$Q,0)))</f>
        <v/>
      </c>
      <c r="H15" s="581" t="str">
        <f>IF($E15="","",INDEX(C_InstallationDescription!N:N,MATCH($CJ15,C_InstallationDescription!$Q:$Q,0)))</f>
        <v/>
      </c>
      <c r="I15" s="703" t="str">
        <f>IF($E15="","",IF(INDEX(E_SourceStreams!$A:$N,CN15,I$7)="","",INDEX(E_SourceStreams!$A:$N,CN15,I$7)))</f>
        <v/>
      </c>
      <c r="J15" s="703" t="str">
        <f>IF($E15="","",IF(INDEX(E_SourceStreams!$A:$N,CO15,J$7)="","",INDEX(E_SourceStreams!$A:$N,CO15,J$7)))</f>
        <v/>
      </c>
      <c r="K15" s="703" t="str">
        <f>IF($E15="","",IF(INDEX(E_SourceStreams!$A:$N,CP15,K$7)="","",INDEX(E_SourceStreams!$A:$N,CP15,K$7)))</f>
        <v/>
      </c>
      <c r="L15" s="703" t="str">
        <f>IF($E15="","",IF(INDEX(E_SourceStreams!$A:$N,CQ15,L$7)="","",INDEX(E_SourceStreams!$A:$N,CQ15,L$7)))</f>
        <v/>
      </c>
      <c r="M15" s="703" t="str">
        <f>IF($E15="","",IF(INDEX(E_SourceStreams!$A:$N,CR15,M$7)="","",INDEX(E_SourceStreams!$A:$N,CR15,M$7)))</f>
        <v/>
      </c>
      <c r="N15" s="703" t="str">
        <f>IF($E15="","",IF(INDEX(E_SourceStreams!$A:$N,CS15,N$7)="","",INDEX(E_SourceStreams!$A:$N,CS15,N$7)))</f>
        <v/>
      </c>
      <c r="O15" s="703" t="str">
        <f>IF($E15="","",IF(INDEX(E_SourceStreams!$A:$N,CT15,O$7)="","",INDEX(E_SourceStreams!$A:$N,CT15,O$7)))</f>
        <v/>
      </c>
      <c r="P15" s="703" t="str">
        <f>IF($E15="","",IF(INDEX(E_SourceStreams!$A:$N,CU15,P$7)="","",INDEX(E_SourceStreams!$A:$N,CU15,P$7)))</f>
        <v/>
      </c>
      <c r="Q15" s="703" t="str">
        <f>IF($E15="","",IF(INDEX(E_SourceStreams!$A:$N,CV15,Q$7)="","",INDEX(E_SourceStreams!$A:$N,CV15,Q$7)))</f>
        <v/>
      </c>
      <c r="R15" s="703" t="str">
        <f>IF($E15="","",IF(INDEX(E_SourceStreams!$A:$N,CW15,R$7)="","",INDEX(E_SourceStreams!$A:$N,CW15,R$7)))</f>
        <v/>
      </c>
      <c r="S15" s="703" t="str">
        <f>IF($E15="","",IF(INDEX(E_SourceStreams!$A:$N,CX15,S$7)="","",INDEX(E_SourceStreams!$A:$N,CX15,S$7)))</f>
        <v/>
      </c>
      <c r="T15" s="703" t="str">
        <f>IF($E15="","",IF(INDEX(E_SourceStreams!$A:$N,CY15,T$7)="","",INDEX(E_SourceStreams!$A:$N,CY15,T$7)))</f>
        <v/>
      </c>
      <c r="U15" s="703" t="str">
        <f>IF($E15="","",IF(INDEX(E_SourceStreams!$A:$N,CZ15,U$7)="","",INDEX(E_SourceStreams!$A:$N,CZ15,U$7)))</f>
        <v/>
      </c>
      <c r="V15" s="703" t="str">
        <f>IF($E15="","",IF(INDEX(E_SourceStreams!$A:$N,DA15,V$7)="","",INDEX(E_SourceStreams!$A:$N,DA15,V$7)))</f>
        <v/>
      </c>
      <c r="W15" s="704" t="str">
        <f>IF($E15="","",IF(INDEX(E_SourceStreams!$A:$N,DB15,W$7)="","",INDEX(E_SourceStreams!$A:$N,DB15,W$7)))</f>
        <v/>
      </c>
      <c r="X15" s="703" t="str">
        <f>IF($E15="","",IF(INDEX(E_SourceStreams!$A:$N,DC15,X$7)="","",INDEX(E_SourceStreams!$A:$N,DC15,X$7)))</f>
        <v/>
      </c>
      <c r="Y15" s="703" t="str">
        <f>IF($E15="","",IF(INDEX(E_SourceStreams!$A:$N,DD15,Y$7)="","",INDEX(E_SourceStreams!$A:$N,DD15,Y$7)))</f>
        <v/>
      </c>
      <c r="Z15" s="703" t="str">
        <f>IF($E15="","",IF(INDEX(E_SourceStreams!$A:$N,DE15,Z$7)="","",INDEX(E_SourceStreams!$A:$N,DE15,Z$7)))</f>
        <v/>
      </c>
      <c r="AA15" s="703" t="str">
        <f>IF($E15="","",IF(INDEX(E_SourceStreams!$A:$N,DF15,AA$7)="","",INDEX(E_SourceStreams!$A:$N,DF15,AA$7)))</f>
        <v/>
      </c>
      <c r="AB15" s="703" t="str">
        <f>IF($E15="","",IF(INDEX(E_SourceStreams!$A:$N,DG15,AB$7)="","",INDEX(E_SourceStreams!$A:$N,DG15,AB$7)))</f>
        <v/>
      </c>
      <c r="AC15" s="703" t="str">
        <f>IF($E15="","",IF(INDEX(E_SourceStreams!$A:$N,DH15,AC$7)="","",INDEX(E_SourceStreams!$A:$N,DH15,AC$7)))</f>
        <v/>
      </c>
      <c r="AD15" s="703" t="str">
        <f>IF($E15="","",IF(INDEX(E_SourceStreams!$A:$N,DI15,AD$7)="","",INDEX(E_SourceStreams!$A:$N,DI15,AD$7)))</f>
        <v/>
      </c>
      <c r="AE15" s="703" t="str">
        <f>IF($E15="","",IF(INDEX(E_SourceStreams!$A:$N,DJ15,AE$7)="","",INDEX(E_SourceStreams!$A:$N,DJ15,AE$7)))</f>
        <v/>
      </c>
      <c r="AF15" s="703" t="str">
        <f>IF($E15="","",IF(INDEX(E_SourceStreams!$A:$N,DK15,AF$7)="","",INDEX(E_SourceStreams!$A:$N,DK15,AF$7)))</f>
        <v/>
      </c>
      <c r="AG15" s="703" t="str">
        <f>IF($E15="","",IF(INDEX(E_SourceStreams!$A:$N,DL15,AG$7)="","",INDEX(E_SourceStreams!$A:$N,DL15,AG$7)))</f>
        <v/>
      </c>
      <c r="AH15" s="703" t="str">
        <f>IF($E15="","",IF(INDEX(E_SourceStreams!$A:$N,DM15,AH$7)="","",INDEX(E_SourceStreams!$A:$N,DM15,AH$7)))</f>
        <v/>
      </c>
      <c r="AI15" s="703" t="str">
        <f>IF($E15="","",IF(INDEX(E_SourceStreams!$A:$N,DN15,AI$7)="","",INDEX(E_SourceStreams!$A:$N,DN15,AI$7)))</f>
        <v/>
      </c>
      <c r="AJ15" s="703" t="str">
        <f>IF($E15="","",IF(INDEX(E_SourceStreams!$A:$N,DO15,AJ$7)="","",INDEX(E_SourceStreams!$A:$N,DO15,AJ$7)))</f>
        <v/>
      </c>
      <c r="AK15" s="703" t="str">
        <f>IF($E15="","",IF(INDEX(E_SourceStreams!$A:$N,DP15,AK$7)="","",INDEX(E_SourceStreams!$A:$N,DP15,AK$7)))</f>
        <v/>
      </c>
      <c r="AL15" s="703" t="str">
        <f>IF($E15="","",IF(INDEX(E_SourceStreams!$A:$N,DQ15,AL$7)="","",INDEX(E_SourceStreams!$A:$N,DQ15,AL$7)))</f>
        <v/>
      </c>
      <c r="AM15" s="703" t="str">
        <f>IF($E15="","",IF(INDEX(E_SourceStreams!$A:$N,DR15,AM$7)="","",INDEX(E_SourceStreams!$A:$N,DR15,AM$7)))</f>
        <v/>
      </c>
      <c r="AN15" s="703" t="str">
        <f>IF($E15="","",IF(INDEX(E_SourceStreams!$A:$N,DS15,AN$7)="","",INDEX(E_SourceStreams!$A:$N,DS15,AN$7)))</f>
        <v/>
      </c>
      <c r="AO15" s="703" t="str">
        <f>IF($E15="","",IF(INDEX(E_SourceStreams!$A:$N,DT15,AO$7)="","",INDEX(E_SourceStreams!$A:$N,DT15,AO$7)))</f>
        <v/>
      </c>
      <c r="AP15" s="703" t="str">
        <f>IF($E15="","",IF(INDEX(E_SourceStreams!$A:$N,DU15,AP$7)="","",INDEX(E_SourceStreams!$A:$N,DU15,AP$7)))</f>
        <v/>
      </c>
      <c r="AQ15" s="703" t="str">
        <f>IF($E15="","",IF(INDEX(E_SourceStreams!$A:$N,DV15,AQ$7)="","",INDEX(E_SourceStreams!$A:$N,DV15,AQ$7)))</f>
        <v/>
      </c>
      <c r="AR15" s="703" t="str">
        <f>IF($E15="","",IF(INDEX(E_SourceStreams!$A:$N,DW15,AR$7)="","",INDEX(E_SourceStreams!$A:$N,DW15,AR$7)))</f>
        <v/>
      </c>
      <c r="AS15" s="703" t="str">
        <f>IF($E15="","",IF(INDEX(E_SourceStreams!$A:$N,DX15,AS$7)="","",INDEX(E_SourceStreams!$A:$N,DX15,AS$7)))</f>
        <v/>
      </c>
      <c r="AT15" s="703" t="str">
        <f>IF($E15="","",IF(INDEX(E_SourceStreams!$A:$N,DY15,AT$7)="","",INDEX(E_SourceStreams!$A:$N,DY15,AT$7)))</f>
        <v/>
      </c>
      <c r="AU15" s="703" t="str">
        <f>IF($E15="","",IF(INDEX(E_SourceStreams!$A:$N,DZ15,AU$7)="","",INDEX(E_SourceStreams!$A:$N,DZ15,AU$7)))</f>
        <v/>
      </c>
      <c r="AV15" s="703" t="str">
        <f>IF($E15="","",IF(INDEX(E_SourceStreams!$A:$N,EA15,AV$7)="","",INDEX(E_SourceStreams!$A:$N,EA15,AV$7)))</f>
        <v/>
      </c>
      <c r="AW15" s="703" t="str">
        <f>IF($E15="","",IF(INDEX(E_SourceStreams!$A:$N,EB15,AW$7)="","",INDEX(E_SourceStreams!$A:$N,EB15,AW$7)))</f>
        <v/>
      </c>
      <c r="AX15" s="703" t="str">
        <f>IF($E15="","",IF(INDEX(E_SourceStreams!$A:$N,EC15,AX$7)="","",INDEX(E_SourceStreams!$A:$N,EC15,AX$7)))</f>
        <v/>
      </c>
      <c r="AY15" s="703" t="str">
        <f>IF($E15="","",IF(INDEX(E_SourceStreams!$A:$N,ED15,AY$7)="","",INDEX(E_SourceStreams!$A:$N,ED15,AY$7)))</f>
        <v/>
      </c>
      <c r="AZ15" s="703" t="str">
        <f>IF($E15="","",IF(INDEX(E_SourceStreams!$A:$N,EE15,AZ$7)="","",INDEX(E_SourceStreams!$A:$N,EE15,AZ$7)))</f>
        <v/>
      </c>
      <c r="BA15" s="703" t="str">
        <f>IF($E15="","",IF(INDEX(E_SourceStreams!$A:$N,EF15,BA$7)="","",INDEX(E_SourceStreams!$A:$N,EF15,BA$7)))</f>
        <v/>
      </c>
      <c r="BB15" s="703" t="str">
        <f>IF($E15="","",IF(INDEX(E_SourceStreams!$A:$N,EG15,BB$7)="","",INDEX(E_SourceStreams!$A:$N,EG15,BB$7)))</f>
        <v/>
      </c>
      <c r="BC15" s="703" t="str">
        <f>IF($E15="","",IF(INDEX(E_SourceStreams!$A:$N,EH15,BC$7)="","",INDEX(E_SourceStreams!$A:$N,EH15,BC$7)))</f>
        <v/>
      </c>
      <c r="BD15" s="703" t="str">
        <f>IF($E15="","",IF(INDEX(E_SourceStreams!$A:$N,EI15,BD$7)="","",INDEX(E_SourceStreams!$A:$N,EI15,BD$7)))</f>
        <v/>
      </c>
      <c r="BE15" s="703" t="str">
        <f>IF($E15="","",IF(INDEX(E_SourceStreams!$A:$N,EJ15,BE$7)="","",INDEX(E_SourceStreams!$A:$N,EJ15,BE$7)))</f>
        <v/>
      </c>
      <c r="BF15" s="703" t="str">
        <f>IF($E15="","",IF(INDEX(E_SourceStreams!$A:$N,EK15,BF$7)="","",INDEX(E_SourceStreams!$A:$N,EK15,BF$7)))</f>
        <v/>
      </c>
      <c r="BG15" s="703" t="str">
        <f>IF($E15="","",IF(INDEX(E_SourceStreams!$A:$N,EL15,BG$7)="","",INDEX(E_SourceStreams!$A:$N,EL15,BG$7)))</f>
        <v/>
      </c>
      <c r="BH15" s="703" t="str">
        <f>IF($E15="","",IF(INDEX(E_SourceStreams!$A:$N,EM15,BH$7)="","",INDEX(E_SourceStreams!$A:$N,EM15,BH$7)))</f>
        <v/>
      </c>
      <c r="BI15" s="703" t="str">
        <f>IF($E15="","",IF(INDEX(E_SourceStreams!$A:$N,EN15,BI$7)="","",INDEX(E_SourceStreams!$A:$N,EN15,BI$7)))</f>
        <v/>
      </c>
      <c r="BJ15" s="703" t="str">
        <f>IF($E15="","",IF(INDEX(E_SourceStreams!$A:$N,EO15,BJ$7)="","",INDEX(E_SourceStreams!$A:$N,EO15,BJ$7)))</f>
        <v/>
      </c>
      <c r="BK15" s="703" t="str">
        <f>IF($E15="","",IF(INDEX(E_SourceStreams!$A:$N,EP15,BK$7)="","",INDEX(E_SourceStreams!$A:$N,EP15,BK$7)))</f>
        <v/>
      </c>
      <c r="BL15" s="703" t="str">
        <f>IF($E15="","",IF(INDEX(E_SourceStreams!$A:$N,EQ15,BL$7)="","",INDEX(E_SourceStreams!$A:$N,EQ15,BL$7)))</f>
        <v/>
      </c>
      <c r="BM15" s="703" t="str">
        <f>IF($E15="","",IF(INDEX(E_SourceStreams!$A:$N,ER15,BM$7)="","",INDEX(E_SourceStreams!$A:$N,ER15,BM$7)))</f>
        <v/>
      </c>
      <c r="BN15" s="703" t="str">
        <f>IF($E15="","",IF(INDEX(E_SourceStreams!$A:$N,ES15,BN$7)="","",INDEX(E_SourceStreams!$A:$N,ES15,BN$7)))</f>
        <v/>
      </c>
      <c r="BO15" s="703" t="str">
        <f>IF($E15="","",IF(INDEX(E_SourceStreams!$A:$N,ET15,BO$7)="","",INDEX(E_SourceStreams!$A:$N,ET15,BO$7)))</f>
        <v/>
      </c>
      <c r="BP15" s="703" t="str">
        <f>IF($E15="","",IF(INDEX(E_SourceStreams!$A:$N,EU15,BP$7)="","",INDEX(E_SourceStreams!$A:$N,EU15,BP$7)))</f>
        <v/>
      </c>
      <c r="BQ15" s="703" t="str">
        <f>IF($E15="","",IF(INDEX(E_SourceStreams!$A:$N,EV15,BQ$7)="","",INDEX(E_SourceStreams!$A:$N,EV15,BQ$7)))</f>
        <v/>
      </c>
      <c r="BR15" s="703" t="str">
        <f>IF($E15="","",IF(INDEX(E_SourceStreams!$A:$N,EW15,BR$7)="","",INDEX(E_SourceStreams!$A:$N,EW15,BR$7)))</f>
        <v/>
      </c>
      <c r="BS15" s="703" t="str">
        <f>IF($E15="","",IF(INDEX(E_SourceStreams!$A:$N,EX15,BS$7)="","",INDEX(E_SourceStreams!$A:$N,EX15,BS$7)))</f>
        <v/>
      </c>
      <c r="BT15" s="703" t="str">
        <f>IF($E15="","",IF(INDEX(E_SourceStreams!$A:$N,EY15,BT$7)="","",INDEX(E_SourceStreams!$A:$N,EY15,BT$7)))</f>
        <v/>
      </c>
      <c r="BU15" s="625"/>
      <c r="CJ15" s="679" t="str">
        <f t="shared" si="0"/>
        <v>SourceCategory_</v>
      </c>
      <c r="CK15" s="679" t="b">
        <f>INDEX(C_InstallationDescription!$A$226:$A$332,ROWS($CI$11:CI15))="ausblenden"</f>
        <v>0</v>
      </c>
      <c r="CL15" s="679" t="str">
        <f t="shared" si="1"/>
        <v>SourceStreamName_</v>
      </c>
      <c r="CN15" s="679">
        <f t="shared" si="65"/>
        <v>399</v>
      </c>
      <c r="CO15" s="679">
        <f t="shared" si="2"/>
        <v>401</v>
      </c>
      <c r="CP15" s="679">
        <f t="shared" si="3"/>
        <v>403</v>
      </c>
      <c r="CQ15" s="679">
        <f t="shared" si="4"/>
        <v>405</v>
      </c>
      <c r="CR15" s="679">
        <f t="shared" si="5"/>
        <v>407</v>
      </c>
      <c r="CS15" s="679">
        <f t="shared" si="6"/>
        <v>409</v>
      </c>
      <c r="CT15" s="679">
        <f t="shared" si="7"/>
        <v>411</v>
      </c>
      <c r="CU15" s="679">
        <f t="shared" si="8"/>
        <v>411</v>
      </c>
      <c r="CV15" s="679">
        <f t="shared" si="9"/>
        <v>411</v>
      </c>
      <c r="CW15" s="679">
        <f t="shared" si="10"/>
        <v>411</v>
      </c>
      <c r="CX15" s="679">
        <f t="shared" si="11"/>
        <v>411</v>
      </c>
      <c r="CY15" s="679">
        <f t="shared" si="12"/>
        <v>414</v>
      </c>
      <c r="CZ15" s="679">
        <f t="shared" si="13"/>
        <v>418</v>
      </c>
      <c r="DA15" s="679">
        <f t="shared" si="14"/>
        <v>419</v>
      </c>
      <c r="DB15" s="679">
        <f t="shared" si="15"/>
        <v>420</v>
      </c>
      <c r="DC15" s="679">
        <f t="shared" si="16"/>
        <v>427</v>
      </c>
      <c r="DD15" s="679">
        <f t="shared" si="17"/>
        <v>437</v>
      </c>
      <c r="DE15" s="679">
        <f t="shared" si="18"/>
        <v>437</v>
      </c>
      <c r="DF15" s="679">
        <f t="shared" si="19"/>
        <v>437</v>
      </c>
      <c r="DG15" s="679">
        <f t="shared" si="20"/>
        <v>437</v>
      </c>
      <c r="DH15" s="679">
        <f t="shared" si="21"/>
        <v>437</v>
      </c>
      <c r="DI15" s="679">
        <f t="shared" si="22"/>
        <v>437</v>
      </c>
      <c r="DJ15" s="679">
        <f t="shared" si="23"/>
        <v>437</v>
      </c>
      <c r="DK15" s="679">
        <f t="shared" si="24"/>
        <v>428</v>
      </c>
      <c r="DL15" s="679">
        <f t="shared" si="25"/>
        <v>438</v>
      </c>
      <c r="DM15" s="679">
        <f t="shared" si="26"/>
        <v>438</v>
      </c>
      <c r="DN15" s="679">
        <f t="shared" si="27"/>
        <v>438</v>
      </c>
      <c r="DO15" s="679">
        <f t="shared" si="28"/>
        <v>438</v>
      </c>
      <c r="DP15" s="679">
        <f t="shared" si="29"/>
        <v>438</v>
      </c>
      <c r="DQ15" s="679">
        <f t="shared" si="30"/>
        <v>438</v>
      </c>
      <c r="DR15" s="679">
        <f t="shared" si="31"/>
        <v>438</v>
      </c>
      <c r="DS15" s="679">
        <f t="shared" si="32"/>
        <v>429</v>
      </c>
      <c r="DT15" s="679">
        <f t="shared" si="33"/>
        <v>439</v>
      </c>
      <c r="DU15" s="679">
        <f t="shared" si="34"/>
        <v>439</v>
      </c>
      <c r="DV15" s="679">
        <f t="shared" si="35"/>
        <v>439</v>
      </c>
      <c r="DW15" s="679">
        <f t="shared" si="36"/>
        <v>439</v>
      </c>
      <c r="DX15" s="679">
        <f t="shared" si="37"/>
        <v>439</v>
      </c>
      <c r="DY15" s="679">
        <f t="shared" si="38"/>
        <v>439</v>
      </c>
      <c r="DZ15" s="679">
        <f t="shared" si="39"/>
        <v>439</v>
      </c>
      <c r="EA15" s="679">
        <f t="shared" si="40"/>
        <v>430</v>
      </c>
      <c r="EB15" s="679">
        <f t="shared" si="41"/>
        <v>440</v>
      </c>
      <c r="EC15" s="679">
        <f t="shared" si="42"/>
        <v>440</v>
      </c>
      <c r="ED15" s="679">
        <f t="shared" si="43"/>
        <v>440</v>
      </c>
      <c r="EE15" s="679">
        <f t="shared" si="44"/>
        <v>440</v>
      </c>
      <c r="EF15" s="679">
        <f t="shared" si="45"/>
        <v>440</v>
      </c>
      <c r="EG15" s="679">
        <f t="shared" si="46"/>
        <v>440</v>
      </c>
      <c r="EH15" s="679">
        <f t="shared" si="47"/>
        <v>440</v>
      </c>
      <c r="EI15" s="679">
        <f t="shared" si="48"/>
        <v>431</v>
      </c>
      <c r="EJ15" s="679">
        <f t="shared" si="49"/>
        <v>441</v>
      </c>
      <c r="EK15" s="679">
        <f t="shared" si="50"/>
        <v>441</v>
      </c>
      <c r="EL15" s="679">
        <f t="shared" si="51"/>
        <v>441</v>
      </c>
      <c r="EM15" s="679">
        <f t="shared" si="52"/>
        <v>441</v>
      </c>
      <c r="EN15" s="679">
        <f t="shared" si="53"/>
        <v>441</v>
      </c>
      <c r="EO15" s="679">
        <f t="shared" si="54"/>
        <v>441</v>
      </c>
      <c r="EP15" s="679">
        <f t="shared" si="55"/>
        <v>441</v>
      </c>
      <c r="EQ15" s="679">
        <f t="shared" si="56"/>
        <v>432</v>
      </c>
      <c r="ER15" s="679">
        <f t="shared" si="57"/>
        <v>442</v>
      </c>
      <c r="ES15" s="679">
        <f t="shared" si="58"/>
        <v>442</v>
      </c>
      <c r="ET15" s="679">
        <f t="shared" si="59"/>
        <v>442</v>
      </c>
      <c r="EU15" s="679">
        <f t="shared" si="60"/>
        <v>442</v>
      </c>
      <c r="EV15" s="679">
        <f t="shared" si="61"/>
        <v>442</v>
      </c>
      <c r="EW15" s="679">
        <f t="shared" si="62"/>
        <v>442</v>
      </c>
      <c r="EX15" s="679">
        <f t="shared" si="63"/>
        <v>442</v>
      </c>
      <c r="EY15" s="679">
        <f t="shared" si="64"/>
        <v>448</v>
      </c>
    </row>
    <row r="16" spans="1:159" ht="12.75" customHeight="1" x14ac:dyDescent="0.2">
      <c r="B16" s="700" t="str">
        <f>IF(COUNTIF($CK$10:CK16,TRUE)&gt;0,"",INDEX(C_InstallationDescription!$E$226:$E$242,ROWS($A$11:A16)))</f>
        <v/>
      </c>
      <c r="C16" s="581" t="str">
        <f>IF($E16="","",INDEX(C_InstallationDescription!F:F,MATCH($B16,C_InstallationDescription!$E:$E,0)))</f>
        <v/>
      </c>
      <c r="D16" s="581" t="str">
        <f>IF($E16="","",INDEX(C_InstallationDescription!I:I,MATCH($B16,C_InstallationDescription!$E:$E,0)))</f>
        <v/>
      </c>
      <c r="E16" s="581" t="str">
        <f>IF($B16="","",INDEX(C_InstallationDescription!F:F,MATCH($CJ16,C_InstallationDescription!$Q:$Q,0)))</f>
        <v/>
      </c>
      <c r="F16" s="706" t="str">
        <f>IF($E16="","",INDEX(C_InstallationDescription!L:L,MATCH($CJ16,C_InstallationDescription!$Q:$Q,0)))</f>
        <v/>
      </c>
      <c r="G16" s="581" t="str">
        <f>IF($E16="","",INDEX(C_InstallationDescription!M:M,MATCH($CJ16,C_InstallationDescription!$Q:$Q,0)))</f>
        <v/>
      </c>
      <c r="H16" s="581" t="str">
        <f>IF($E16="","",INDEX(C_InstallationDescription!N:N,MATCH($CJ16,C_InstallationDescription!$Q:$Q,0)))</f>
        <v/>
      </c>
      <c r="I16" s="703" t="str">
        <f>IF($E16="","",IF(INDEX(E_SourceStreams!$A:$N,CN16,I$7)="","",INDEX(E_SourceStreams!$A:$N,CN16,I$7)))</f>
        <v/>
      </c>
      <c r="J16" s="703" t="str">
        <f>IF($E16="","",IF(INDEX(E_SourceStreams!$A:$N,CO16,J$7)="","",INDEX(E_SourceStreams!$A:$N,CO16,J$7)))</f>
        <v/>
      </c>
      <c r="K16" s="703" t="str">
        <f>IF($E16="","",IF(INDEX(E_SourceStreams!$A:$N,CP16,K$7)="","",INDEX(E_SourceStreams!$A:$N,CP16,K$7)))</f>
        <v/>
      </c>
      <c r="L16" s="703" t="str">
        <f>IF($E16="","",IF(INDEX(E_SourceStreams!$A:$N,CQ16,L$7)="","",INDEX(E_SourceStreams!$A:$N,CQ16,L$7)))</f>
        <v/>
      </c>
      <c r="M16" s="703" t="str">
        <f>IF($E16="","",IF(INDEX(E_SourceStreams!$A:$N,CR16,M$7)="","",INDEX(E_SourceStreams!$A:$N,CR16,M$7)))</f>
        <v/>
      </c>
      <c r="N16" s="703" t="str">
        <f>IF($E16="","",IF(INDEX(E_SourceStreams!$A:$N,CS16,N$7)="","",INDEX(E_SourceStreams!$A:$N,CS16,N$7)))</f>
        <v/>
      </c>
      <c r="O16" s="703" t="str">
        <f>IF($E16="","",IF(INDEX(E_SourceStreams!$A:$N,CT16,O$7)="","",INDEX(E_SourceStreams!$A:$N,CT16,O$7)))</f>
        <v/>
      </c>
      <c r="P16" s="703" t="str">
        <f>IF($E16="","",IF(INDEX(E_SourceStreams!$A:$N,CU16,P$7)="","",INDEX(E_SourceStreams!$A:$N,CU16,P$7)))</f>
        <v/>
      </c>
      <c r="Q16" s="703" t="str">
        <f>IF($E16="","",IF(INDEX(E_SourceStreams!$A:$N,CV16,Q$7)="","",INDEX(E_SourceStreams!$A:$N,CV16,Q$7)))</f>
        <v/>
      </c>
      <c r="R16" s="703" t="str">
        <f>IF($E16="","",IF(INDEX(E_SourceStreams!$A:$N,CW16,R$7)="","",INDEX(E_SourceStreams!$A:$N,CW16,R$7)))</f>
        <v/>
      </c>
      <c r="S16" s="703" t="str">
        <f>IF($E16="","",IF(INDEX(E_SourceStreams!$A:$N,CX16,S$7)="","",INDEX(E_SourceStreams!$A:$N,CX16,S$7)))</f>
        <v/>
      </c>
      <c r="T16" s="703" t="str">
        <f>IF($E16="","",IF(INDEX(E_SourceStreams!$A:$N,CY16,T$7)="","",INDEX(E_SourceStreams!$A:$N,CY16,T$7)))</f>
        <v/>
      </c>
      <c r="U16" s="703" t="str">
        <f>IF($E16="","",IF(INDEX(E_SourceStreams!$A:$N,CZ16,U$7)="","",INDEX(E_SourceStreams!$A:$N,CZ16,U$7)))</f>
        <v/>
      </c>
      <c r="V16" s="703" t="str">
        <f>IF($E16="","",IF(INDEX(E_SourceStreams!$A:$N,DA16,V$7)="","",INDEX(E_SourceStreams!$A:$N,DA16,V$7)))</f>
        <v/>
      </c>
      <c r="W16" s="704" t="str">
        <f>IF($E16="","",IF(INDEX(E_SourceStreams!$A:$N,DB16,W$7)="","",INDEX(E_SourceStreams!$A:$N,DB16,W$7)))</f>
        <v/>
      </c>
      <c r="X16" s="703" t="str">
        <f>IF($E16="","",IF(INDEX(E_SourceStreams!$A:$N,DC16,X$7)="","",INDEX(E_SourceStreams!$A:$N,DC16,X$7)))</f>
        <v/>
      </c>
      <c r="Y16" s="703" t="str">
        <f>IF($E16="","",IF(INDEX(E_SourceStreams!$A:$N,DD16,Y$7)="","",INDEX(E_SourceStreams!$A:$N,DD16,Y$7)))</f>
        <v/>
      </c>
      <c r="Z16" s="703" t="str">
        <f>IF($E16="","",IF(INDEX(E_SourceStreams!$A:$N,DE16,Z$7)="","",INDEX(E_SourceStreams!$A:$N,DE16,Z$7)))</f>
        <v/>
      </c>
      <c r="AA16" s="703" t="str">
        <f>IF($E16="","",IF(INDEX(E_SourceStreams!$A:$N,DF16,AA$7)="","",INDEX(E_SourceStreams!$A:$N,DF16,AA$7)))</f>
        <v/>
      </c>
      <c r="AB16" s="703" t="str">
        <f>IF($E16="","",IF(INDEX(E_SourceStreams!$A:$N,DG16,AB$7)="","",INDEX(E_SourceStreams!$A:$N,DG16,AB$7)))</f>
        <v/>
      </c>
      <c r="AC16" s="703" t="str">
        <f>IF($E16="","",IF(INDEX(E_SourceStreams!$A:$N,DH16,AC$7)="","",INDEX(E_SourceStreams!$A:$N,DH16,AC$7)))</f>
        <v/>
      </c>
      <c r="AD16" s="703" t="str">
        <f>IF($E16="","",IF(INDEX(E_SourceStreams!$A:$N,DI16,AD$7)="","",INDEX(E_SourceStreams!$A:$N,DI16,AD$7)))</f>
        <v/>
      </c>
      <c r="AE16" s="703" t="str">
        <f>IF($E16="","",IF(INDEX(E_SourceStreams!$A:$N,DJ16,AE$7)="","",INDEX(E_SourceStreams!$A:$N,DJ16,AE$7)))</f>
        <v/>
      </c>
      <c r="AF16" s="703" t="str">
        <f>IF($E16="","",IF(INDEX(E_SourceStreams!$A:$N,DK16,AF$7)="","",INDEX(E_SourceStreams!$A:$N,DK16,AF$7)))</f>
        <v/>
      </c>
      <c r="AG16" s="703" t="str">
        <f>IF($E16="","",IF(INDEX(E_SourceStreams!$A:$N,DL16,AG$7)="","",INDEX(E_SourceStreams!$A:$N,DL16,AG$7)))</f>
        <v/>
      </c>
      <c r="AH16" s="703" t="str">
        <f>IF($E16="","",IF(INDEX(E_SourceStreams!$A:$N,DM16,AH$7)="","",INDEX(E_SourceStreams!$A:$N,DM16,AH$7)))</f>
        <v/>
      </c>
      <c r="AI16" s="703" t="str">
        <f>IF($E16="","",IF(INDEX(E_SourceStreams!$A:$N,DN16,AI$7)="","",INDEX(E_SourceStreams!$A:$N,DN16,AI$7)))</f>
        <v/>
      </c>
      <c r="AJ16" s="703" t="str">
        <f>IF($E16="","",IF(INDEX(E_SourceStreams!$A:$N,DO16,AJ$7)="","",INDEX(E_SourceStreams!$A:$N,DO16,AJ$7)))</f>
        <v/>
      </c>
      <c r="AK16" s="703" t="str">
        <f>IF($E16="","",IF(INDEX(E_SourceStreams!$A:$N,DP16,AK$7)="","",INDEX(E_SourceStreams!$A:$N,DP16,AK$7)))</f>
        <v/>
      </c>
      <c r="AL16" s="703" t="str">
        <f>IF($E16="","",IF(INDEX(E_SourceStreams!$A:$N,DQ16,AL$7)="","",INDEX(E_SourceStreams!$A:$N,DQ16,AL$7)))</f>
        <v/>
      </c>
      <c r="AM16" s="703" t="str">
        <f>IF($E16="","",IF(INDEX(E_SourceStreams!$A:$N,DR16,AM$7)="","",INDEX(E_SourceStreams!$A:$N,DR16,AM$7)))</f>
        <v/>
      </c>
      <c r="AN16" s="703" t="str">
        <f>IF($E16="","",IF(INDEX(E_SourceStreams!$A:$N,DS16,AN$7)="","",INDEX(E_SourceStreams!$A:$N,DS16,AN$7)))</f>
        <v/>
      </c>
      <c r="AO16" s="703" t="str">
        <f>IF($E16="","",IF(INDEX(E_SourceStreams!$A:$N,DT16,AO$7)="","",INDEX(E_SourceStreams!$A:$N,DT16,AO$7)))</f>
        <v/>
      </c>
      <c r="AP16" s="703" t="str">
        <f>IF($E16="","",IF(INDEX(E_SourceStreams!$A:$N,DU16,AP$7)="","",INDEX(E_SourceStreams!$A:$N,DU16,AP$7)))</f>
        <v/>
      </c>
      <c r="AQ16" s="703" t="str">
        <f>IF($E16="","",IF(INDEX(E_SourceStreams!$A:$N,DV16,AQ$7)="","",INDEX(E_SourceStreams!$A:$N,DV16,AQ$7)))</f>
        <v/>
      </c>
      <c r="AR16" s="703" t="str">
        <f>IF($E16="","",IF(INDEX(E_SourceStreams!$A:$N,DW16,AR$7)="","",INDEX(E_SourceStreams!$A:$N,DW16,AR$7)))</f>
        <v/>
      </c>
      <c r="AS16" s="703" t="str">
        <f>IF($E16="","",IF(INDEX(E_SourceStreams!$A:$N,DX16,AS$7)="","",INDEX(E_SourceStreams!$A:$N,DX16,AS$7)))</f>
        <v/>
      </c>
      <c r="AT16" s="703" t="str">
        <f>IF($E16="","",IF(INDEX(E_SourceStreams!$A:$N,DY16,AT$7)="","",INDEX(E_SourceStreams!$A:$N,DY16,AT$7)))</f>
        <v/>
      </c>
      <c r="AU16" s="703" t="str">
        <f>IF($E16="","",IF(INDEX(E_SourceStreams!$A:$N,DZ16,AU$7)="","",INDEX(E_SourceStreams!$A:$N,DZ16,AU$7)))</f>
        <v/>
      </c>
      <c r="AV16" s="703" t="str">
        <f>IF($E16="","",IF(INDEX(E_SourceStreams!$A:$N,EA16,AV$7)="","",INDEX(E_SourceStreams!$A:$N,EA16,AV$7)))</f>
        <v/>
      </c>
      <c r="AW16" s="703" t="str">
        <f>IF($E16="","",IF(INDEX(E_SourceStreams!$A:$N,EB16,AW$7)="","",INDEX(E_SourceStreams!$A:$N,EB16,AW$7)))</f>
        <v/>
      </c>
      <c r="AX16" s="703" t="str">
        <f>IF($E16="","",IF(INDEX(E_SourceStreams!$A:$N,EC16,AX$7)="","",INDEX(E_SourceStreams!$A:$N,EC16,AX$7)))</f>
        <v/>
      </c>
      <c r="AY16" s="703" t="str">
        <f>IF($E16="","",IF(INDEX(E_SourceStreams!$A:$N,ED16,AY$7)="","",INDEX(E_SourceStreams!$A:$N,ED16,AY$7)))</f>
        <v/>
      </c>
      <c r="AZ16" s="703" t="str">
        <f>IF($E16="","",IF(INDEX(E_SourceStreams!$A:$N,EE16,AZ$7)="","",INDEX(E_SourceStreams!$A:$N,EE16,AZ$7)))</f>
        <v/>
      </c>
      <c r="BA16" s="703" t="str">
        <f>IF($E16="","",IF(INDEX(E_SourceStreams!$A:$N,EF16,BA$7)="","",INDEX(E_SourceStreams!$A:$N,EF16,BA$7)))</f>
        <v/>
      </c>
      <c r="BB16" s="703" t="str">
        <f>IF($E16="","",IF(INDEX(E_SourceStreams!$A:$N,EG16,BB$7)="","",INDEX(E_SourceStreams!$A:$N,EG16,BB$7)))</f>
        <v/>
      </c>
      <c r="BC16" s="703" t="str">
        <f>IF($E16="","",IF(INDEX(E_SourceStreams!$A:$N,EH16,BC$7)="","",INDEX(E_SourceStreams!$A:$N,EH16,BC$7)))</f>
        <v/>
      </c>
      <c r="BD16" s="703" t="str">
        <f>IF($E16="","",IF(INDEX(E_SourceStreams!$A:$N,EI16,BD$7)="","",INDEX(E_SourceStreams!$A:$N,EI16,BD$7)))</f>
        <v/>
      </c>
      <c r="BE16" s="703" t="str">
        <f>IF($E16="","",IF(INDEX(E_SourceStreams!$A:$N,EJ16,BE$7)="","",INDEX(E_SourceStreams!$A:$N,EJ16,BE$7)))</f>
        <v/>
      </c>
      <c r="BF16" s="703" t="str">
        <f>IF($E16="","",IF(INDEX(E_SourceStreams!$A:$N,EK16,BF$7)="","",INDEX(E_SourceStreams!$A:$N,EK16,BF$7)))</f>
        <v/>
      </c>
      <c r="BG16" s="703" t="str">
        <f>IF($E16="","",IF(INDEX(E_SourceStreams!$A:$N,EL16,BG$7)="","",INDEX(E_SourceStreams!$A:$N,EL16,BG$7)))</f>
        <v/>
      </c>
      <c r="BH16" s="703" t="str">
        <f>IF($E16="","",IF(INDEX(E_SourceStreams!$A:$N,EM16,BH$7)="","",INDEX(E_SourceStreams!$A:$N,EM16,BH$7)))</f>
        <v/>
      </c>
      <c r="BI16" s="703" t="str">
        <f>IF($E16="","",IF(INDEX(E_SourceStreams!$A:$N,EN16,BI$7)="","",INDEX(E_SourceStreams!$A:$N,EN16,BI$7)))</f>
        <v/>
      </c>
      <c r="BJ16" s="703" t="str">
        <f>IF($E16="","",IF(INDEX(E_SourceStreams!$A:$N,EO16,BJ$7)="","",INDEX(E_SourceStreams!$A:$N,EO16,BJ$7)))</f>
        <v/>
      </c>
      <c r="BK16" s="703" t="str">
        <f>IF($E16="","",IF(INDEX(E_SourceStreams!$A:$N,EP16,BK$7)="","",INDEX(E_SourceStreams!$A:$N,EP16,BK$7)))</f>
        <v/>
      </c>
      <c r="BL16" s="703" t="str">
        <f>IF($E16="","",IF(INDEX(E_SourceStreams!$A:$N,EQ16,BL$7)="","",INDEX(E_SourceStreams!$A:$N,EQ16,BL$7)))</f>
        <v/>
      </c>
      <c r="BM16" s="703" t="str">
        <f>IF($E16="","",IF(INDEX(E_SourceStreams!$A:$N,ER16,BM$7)="","",INDEX(E_SourceStreams!$A:$N,ER16,BM$7)))</f>
        <v/>
      </c>
      <c r="BN16" s="703" t="str">
        <f>IF($E16="","",IF(INDEX(E_SourceStreams!$A:$N,ES16,BN$7)="","",INDEX(E_SourceStreams!$A:$N,ES16,BN$7)))</f>
        <v/>
      </c>
      <c r="BO16" s="703" t="str">
        <f>IF($E16="","",IF(INDEX(E_SourceStreams!$A:$N,ET16,BO$7)="","",INDEX(E_SourceStreams!$A:$N,ET16,BO$7)))</f>
        <v/>
      </c>
      <c r="BP16" s="703" t="str">
        <f>IF($E16="","",IF(INDEX(E_SourceStreams!$A:$N,EU16,BP$7)="","",INDEX(E_SourceStreams!$A:$N,EU16,BP$7)))</f>
        <v/>
      </c>
      <c r="BQ16" s="703" t="str">
        <f>IF($E16="","",IF(INDEX(E_SourceStreams!$A:$N,EV16,BQ$7)="","",INDEX(E_SourceStreams!$A:$N,EV16,BQ$7)))</f>
        <v/>
      </c>
      <c r="BR16" s="703" t="str">
        <f>IF($E16="","",IF(INDEX(E_SourceStreams!$A:$N,EW16,BR$7)="","",INDEX(E_SourceStreams!$A:$N,EW16,BR$7)))</f>
        <v/>
      </c>
      <c r="BS16" s="703" t="str">
        <f>IF($E16="","",IF(INDEX(E_SourceStreams!$A:$N,EX16,BS$7)="","",INDEX(E_SourceStreams!$A:$N,EX16,BS$7)))</f>
        <v/>
      </c>
      <c r="BT16" s="703" t="str">
        <f>IF($E16="","",IF(INDEX(E_SourceStreams!$A:$N,EY16,BT$7)="","",INDEX(E_SourceStreams!$A:$N,EY16,BT$7)))</f>
        <v/>
      </c>
      <c r="BU16" s="625"/>
      <c r="CJ16" s="679" t="str">
        <f t="shared" si="0"/>
        <v>SourceCategory_</v>
      </c>
      <c r="CK16" s="679" t="b">
        <f>INDEX(C_InstallationDescription!$A$226:$A$332,ROWS($CI$11:CI16))="ausblenden"</f>
        <v>0</v>
      </c>
      <c r="CL16" s="679" t="str">
        <f t="shared" si="1"/>
        <v>SourceStreamName_</v>
      </c>
      <c r="CN16" s="679">
        <f t="shared" si="65"/>
        <v>465</v>
      </c>
      <c r="CO16" s="679">
        <f t="shared" si="2"/>
        <v>467</v>
      </c>
      <c r="CP16" s="679">
        <f t="shared" si="3"/>
        <v>469</v>
      </c>
      <c r="CQ16" s="679">
        <f t="shared" si="4"/>
        <v>471</v>
      </c>
      <c r="CR16" s="679">
        <f t="shared" si="5"/>
        <v>473</v>
      </c>
      <c r="CS16" s="679">
        <f t="shared" si="6"/>
        <v>475</v>
      </c>
      <c r="CT16" s="679">
        <f t="shared" si="7"/>
        <v>477</v>
      </c>
      <c r="CU16" s="679">
        <f t="shared" si="8"/>
        <v>477</v>
      </c>
      <c r="CV16" s="679">
        <f t="shared" si="9"/>
        <v>477</v>
      </c>
      <c r="CW16" s="679">
        <f t="shared" si="10"/>
        <v>477</v>
      </c>
      <c r="CX16" s="679">
        <f t="shared" si="11"/>
        <v>477</v>
      </c>
      <c r="CY16" s="679">
        <f t="shared" si="12"/>
        <v>480</v>
      </c>
      <c r="CZ16" s="679">
        <f t="shared" si="13"/>
        <v>484</v>
      </c>
      <c r="DA16" s="679">
        <f t="shared" si="14"/>
        <v>485</v>
      </c>
      <c r="DB16" s="679">
        <f t="shared" si="15"/>
        <v>486</v>
      </c>
      <c r="DC16" s="679">
        <f t="shared" si="16"/>
        <v>493</v>
      </c>
      <c r="DD16" s="679">
        <f t="shared" si="17"/>
        <v>503</v>
      </c>
      <c r="DE16" s="679">
        <f t="shared" si="18"/>
        <v>503</v>
      </c>
      <c r="DF16" s="679">
        <f t="shared" si="19"/>
        <v>503</v>
      </c>
      <c r="DG16" s="679">
        <f t="shared" si="20"/>
        <v>503</v>
      </c>
      <c r="DH16" s="679">
        <f t="shared" si="21"/>
        <v>503</v>
      </c>
      <c r="DI16" s="679">
        <f t="shared" si="22"/>
        <v>503</v>
      </c>
      <c r="DJ16" s="679">
        <f t="shared" si="23"/>
        <v>503</v>
      </c>
      <c r="DK16" s="679">
        <f t="shared" si="24"/>
        <v>494</v>
      </c>
      <c r="DL16" s="679">
        <f t="shared" si="25"/>
        <v>504</v>
      </c>
      <c r="DM16" s="679">
        <f t="shared" si="26"/>
        <v>504</v>
      </c>
      <c r="DN16" s="679">
        <f t="shared" si="27"/>
        <v>504</v>
      </c>
      <c r="DO16" s="679">
        <f t="shared" si="28"/>
        <v>504</v>
      </c>
      <c r="DP16" s="679">
        <f t="shared" si="29"/>
        <v>504</v>
      </c>
      <c r="DQ16" s="679">
        <f t="shared" si="30"/>
        <v>504</v>
      </c>
      <c r="DR16" s="679">
        <f t="shared" si="31"/>
        <v>504</v>
      </c>
      <c r="DS16" s="679">
        <f t="shared" si="32"/>
        <v>495</v>
      </c>
      <c r="DT16" s="679">
        <f t="shared" si="33"/>
        <v>505</v>
      </c>
      <c r="DU16" s="679">
        <f t="shared" si="34"/>
        <v>505</v>
      </c>
      <c r="DV16" s="679">
        <f t="shared" si="35"/>
        <v>505</v>
      </c>
      <c r="DW16" s="679">
        <f t="shared" si="36"/>
        <v>505</v>
      </c>
      <c r="DX16" s="679">
        <f t="shared" si="37"/>
        <v>505</v>
      </c>
      <c r="DY16" s="679">
        <f t="shared" si="38"/>
        <v>505</v>
      </c>
      <c r="DZ16" s="679">
        <f t="shared" si="39"/>
        <v>505</v>
      </c>
      <c r="EA16" s="679">
        <f t="shared" si="40"/>
        <v>496</v>
      </c>
      <c r="EB16" s="679">
        <f t="shared" si="41"/>
        <v>506</v>
      </c>
      <c r="EC16" s="679">
        <f t="shared" si="42"/>
        <v>506</v>
      </c>
      <c r="ED16" s="679">
        <f t="shared" si="43"/>
        <v>506</v>
      </c>
      <c r="EE16" s="679">
        <f t="shared" si="44"/>
        <v>506</v>
      </c>
      <c r="EF16" s="679">
        <f t="shared" si="45"/>
        <v>506</v>
      </c>
      <c r="EG16" s="679">
        <f t="shared" si="46"/>
        <v>506</v>
      </c>
      <c r="EH16" s="679">
        <f t="shared" si="47"/>
        <v>506</v>
      </c>
      <c r="EI16" s="679">
        <f t="shared" si="48"/>
        <v>497</v>
      </c>
      <c r="EJ16" s="679">
        <f t="shared" si="49"/>
        <v>507</v>
      </c>
      <c r="EK16" s="679">
        <f t="shared" si="50"/>
        <v>507</v>
      </c>
      <c r="EL16" s="679">
        <f t="shared" si="51"/>
        <v>507</v>
      </c>
      <c r="EM16" s="679">
        <f t="shared" si="52"/>
        <v>507</v>
      </c>
      <c r="EN16" s="679">
        <f t="shared" si="53"/>
        <v>507</v>
      </c>
      <c r="EO16" s="679">
        <f t="shared" si="54"/>
        <v>507</v>
      </c>
      <c r="EP16" s="679">
        <f t="shared" si="55"/>
        <v>507</v>
      </c>
      <c r="EQ16" s="679">
        <f t="shared" si="56"/>
        <v>498</v>
      </c>
      <c r="ER16" s="679">
        <f t="shared" si="57"/>
        <v>508</v>
      </c>
      <c r="ES16" s="679">
        <f t="shared" si="58"/>
        <v>508</v>
      </c>
      <c r="ET16" s="679">
        <f t="shared" si="59"/>
        <v>508</v>
      </c>
      <c r="EU16" s="679">
        <f t="shared" si="60"/>
        <v>508</v>
      </c>
      <c r="EV16" s="679">
        <f t="shared" si="61"/>
        <v>508</v>
      </c>
      <c r="EW16" s="679">
        <f t="shared" si="62"/>
        <v>508</v>
      </c>
      <c r="EX16" s="679">
        <f t="shared" si="63"/>
        <v>508</v>
      </c>
      <c r="EY16" s="679">
        <f t="shared" si="64"/>
        <v>514</v>
      </c>
    </row>
    <row r="17" spans="2:155" ht="12.75" customHeight="1" x14ac:dyDescent="0.2">
      <c r="B17" s="700" t="str">
        <f>IF(COUNTIF($CK$10:CK17,TRUE)&gt;0,"",INDEX(C_InstallationDescription!$E$226:$E$242,ROWS($A$11:A17)))</f>
        <v/>
      </c>
      <c r="C17" s="581" t="str">
        <f>IF($E17="","",INDEX(C_InstallationDescription!F:F,MATCH($B17,C_InstallationDescription!$E:$E,0)))</f>
        <v/>
      </c>
      <c r="D17" s="581" t="str">
        <f>IF($E17="","",INDEX(C_InstallationDescription!I:I,MATCH($B17,C_InstallationDescription!$E:$E,0)))</f>
        <v/>
      </c>
      <c r="E17" s="581" t="str">
        <f>IF($B17="","",INDEX(C_InstallationDescription!F:F,MATCH($CJ17,C_InstallationDescription!$Q:$Q,0)))</f>
        <v/>
      </c>
      <c r="F17" s="706" t="str">
        <f>IF($E17="","",INDEX(C_InstallationDescription!L:L,MATCH($CJ17,C_InstallationDescription!$Q:$Q,0)))</f>
        <v/>
      </c>
      <c r="G17" s="581" t="str">
        <f>IF($E17="","",INDEX(C_InstallationDescription!M:M,MATCH($CJ17,C_InstallationDescription!$Q:$Q,0)))</f>
        <v/>
      </c>
      <c r="H17" s="581" t="str">
        <f>IF($E17="","",INDEX(C_InstallationDescription!N:N,MATCH($CJ17,C_InstallationDescription!$Q:$Q,0)))</f>
        <v/>
      </c>
      <c r="I17" s="703" t="str">
        <f>IF($E17="","",IF(INDEX(E_SourceStreams!$A:$N,CN17,I$7)="","",INDEX(E_SourceStreams!$A:$N,CN17,I$7)))</f>
        <v/>
      </c>
      <c r="J17" s="703" t="str">
        <f>IF($E17="","",IF(INDEX(E_SourceStreams!$A:$N,CO17,J$7)="","",INDEX(E_SourceStreams!$A:$N,CO17,J$7)))</f>
        <v/>
      </c>
      <c r="K17" s="703" t="str">
        <f>IF($E17="","",IF(INDEX(E_SourceStreams!$A:$N,CP17,K$7)="","",INDEX(E_SourceStreams!$A:$N,CP17,K$7)))</f>
        <v/>
      </c>
      <c r="L17" s="703" t="str">
        <f>IF($E17="","",IF(INDEX(E_SourceStreams!$A:$N,CQ17,L$7)="","",INDEX(E_SourceStreams!$A:$N,CQ17,L$7)))</f>
        <v/>
      </c>
      <c r="M17" s="703" t="str">
        <f>IF($E17="","",IF(INDEX(E_SourceStreams!$A:$N,CR17,M$7)="","",INDEX(E_SourceStreams!$A:$N,CR17,M$7)))</f>
        <v/>
      </c>
      <c r="N17" s="703" t="str">
        <f>IF($E17="","",IF(INDEX(E_SourceStreams!$A:$N,CS17,N$7)="","",INDEX(E_SourceStreams!$A:$N,CS17,N$7)))</f>
        <v/>
      </c>
      <c r="O17" s="703" t="str">
        <f>IF($E17="","",IF(INDEX(E_SourceStreams!$A:$N,CT17,O$7)="","",INDEX(E_SourceStreams!$A:$N,CT17,O$7)))</f>
        <v/>
      </c>
      <c r="P17" s="703" t="str">
        <f>IF($E17="","",IF(INDEX(E_SourceStreams!$A:$N,CU17,P$7)="","",INDEX(E_SourceStreams!$A:$N,CU17,P$7)))</f>
        <v/>
      </c>
      <c r="Q17" s="703" t="str">
        <f>IF($E17="","",IF(INDEX(E_SourceStreams!$A:$N,CV17,Q$7)="","",INDEX(E_SourceStreams!$A:$N,CV17,Q$7)))</f>
        <v/>
      </c>
      <c r="R17" s="703" t="str">
        <f>IF($E17="","",IF(INDEX(E_SourceStreams!$A:$N,CW17,R$7)="","",INDEX(E_SourceStreams!$A:$N,CW17,R$7)))</f>
        <v/>
      </c>
      <c r="S17" s="703" t="str">
        <f>IF($E17="","",IF(INDEX(E_SourceStreams!$A:$N,CX17,S$7)="","",INDEX(E_SourceStreams!$A:$N,CX17,S$7)))</f>
        <v/>
      </c>
      <c r="T17" s="703" t="str">
        <f>IF($E17="","",IF(INDEX(E_SourceStreams!$A:$N,CY17,T$7)="","",INDEX(E_SourceStreams!$A:$N,CY17,T$7)))</f>
        <v/>
      </c>
      <c r="U17" s="703" t="str">
        <f>IF($E17="","",IF(INDEX(E_SourceStreams!$A:$N,CZ17,U$7)="","",INDEX(E_SourceStreams!$A:$N,CZ17,U$7)))</f>
        <v/>
      </c>
      <c r="V17" s="703" t="str">
        <f>IF($E17="","",IF(INDEX(E_SourceStreams!$A:$N,DA17,V$7)="","",INDEX(E_SourceStreams!$A:$N,DA17,V$7)))</f>
        <v/>
      </c>
      <c r="W17" s="704" t="str">
        <f>IF($E17="","",IF(INDEX(E_SourceStreams!$A:$N,DB17,W$7)="","",INDEX(E_SourceStreams!$A:$N,DB17,W$7)))</f>
        <v/>
      </c>
      <c r="X17" s="703" t="str">
        <f>IF($E17="","",IF(INDEX(E_SourceStreams!$A:$N,DC17,X$7)="","",INDEX(E_SourceStreams!$A:$N,DC17,X$7)))</f>
        <v/>
      </c>
      <c r="Y17" s="703" t="str">
        <f>IF($E17="","",IF(INDEX(E_SourceStreams!$A:$N,DD17,Y$7)="","",INDEX(E_SourceStreams!$A:$N,DD17,Y$7)))</f>
        <v/>
      </c>
      <c r="Z17" s="703" t="str">
        <f>IF($E17="","",IF(INDEX(E_SourceStreams!$A:$N,DE17,Z$7)="","",INDEX(E_SourceStreams!$A:$N,DE17,Z$7)))</f>
        <v/>
      </c>
      <c r="AA17" s="703" t="str">
        <f>IF($E17="","",IF(INDEX(E_SourceStreams!$A:$N,DF17,AA$7)="","",INDEX(E_SourceStreams!$A:$N,DF17,AA$7)))</f>
        <v/>
      </c>
      <c r="AB17" s="703" t="str">
        <f>IF($E17="","",IF(INDEX(E_SourceStreams!$A:$N,DG17,AB$7)="","",INDEX(E_SourceStreams!$A:$N,DG17,AB$7)))</f>
        <v/>
      </c>
      <c r="AC17" s="703" t="str">
        <f>IF($E17="","",IF(INDEX(E_SourceStreams!$A:$N,DH17,AC$7)="","",INDEX(E_SourceStreams!$A:$N,DH17,AC$7)))</f>
        <v/>
      </c>
      <c r="AD17" s="703" t="str">
        <f>IF($E17="","",IF(INDEX(E_SourceStreams!$A:$N,DI17,AD$7)="","",INDEX(E_SourceStreams!$A:$N,DI17,AD$7)))</f>
        <v/>
      </c>
      <c r="AE17" s="703" t="str">
        <f>IF($E17="","",IF(INDEX(E_SourceStreams!$A:$N,DJ17,AE$7)="","",INDEX(E_SourceStreams!$A:$N,DJ17,AE$7)))</f>
        <v/>
      </c>
      <c r="AF17" s="703" t="str">
        <f>IF($E17="","",IF(INDEX(E_SourceStreams!$A:$N,DK17,AF$7)="","",INDEX(E_SourceStreams!$A:$N,DK17,AF$7)))</f>
        <v/>
      </c>
      <c r="AG17" s="703" t="str">
        <f>IF($E17="","",IF(INDEX(E_SourceStreams!$A:$N,DL17,AG$7)="","",INDEX(E_SourceStreams!$A:$N,DL17,AG$7)))</f>
        <v/>
      </c>
      <c r="AH17" s="703" t="str">
        <f>IF($E17="","",IF(INDEX(E_SourceStreams!$A:$N,DM17,AH$7)="","",INDEX(E_SourceStreams!$A:$N,DM17,AH$7)))</f>
        <v/>
      </c>
      <c r="AI17" s="703" t="str">
        <f>IF($E17="","",IF(INDEX(E_SourceStreams!$A:$N,DN17,AI$7)="","",INDEX(E_SourceStreams!$A:$N,DN17,AI$7)))</f>
        <v/>
      </c>
      <c r="AJ17" s="703" t="str">
        <f>IF($E17="","",IF(INDEX(E_SourceStreams!$A:$N,DO17,AJ$7)="","",INDEX(E_SourceStreams!$A:$N,DO17,AJ$7)))</f>
        <v/>
      </c>
      <c r="AK17" s="703" t="str">
        <f>IF($E17="","",IF(INDEX(E_SourceStreams!$A:$N,DP17,AK$7)="","",INDEX(E_SourceStreams!$A:$N,DP17,AK$7)))</f>
        <v/>
      </c>
      <c r="AL17" s="703" t="str">
        <f>IF($E17="","",IF(INDEX(E_SourceStreams!$A:$N,DQ17,AL$7)="","",INDEX(E_SourceStreams!$A:$N,DQ17,AL$7)))</f>
        <v/>
      </c>
      <c r="AM17" s="703" t="str">
        <f>IF($E17="","",IF(INDEX(E_SourceStreams!$A:$N,DR17,AM$7)="","",INDEX(E_SourceStreams!$A:$N,DR17,AM$7)))</f>
        <v/>
      </c>
      <c r="AN17" s="703" t="str">
        <f>IF($E17="","",IF(INDEX(E_SourceStreams!$A:$N,DS17,AN$7)="","",INDEX(E_SourceStreams!$A:$N,DS17,AN$7)))</f>
        <v/>
      </c>
      <c r="AO17" s="703" t="str">
        <f>IF($E17="","",IF(INDEX(E_SourceStreams!$A:$N,DT17,AO$7)="","",INDEX(E_SourceStreams!$A:$N,DT17,AO$7)))</f>
        <v/>
      </c>
      <c r="AP17" s="703" t="str">
        <f>IF($E17="","",IF(INDEX(E_SourceStreams!$A:$N,DU17,AP$7)="","",INDEX(E_SourceStreams!$A:$N,DU17,AP$7)))</f>
        <v/>
      </c>
      <c r="AQ17" s="703" t="str">
        <f>IF($E17="","",IF(INDEX(E_SourceStreams!$A:$N,DV17,AQ$7)="","",INDEX(E_SourceStreams!$A:$N,DV17,AQ$7)))</f>
        <v/>
      </c>
      <c r="AR17" s="703" t="str">
        <f>IF($E17="","",IF(INDEX(E_SourceStreams!$A:$N,DW17,AR$7)="","",INDEX(E_SourceStreams!$A:$N,DW17,AR$7)))</f>
        <v/>
      </c>
      <c r="AS17" s="703" t="str">
        <f>IF($E17="","",IF(INDEX(E_SourceStreams!$A:$N,DX17,AS$7)="","",INDEX(E_SourceStreams!$A:$N,DX17,AS$7)))</f>
        <v/>
      </c>
      <c r="AT17" s="703" t="str">
        <f>IF($E17="","",IF(INDEX(E_SourceStreams!$A:$N,DY17,AT$7)="","",INDEX(E_SourceStreams!$A:$N,DY17,AT$7)))</f>
        <v/>
      </c>
      <c r="AU17" s="703" t="str">
        <f>IF($E17="","",IF(INDEX(E_SourceStreams!$A:$N,DZ17,AU$7)="","",INDEX(E_SourceStreams!$A:$N,DZ17,AU$7)))</f>
        <v/>
      </c>
      <c r="AV17" s="703" t="str">
        <f>IF($E17="","",IF(INDEX(E_SourceStreams!$A:$N,EA17,AV$7)="","",INDEX(E_SourceStreams!$A:$N,EA17,AV$7)))</f>
        <v/>
      </c>
      <c r="AW17" s="703" t="str">
        <f>IF($E17="","",IF(INDEX(E_SourceStreams!$A:$N,EB17,AW$7)="","",INDEX(E_SourceStreams!$A:$N,EB17,AW$7)))</f>
        <v/>
      </c>
      <c r="AX17" s="703" t="str">
        <f>IF($E17="","",IF(INDEX(E_SourceStreams!$A:$N,EC17,AX$7)="","",INDEX(E_SourceStreams!$A:$N,EC17,AX$7)))</f>
        <v/>
      </c>
      <c r="AY17" s="703" t="str">
        <f>IF($E17="","",IF(INDEX(E_SourceStreams!$A:$N,ED17,AY$7)="","",INDEX(E_SourceStreams!$A:$N,ED17,AY$7)))</f>
        <v/>
      </c>
      <c r="AZ17" s="703" t="str">
        <f>IF($E17="","",IF(INDEX(E_SourceStreams!$A:$N,EE17,AZ$7)="","",INDEX(E_SourceStreams!$A:$N,EE17,AZ$7)))</f>
        <v/>
      </c>
      <c r="BA17" s="703" t="str">
        <f>IF($E17="","",IF(INDEX(E_SourceStreams!$A:$N,EF17,BA$7)="","",INDEX(E_SourceStreams!$A:$N,EF17,BA$7)))</f>
        <v/>
      </c>
      <c r="BB17" s="703" t="str">
        <f>IF($E17="","",IF(INDEX(E_SourceStreams!$A:$N,EG17,BB$7)="","",INDEX(E_SourceStreams!$A:$N,EG17,BB$7)))</f>
        <v/>
      </c>
      <c r="BC17" s="703" t="str">
        <f>IF($E17="","",IF(INDEX(E_SourceStreams!$A:$N,EH17,BC$7)="","",INDEX(E_SourceStreams!$A:$N,EH17,BC$7)))</f>
        <v/>
      </c>
      <c r="BD17" s="703" t="str">
        <f>IF($E17="","",IF(INDEX(E_SourceStreams!$A:$N,EI17,BD$7)="","",INDEX(E_SourceStreams!$A:$N,EI17,BD$7)))</f>
        <v/>
      </c>
      <c r="BE17" s="703" t="str">
        <f>IF($E17="","",IF(INDEX(E_SourceStreams!$A:$N,EJ17,BE$7)="","",INDEX(E_SourceStreams!$A:$N,EJ17,BE$7)))</f>
        <v/>
      </c>
      <c r="BF17" s="703" t="str">
        <f>IF($E17="","",IF(INDEX(E_SourceStreams!$A:$N,EK17,BF$7)="","",INDEX(E_SourceStreams!$A:$N,EK17,BF$7)))</f>
        <v/>
      </c>
      <c r="BG17" s="703" t="str">
        <f>IF($E17="","",IF(INDEX(E_SourceStreams!$A:$N,EL17,BG$7)="","",INDEX(E_SourceStreams!$A:$N,EL17,BG$7)))</f>
        <v/>
      </c>
      <c r="BH17" s="703" t="str">
        <f>IF($E17="","",IF(INDEX(E_SourceStreams!$A:$N,EM17,BH$7)="","",INDEX(E_SourceStreams!$A:$N,EM17,BH$7)))</f>
        <v/>
      </c>
      <c r="BI17" s="703" t="str">
        <f>IF($E17="","",IF(INDEX(E_SourceStreams!$A:$N,EN17,BI$7)="","",INDEX(E_SourceStreams!$A:$N,EN17,BI$7)))</f>
        <v/>
      </c>
      <c r="BJ17" s="703" t="str">
        <f>IF($E17="","",IF(INDEX(E_SourceStreams!$A:$N,EO17,BJ$7)="","",INDEX(E_SourceStreams!$A:$N,EO17,BJ$7)))</f>
        <v/>
      </c>
      <c r="BK17" s="703" t="str">
        <f>IF($E17="","",IF(INDEX(E_SourceStreams!$A:$N,EP17,BK$7)="","",INDEX(E_SourceStreams!$A:$N,EP17,BK$7)))</f>
        <v/>
      </c>
      <c r="BL17" s="703" t="str">
        <f>IF($E17="","",IF(INDEX(E_SourceStreams!$A:$N,EQ17,BL$7)="","",INDEX(E_SourceStreams!$A:$N,EQ17,BL$7)))</f>
        <v/>
      </c>
      <c r="BM17" s="703" t="str">
        <f>IF($E17="","",IF(INDEX(E_SourceStreams!$A:$N,ER17,BM$7)="","",INDEX(E_SourceStreams!$A:$N,ER17,BM$7)))</f>
        <v/>
      </c>
      <c r="BN17" s="703" t="str">
        <f>IF($E17="","",IF(INDEX(E_SourceStreams!$A:$N,ES17,BN$7)="","",INDEX(E_SourceStreams!$A:$N,ES17,BN$7)))</f>
        <v/>
      </c>
      <c r="BO17" s="703" t="str">
        <f>IF($E17="","",IF(INDEX(E_SourceStreams!$A:$N,ET17,BO$7)="","",INDEX(E_SourceStreams!$A:$N,ET17,BO$7)))</f>
        <v/>
      </c>
      <c r="BP17" s="703" t="str">
        <f>IF($E17="","",IF(INDEX(E_SourceStreams!$A:$N,EU17,BP$7)="","",INDEX(E_SourceStreams!$A:$N,EU17,BP$7)))</f>
        <v/>
      </c>
      <c r="BQ17" s="703" t="str">
        <f>IF($E17="","",IF(INDEX(E_SourceStreams!$A:$N,EV17,BQ$7)="","",INDEX(E_SourceStreams!$A:$N,EV17,BQ$7)))</f>
        <v/>
      </c>
      <c r="BR17" s="703" t="str">
        <f>IF($E17="","",IF(INDEX(E_SourceStreams!$A:$N,EW17,BR$7)="","",INDEX(E_SourceStreams!$A:$N,EW17,BR$7)))</f>
        <v/>
      </c>
      <c r="BS17" s="703" t="str">
        <f>IF($E17="","",IF(INDEX(E_SourceStreams!$A:$N,EX17,BS$7)="","",INDEX(E_SourceStreams!$A:$N,EX17,BS$7)))</f>
        <v/>
      </c>
      <c r="BT17" s="703" t="str">
        <f>IF($E17="","",IF(INDEX(E_SourceStreams!$A:$N,EY17,BT$7)="","",INDEX(E_SourceStreams!$A:$N,EY17,BT$7)))</f>
        <v/>
      </c>
      <c r="BU17" s="625"/>
      <c r="CJ17" s="679" t="str">
        <f t="shared" si="0"/>
        <v>SourceCategory_</v>
      </c>
      <c r="CK17" s="679" t="b">
        <f>INDEX(C_InstallationDescription!$A$226:$A$332,ROWS($CI$11:CI17))="ausblenden"</f>
        <v>0</v>
      </c>
      <c r="CL17" s="679" t="str">
        <f t="shared" si="1"/>
        <v>SourceStreamName_</v>
      </c>
      <c r="CN17" s="679">
        <f t="shared" si="65"/>
        <v>531</v>
      </c>
      <c r="CO17" s="679">
        <f t="shared" si="2"/>
        <v>533</v>
      </c>
      <c r="CP17" s="679">
        <f t="shared" si="3"/>
        <v>535</v>
      </c>
      <c r="CQ17" s="679">
        <f t="shared" si="4"/>
        <v>537</v>
      </c>
      <c r="CR17" s="679">
        <f t="shared" si="5"/>
        <v>539</v>
      </c>
      <c r="CS17" s="679">
        <f t="shared" si="6"/>
        <v>541</v>
      </c>
      <c r="CT17" s="679">
        <f t="shared" si="7"/>
        <v>543</v>
      </c>
      <c r="CU17" s="679">
        <f t="shared" si="8"/>
        <v>543</v>
      </c>
      <c r="CV17" s="679">
        <f t="shared" si="9"/>
        <v>543</v>
      </c>
      <c r="CW17" s="679">
        <f t="shared" si="10"/>
        <v>543</v>
      </c>
      <c r="CX17" s="679">
        <f t="shared" si="11"/>
        <v>543</v>
      </c>
      <c r="CY17" s="679">
        <f t="shared" si="12"/>
        <v>546</v>
      </c>
      <c r="CZ17" s="679">
        <f t="shared" si="13"/>
        <v>550</v>
      </c>
      <c r="DA17" s="679">
        <f t="shared" si="14"/>
        <v>551</v>
      </c>
      <c r="DB17" s="679">
        <f t="shared" si="15"/>
        <v>552</v>
      </c>
      <c r="DC17" s="679">
        <f t="shared" si="16"/>
        <v>559</v>
      </c>
      <c r="DD17" s="679">
        <f t="shared" si="17"/>
        <v>569</v>
      </c>
      <c r="DE17" s="679">
        <f t="shared" si="18"/>
        <v>569</v>
      </c>
      <c r="DF17" s="679">
        <f t="shared" si="19"/>
        <v>569</v>
      </c>
      <c r="DG17" s="679">
        <f t="shared" si="20"/>
        <v>569</v>
      </c>
      <c r="DH17" s="679">
        <f t="shared" si="21"/>
        <v>569</v>
      </c>
      <c r="DI17" s="679">
        <f t="shared" si="22"/>
        <v>569</v>
      </c>
      <c r="DJ17" s="679">
        <f t="shared" si="23"/>
        <v>569</v>
      </c>
      <c r="DK17" s="679">
        <f t="shared" si="24"/>
        <v>560</v>
      </c>
      <c r="DL17" s="679">
        <f t="shared" si="25"/>
        <v>570</v>
      </c>
      <c r="DM17" s="679">
        <f t="shared" si="26"/>
        <v>570</v>
      </c>
      <c r="DN17" s="679">
        <f t="shared" si="27"/>
        <v>570</v>
      </c>
      <c r="DO17" s="679">
        <f t="shared" si="28"/>
        <v>570</v>
      </c>
      <c r="DP17" s="679">
        <f t="shared" si="29"/>
        <v>570</v>
      </c>
      <c r="DQ17" s="679">
        <f t="shared" si="30"/>
        <v>570</v>
      </c>
      <c r="DR17" s="679">
        <f t="shared" si="31"/>
        <v>570</v>
      </c>
      <c r="DS17" s="679">
        <f t="shared" si="32"/>
        <v>561</v>
      </c>
      <c r="DT17" s="679">
        <f t="shared" si="33"/>
        <v>571</v>
      </c>
      <c r="DU17" s="679">
        <f t="shared" si="34"/>
        <v>571</v>
      </c>
      <c r="DV17" s="679">
        <f t="shared" si="35"/>
        <v>571</v>
      </c>
      <c r="DW17" s="679">
        <f t="shared" si="36"/>
        <v>571</v>
      </c>
      <c r="DX17" s="679">
        <f t="shared" si="37"/>
        <v>571</v>
      </c>
      <c r="DY17" s="679">
        <f t="shared" si="38"/>
        <v>571</v>
      </c>
      <c r="DZ17" s="679">
        <f t="shared" si="39"/>
        <v>571</v>
      </c>
      <c r="EA17" s="679">
        <f t="shared" si="40"/>
        <v>562</v>
      </c>
      <c r="EB17" s="679">
        <f t="shared" si="41"/>
        <v>572</v>
      </c>
      <c r="EC17" s="679">
        <f t="shared" si="42"/>
        <v>572</v>
      </c>
      <c r="ED17" s="679">
        <f t="shared" si="43"/>
        <v>572</v>
      </c>
      <c r="EE17" s="679">
        <f t="shared" si="44"/>
        <v>572</v>
      </c>
      <c r="EF17" s="679">
        <f t="shared" si="45"/>
        <v>572</v>
      </c>
      <c r="EG17" s="679">
        <f t="shared" si="46"/>
        <v>572</v>
      </c>
      <c r="EH17" s="679">
        <f t="shared" si="47"/>
        <v>572</v>
      </c>
      <c r="EI17" s="679">
        <f t="shared" si="48"/>
        <v>563</v>
      </c>
      <c r="EJ17" s="679">
        <f t="shared" si="49"/>
        <v>573</v>
      </c>
      <c r="EK17" s="679">
        <f t="shared" si="50"/>
        <v>573</v>
      </c>
      <c r="EL17" s="679">
        <f t="shared" si="51"/>
        <v>573</v>
      </c>
      <c r="EM17" s="679">
        <f t="shared" si="52"/>
        <v>573</v>
      </c>
      <c r="EN17" s="679">
        <f t="shared" si="53"/>
        <v>573</v>
      </c>
      <c r="EO17" s="679">
        <f t="shared" si="54"/>
        <v>573</v>
      </c>
      <c r="EP17" s="679">
        <f t="shared" si="55"/>
        <v>573</v>
      </c>
      <c r="EQ17" s="679">
        <f t="shared" si="56"/>
        <v>564</v>
      </c>
      <c r="ER17" s="679">
        <f t="shared" si="57"/>
        <v>574</v>
      </c>
      <c r="ES17" s="679">
        <f t="shared" si="58"/>
        <v>574</v>
      </c>
      <c r="ET17" s="679">
        <f t="shared" si="59"/>
        <v>574</v>
      </c>
      <c r="EU17" s="679">
        <f t="shared" si="60"/>
        <v>574</v>
      </c>
      <c r="EV17" s="679">
        <f t="shared" si="61"/>
        <v>574</v>
      </c>
      <c r="EW17" s="679">
        <f t="shared" si="62"/>
        <v>574</v>
      </c>
      <c r="EX17" s="679">
        <f t="shared" si="63"/>
        <v>574</v>
      </c>
      <c r="EY17" s="679">
        <f t="shared" si="64"/>
        <v>580</v>
      </c>
    </row>
    <row r="18" spans="2:155" ht="12.75" customHeight="1" x14ac:dyDescent="0.2">
      <c r="B18" s="700" t="str">
        <f>IF(COUNTIF($CK$10:CK18,TRUE)&gt;0,"",INDEX(C_InstallationDescription!$E$226:$E$242,ROWS($A$11:A18)))</f>
        <v/>
      </c>
      <c r="C18" s="581" t="str">
        <f>IF($E18="","",INDEX(C_InstallationDescription!F:F,MATCH($B18,C_InstallationDescription!$E:$E,0)))</f>
        <v/>
      </c>
      <c r="D18" s="581" t="str">
        <f>IF($E18="","",INDEX(C_InstallationDescription!I:I,MATCH($B18,C_InstallationDescription!$E:$E,0)))</f>
        <v/>
      </c>
      <c r="E18" s="581" t="str">
        <f>IF($B18="","",INDEX(C_InstallationDescription!F:F,MATCH($CJ18,C_InstallationDescription!$Q:$Q,0)))</f>
        <v/>
      </c>
      <c r="F18" s="706" t="str">
        <f>IF($E18="","",INDEX(C_InstallationDescription!L:L,MATCH($CJ18,C_InstallationDescription!$Q:$Q,0)))</f>
        <v/>
      </c>
      <c r="G18" s="581" t="str">
        <f>IF($E18="","",INDEX(C_InstallationDescription!M:M,MATCH($CJ18,C_InstallationDescription!$Q:$Q,0)))</f>
        <v/>
      </c>
      <c r="H18" s="581" t="str">
        <f>IF($E18="","",INDEX(C_InstallationDescription!N:N,MATCH($CJ18,C_InstallationDescription!$Q:$Q,0)))</f>
        <v/>
      </c>
      <c r="I18" s="703" t="str">
        <f>IF($E18="","",IF(INDEX(E_SourceStreams!$A:$N,CN18,I$7)="","",INDEX(E_SourceStreams!$A:$N,CN18,I$7)))</f>
        <v/>
      </c>
      <c r="J18" s="703" t="str">
        <f>IF($E18="","",IF(INDEX(E_SourceStreams!$A:$N,CO18,J$7)="","",INDEX(E_SourceStreams!$A:$N,CO18,J$7)))</f>
        <v/>
      </c>
      <c r="K18" s="703" t="str">
        <f>IF($E18="","",IF(INDEX(E_SourceStreams!$A:$N,CP18,K$7)="","",INDEX(E_SourceStreams!$A:$N,CP18,K$7)))</f>
        <v/>
      </c>
      <c r="L18" s="703" t="str">
        <f>IF($E18="","",IF(INDEX(E_SourceStreams!$A:$N,CQ18,L$7)="","",INDEX(E_SourceStreams!$A:$N,CQ18,L$7)))</f>
        <v/>
      </c>
      <c r="M18" s="703" t="str">
        <f>IF($E18="","",IF(INDEX(E_SourceStreams!$A:$N,CR18,M$7)="","",INDEX(E_SourceStreams!$A:$N,CR18,M$7)))</f>
        <v/>
      </c>
      <c r="N18" s="703" t="str">
        <f>IF($E18="","",IF(INDEX(E_SourceStreams!$A:$N,CS18,N$7)="","",INDEX(E_SourceStreams!$A:$N,CS18,N$7)))</f>
        <v/>
      </c>
      <c r="O18" s="703" t="str">
        <f>IF($E18="","",IF(INDEX(E_SourceStreams!$A:$N,CT18,O$7)="","",INDEX(E_SourceStreams!$A:$N,CT18,O$7)))</f>
        <v/>
      </c>
      <c r="P18" s="703" t="str">
        <f>IF($E18="","",IF(INDEX(E_SourceStreams!$A:$N,CU18,P$7)="","",INDEX(E_SourceStreams!$A:$N,CU18,P$7)))</f>
        <v/>
      </c>
      <c r="Q18" s="703" t="str">
        <f>IF($E18="","",IF(INDEX(E_SourceStreams!$A:$N,CV18,Q$7)="","",INDEX(E_SourceStreams!$A:$N,CV18,Q$7)))</f>
        <v/>
      </c>
      <c r="R18" s="703" t="str">
        <f>IF($E18="","",IF(INDEX(E_SourceStreams!$A:$N,CW18,R$7)="","",INDEX(E_SourceStreams!$A:$N,CW18,R$7)))</f>
        <v/>
      </c>
      <c r="S18" s="703" t="str">
        <f>IF($E18="","",IF(INDEX(E_SourceStreams!$A:$N,CX18,S$7)="","",INDEX(E_SourceStreams!$A:$N,CX18,S$7)))</f>
        <v/>
      </c>
      <c r="T18" s="703" t="str">
        <f>IF($E18="","",IF(INDEX(E_SourceStreams!$A:$N,CY18,T$7)="","",INDEX(E_SourceStreams!$A:$N,CY18,T$7)))</f>
        <v/>
      </c>
      <c r="U18" s="703" t="str">
        <f>IF($E18="","",IF(INDEX(E_SourceStreams!$A:$N,CZ18,U$7)="","",INDEX(E_SourceStreams!$A:$N,CZ18,U$7)))</f>
        <v/>
      </c>
      <c r="V18" s="703" t="str">
        <f>IF($E18="","",IF(INDEX(E_SourceStreams!$A:$N,DA18,V$7)="","",INDEX(E_SourceStreams!$A:$N,DA18,V$7)))</f>
        <v/>
      </c>
      <c r="W18" s="704" t="str">
        <f>IF($E18="","",IF(INDEX(E_SourceStreams!$A:$N,DB18,W$7)="","",INDEX(E_SourceStreams!$A:$N,DB18,W$7)))</f>
        <v/>
      </c>
      <c r="X18" s="703" t="str">
        <f>IF($E18="","",IF(INDEX(E_SourceStreams!$A:$N,DC18,X$7)="","",INDEX(E_SourceStreams!$A:$N,DC18,X$7)))</f>
        <v/>
      </c>
      <c r="Y18" s="703" t="str">
        <f>IF($E18="","",IF(INDEX(E_SourceStreams!$A:$N,DD18,Y$7)="","",INDEX(E_SourceStreams!$A:$N,DD18,Y$7)))</f>
        <v/>
      </c>
      <c r="Z18" s="703" t="str">
        <f>IF($E18="","",IF(INDEX(E_SourceStreams!$A:$N,DE18,Z$7)="","",INDEX(E_SourceStreams!$A:$N,DE18,Z$7)))</f>
        <v/>
      </c>
      <c r="AA18" s="703" t="str">
        <f>IF($E18="","",IF(INDEX(E_SourceStreams!$A:$N,DF18,AA$7)="","",INDEX(E_SourceStreams!$A:$N,DF18,AA$7)))</f>
        <v/>
      </c>
      <c r="AB18" s="703" t="str">
        <f>IF($E18="","",IF(INDEX(E_SourceStreams!$A:$N,DG18,AB$7)="","",INDEX(E_SourceStreams!$A:$N,DG18,AB$7)))</f>
        <v/>
      </c>
      <c r="AC18" s="703" t="str">
        <f>IF($E18="","",IF(INDEX(E_SourceStreams!$A:$N,DH18,AC$7)="","",INDEX(E_SourceStreams!$A:$N,DH18,AC$7)))</f>
        <v/>
      </c>
      <c r="AD18" s="703" t="str">
        <f>IF($E18="","",IF(INDEX(E_SourceStreams!$A:$N,DI18,AD$7)="","",INDEX(E_SourceStreams!$A:$N,DI18,AD$7)))</f>
        <v/>
      </c>
      <c r="AE18" s="703" t="str">
        <f>IF($E18="","",IF(INDEX(E_SourceStreams!$A:$N,DJ18,AE$7)="","",INDEX(E_SourceStreams!$A:$N,DJ18,AE$7)))</f>
        <v/>
      </c>
      <c r="AF18" s="703" t="str">
        <f>IF($E18="","",IF(INDEX(E_SourceStreams!$A:$N,DK18,AF$7)="","",INDEX(E_SourceStreams!$A:$N,DK18,AF$7)))</f>
        <v/>
      </c>
      <c r="AG18" s="703" t="str">
        <f>IF($E18="","",IF(INDEX(E_SourceStreams!$A:$N,DL18,AG$7)="","",INDEX(E_SourceStreams!$A:$N,DL18,AG$7)))</f>
        <v/>
      </c>
      <c r="AH18" s="703" t="str">
        <f>IF($E18="","",IF(INDEX(E_SourceStreams!$A:$N,DM18,AH$7)="","",INDEX(E_SourceStreams!$A:$N,DM18,AH$7)))</f>
        <v/>
      </c>
      <c r="AI18" s="703" t="str">
        <f>IF($E18="","",IF(INDEX(E_SourceStreams!$A:$N,DN18,AI$7)="","",INDEX(E_SourceStreams!$A:$N,DN18,AI$7)))</f>
        <v/>
      </c>
      <c r="AJ18" s="703" t="str">
        <f>IF($E18="","",IF(INDEX(E_SourceStreams!$A:$N,DO18,AJ$7)="","",INDEX(E_SourceStreams!$A:$N,DO18,AJ$7)))</f>
        <v/>
      </c>
      <c r="AK18" s="703" t="str">
        <f>IF($E18="","",IF(INDEX(E_SourceStreams!$A:$N,DP18,AK$7)="","",INDEX(E_SourceStreams!$A:$N,DP18,AK$7)))</f>
        <v/>
      </c>
      <c r="AL18" s="703" t="str">
        <f>IF($E18="","",IF(INDEX(E_SourceStreams!$A:$N,DQ18,AL$7)="","",INDEX(E_SourceStreams!$A:$N,DQ18,AL$7)))</f>
        <v/>
      </c>
      <c r="AM18" s="703" t="str">
        <f>IF($E18="","",IF(INDEX(E_SourceStreams!$A:$N,DR18,AM$7)="","",INDEX(E_SourceStreams!$A:$N,DR18,AM$7)))</f>
        <v/>
      </c>
      <c r="AN18" s="703" t="str">
        <f>IF($E18="","",IF(INDEX(E_SourceStreams!$A:$N,DS18,AN$7)="","",INDEX(E_SourceStreams!$A:$N,DS18,AN$7)))</f>
        <v/>
      </c>
      <c r="AO18" s="703" t="str">
        <f>IF($E18="","",IF(INDEX(E_SourceStreams!$A:$N,DT18,AO$7)="","",INDEX(E_SourceStreams!$A:$N,DT18,AO$7)))</f>
        <v/>
      </c>
      <c r="AP18" s="703" t="str">
        <f>IF($E18="","",IF(INDEX(E_SourceStreams!$A:$N,DU18,AP$7)="","",INDEX(E_SourceStreams!$A:$N,DU18,AP$7)))</f>
        <v/>
      </c>
      <c r="AQ18" s="703" t="str">
        <f>IF($E18="","",IF(INDEX(E_SourceStreams!$A:$N,DV18,AQ$7)="","",INDEX(E_SourceStreams!$A:$N,DV18,AQ$7)))</f>
        <v/>
      </c>
      <c r="AR18" s="703" t="str">
        <f>IF($E18="","",IF(INDEX(E_SourceStreams!$A:$N,DW18,AR$7)="","",INDEX(E_SourceStreams!$A:$N,DW18,AR$7)))</f>
        <v/>
      </c>
      <c r="AS18" s="703" t="str">
        <f>IF($E18="","",IF(INDEX(E_SourceStreams!$A:$N,DX18,AS$7)="","",INDEX(E_SourceStreams!$A:$N,DX18,AS$7)))</f>
        <v/>
      </c>
      <c r="AT18" s="703" t="str">
        <f>IF($E18="","",IF(INDEX(E_SourceStreams!$A:$N,DY18,AT$7)="","",INDEX(E_SourceStreams!$A:$N,DY18,AT$7)))</f>
        <v/>
      </c>
      <c r="AU18" s="703" t="str">
        <f>IF($E18="","",IF(INDEX(E_SourceStreams!$A:$N,DZ18,AU$7)="","",INDEX(E_SourceStreams!$A:$N,DZ18,AU$7)))</f>
        <v/>
      </c>
      <c r="AV18" s="703" t="str">
        <f>IF($E18="","",IF(INDEX(E_SourceStreams!$A:$N,EA18,AV$7)="","",INDEX(E_SourceStreams!$A:$N,EA18,AV$7)))</f>
        <v/>
      </c>
      <c r="AW18" s="703" t="str">
        <f>IF($E18="","",IF(INDEX(E_SourceStreams!$A:$N,EB18,AW$7)="","",INDEX(E_SourceStreams!$A:$N,EB18,AW$7)))</f>
        <v/>
      </c>
      <c r="AX18" s="703" t="str">
        <f>IF($E18="","",IF(INDEX(E_SourceStreams!$A:$N,EC18,AX$7)="","",INDEX(E_SourceStreams!$A:$N,EC18,AX$7)))</f>
        <v/>
      </c>
      <c r="AY18" s="703" t="str">
        <f>IF($E18="","",IF(INDEX(E_SourceStreams!$A:$N,ED18,AY$7)="","",INDEX(E_SourceStreams!$A:$N,ED18,AY$7)))</f>
        <v/>
      </c>
      <c r="AZ18" s="703" t="str">
        <f>IF($E18="","",IF(INDEX(E_SourceStreams!$A:$N,EE18,AZ$7)="","",INDEX(E_SourceStreams!$A:$N,EE18,AZ$7)))</f>
        <v/>
      </c>
      <c r="BA18" s="703" t="str">
        <f>IF($E18="","",IF(INDEX(E_SourceStreams!$A:$N,EF18,BA$7)="","",INDEX(E_SourceStreams!$A:$N,EF18,BA$7)))</f>
        <v/>
      </c>
      <c r="BB18" s="703" t="str">
        <f>IF($E18="","",IF(INDEX(E_SourceStreams!$A:$N,EG18,BB$7)="","",INDEX(E_SourceStreams!$A:$N,EG18,BB$7)))</f>
        <v/>
      </c>
      <c r="BC18" s="703" t="str">
        <f>IF($E18="","",IF(INDEX(E_SourceStreams!$A:$N,EH18,BC$7)="","",INDEX(E_SourceStreams!$A:$N,EH18,BC$7)))</f>
        <v/>
      </c>
      <c r="BD18" s="703" t="str">
        <f>IF($E18="","",IF(INDEX(E_SourceStreams!$A:$N,EI18,BD$7)="","",INDEX(E_SourceStreams!$A:$N,EI18,BD$7)))</f>
        <v/>
      </c>
      <c r="BE18" s="703" t="str">
        <f>IF($E18="","",IF(INDEX(E_SourceStreams!$A:$N,EJ18,BE$7)="","",INDEX(E_SourceStreams!$A:$N,EJ18,BE$7)))</f>
        <v/>
      </c>
      <c r="BF18" s="703" t="str">
        <f>IF($E18="","",IF(INDEX(E_SourceStreams!$A:$N,EK18,BF$7)="","",INDEX(E_SourceStreams!$A:$N,EK18,BF$7)))</f>
        <v/>
      </c>
      <c r="BG18" s="703" t="str">
        <f>IF($E18="","",IF(INDEX(E_SourceStreams!$A:$N,EL18,BG$7)="","",INDEX(E_SourceStreams!$A:$N,EL18,BG$7)))</f>
        <v/>
      </c>
      <c r="BH18" s="703" t="str">
        <f>IF($E18="","",IF(INDEX(E_SourceStreams!$A:$N,EM18,BH$7)="","",INDEX(E_SourceStreams!$A:$N,EM18,BH$7)))</f>
        <v/>
      </c>
      <c r="BI18" s="703" t="str">
        <f>IF($E18="","",IF(INDEX(E_SourceStreams!$A:$N,EN18,BI$7)="","",INDEX(E_SourceStreams!$A:$N,EN18,BI$7)))</f>
        <v/>
      </c>
      <c r="BJ18" s="703" t="str">
        <f>IF($E18="","",IF(INDEX(E_SourceStreams!$A:$N,EO18,BJ$7)="","",INDEX(E_SourceStreams!$A:$N,EO18,BJ$7)))</f>
        <v/>
      </c>
      <c r="BK18" s="703" t="str">
        <f>IF($E18="","",IF(INDEX(E_SourceStreams!$A:$N,EP18,BK$7)="","",INDEX(E_SourceStreams!$A:$N,EP18,BK$7)))</f>
        <v/>
      </c>
      <c r="BL18" s="703" t="str">
        <f>IF($E18="","",IF(INDEX(E_SourceStreams!$A:$N,EQ18,BL$7)="","",INDEX(E_SourceStreams!$A:$N,EQ18,BL$7)))</f>
        <v/>
      </c>
      <c r="BM18" s="703" t="str">
        <f>IF($E18="","",IF(INDEX(E_SourceStreams!$A:$N,ER18,BM$7)="","",INDEX(E_SourceStreams!$A:$N,ER18,BM$7)))</f>
        <v/>
      </c>
      <c r="BN18" s="703" t="str">
        <f>IF($E18="","",IF(INDEX(E_SourceStreams!$A:$N,ES18,BN$7)="","",INDEX(E_SourceStreams!$A:$N,ES18,BN$7)))</f>
        <v/>
      </c>
      <c r="BO18" s="703" t="str">
        <f>IF($E18="","",IF(INDEX(E_SourceStreams!$A:$N,ET18,BO$7)="","",INDEX(E_SourceStreams!$A:$N,ET18,BO$7)))</f>
        <v/>
      </c>
      <c r="BP18" s="703" t="str">
        <f>IF($E18="","",IF(INDEX(E_SourceStreams!$A:$N,EU18,BP$7)="","",INDEX(E_SourceStreams!$A:$N,EU18,BP$7)))</f>
        <v/>
      </c>
      <c r="BQ18" s="703" t="str">
        <f>IF($E18="","",IF(INDEX(E_SourceStreams!$A:$N,EV18,BQ$7)="","",INDEX(E_SourceStreams!$A:$N,EV18,BQ$7)))</f>
        <v/>
      </c>
      <c r="BR18" s="703" t="str">
        <f>IF($E18="","",IF(INDEX(E_SourceStreams!$A:$N,EW18,BR$7)="","",INDEX(E_SourceStreams!$A:$N,EW18,BR$7)))</f>
        <v/>
      </c>
      <c r="BS18" s="703" t="str">
        <f>IF($E18="","",IF(INDEX(E_SourceStreams!$A:$N,EX18,BS$7)="","",INDEX(E_SourceStreams!$A:$N,EX18,BS$7)))</f>
        <v/>
      </c>
      <c r="BT18" s="703" t="str">
        <f>IF($E18="","",IF(INDEX(E_SourceStreams!$A:$N,EY18,BT$7)="","",INDEX(E_SourceStreams!$A:$N,EY18,BT$7)))</f>
        <v/>
      </c>
      <c r="BU18" s="625"/>
      <c r="CJ18" s="679" t="str">
        <f t="shared" si="0"/>
        <v>SourceCategory_</v>
      </c>
      <c r="CK18" s="679" t="b">
        <f>INDEX(C_InstallationDescription!$A$226:$A$332,ROWS($CI$11:CI18))="ausblenden"</f>
        <v>0</v>
      </c>
      <c r="CL18" s="679" t="str">
        <f t="shared" si="1"/>
        <v>SourceStreamName_</v>
      </c>
      <c r="CN18" s="679">
        <f t="shared" si="65"/>
        <v>597</v>
      </c>
      <c r="CO18" s="679">
        <f t="shared" si="2"/>
        <v>599</v>
      </c>
      <c r="CP18" s="679">
        <f t="shared" si="3"/>
        <v>601</v>
      </c>
      <c r="CQ18" s="679">
        <f t="shared" si="4"/>
        <v>603</v>
      </c>
      <c r="CR18" s="679">
        <f t="shared" si="5"/>
        <v>605</v>
      </c>
      <c r="CS18" s="679">
        <f t="shared" si="6"/>
        <v>607</v>
      </c>
      <c r="CT18" s="679">
        <f t="shared" si="7"/>
        <v>609</v>
      </c>
      <c r="CU18" s="679">
        <f t="shared" si="8"/>
        <v>609</v>
      </c>
      <c r="CV18" s="679">
        <f t="shared" si="9"/>
        <v>609</v>
      </c>
      <c r="CW18" s="679">
        <f t="shared" si="10"/>
        <v>609</v>
      </c>
      <c r="CX18" s="679">
        <f t="shared" si="11"/>
        <v>609</v>
      </c>
      <c r="CY18" s="679">
        <f t="shared" si="12"/>
        <v>612</v>
      </c>
      <c r="CZ18" s="679">
        <f t="shared" si="13"/>
        <v>616</v>
      </c>
      <c r="DA18" s="679">
        <f t="shared" si="14"/>
        <v>617</v>
      </c>
      <c r="DB18" s="679">
        <f t="shared" si="15"/>
        <v>618</v>
      </c>
      <c r="DC18" s="679">
        <f t="shared" si="16"/>
        <v>625</v>
      </c>
      <c r="DD18" s="679">
        <f t="shared" si="17"/>
        <v>635</v>
      </c>
      <c r="DE18" s="679">
        <f t="shared" si="18"/>
        <v>635</v>
      </c>
      <c r="DF18" s="679">
        <f t="shared" si="19"/>
        <v>635</v>
      </c>
      <c r="DG18" s="679">
        <f t="shared" si="20"/>
        <v>635</v>
      </c>
      <c r="DH18" s="679">
        <f t="shared" si="21"/>
        <v>635</v>
      </c>
      <c r="DI18" s="679">
        <f t="shared" si="22"/>
        <v>635</v>
      </c>
      <c r="DJ18" s="679">
        <f t="shared" si="23"/>
        <v>635</v>
      </c>
      <c r="DK18" s="679">
        <f t="shared" si="24"/>
        <v>626</v>
      </c>
      <c r="DL18" s="679">
        <f t="shared" si="25"/>
        <v>636</v>
      </c>
      <c r="DM18" s="679">
        <f t="shared" si="26"/>
        <v>636</v>
      </c>
      <c r="DN18" s="679">
        <f t="shared" si="27"/>
        <v>636</v>
      </c>
      <c r="DO18" s="679">
        <f t="shared" si="28"/>
        <v>636</v>
      </c>
      <c r="DP18" s="679">
        <f t="shared" si="29"/>
        <v>636</v>
      </c>
      <c r="DQ18" s="679">
        <f t="shared" si="30"/>
        <v>636</v>
      </c>
      <c r="DR18" s="679">
        <f t="shared" si="31"/>
        <v>636</v>
      </c>
      <c r="DS18" s="679">
        <f t="shared" si="32"/>
        <v>627</v>
      </c>
      <c r="DT18" s="679">
        <f t="shared" si="33"/>
        <v>637</v>
      </c>
      <c r="DU18" s="679">
        <f t="shared" si="34"/>
        <v>637</v>
      </c>
      <c r="DV18" s="679">
        <f t="shared" si="35"/>
        <v>637</v>
      </c>
      <c r="DW18" s="679">
        <f t="shared" si="36"/>
        <v>637</v>
      </c>
      <c r="DX18" s="679">
        <f t="shared" si="37"/>
        <v>637</v>
      </c>
      <c r="DY18" s="679">
        <f t="shared" si="38"/>
        <v>637</v>
      </c>
      <c r="DZ18" s="679">
        <f t="shared" si="39"/>
        <v>637</v>
      </c>
      <c r="EA18" s="679">
        <f t="shared" si="40"/>
        <v>628</v>
      </c>
      <c r="EB18" s="679">
        <f t="shared" si="41"/>
        <v>638</v>
      </c>
      <c r="EC18" s="679">
        <f t="shared" si="42"/>
        <v>638</v>
      </c>
      <c r="ED18" s="679">
        <f t="shared" si="43"/>
        <v>638</v>
      </c>
      <c r="EE18" s="679">
        <f t="shared" si="44"/>
        <v>638</v>
      </c>
      <c r="EF18" s="679">
        <f t="shared" si="45"/>
        <v>638</v>
      </c>
      <c r="EG18" s="679">
        <f t="shared" si="46"/>
        <v>638</v>
      </c>
      <c r="EH18" s="679">
        <f t="shared" si="47"/>
        <v>638</v>
      </c>
      <c r="EI18" s="679">
        <f t="shared" si="48"/>
        <v>629</v>
      </c>
      <c r="EJ18" s="679">
        <f t="shared" si="49"/>
        <v>639</v>
      </c>
      <c r="EK18" s="679">
        <f t="shared" si="50"/>
        <v>639</v>
      </c>
      <c r="EL18" s="679">
        <f t="shared" si="51"/>
        <v>639</v>
      </c>
      <c r="EM18" s="679">
        <f t="shared" si="52"/>
        <v>639</v>
      </c>
      <c r="EN18" s="679">
        <f t="shared" si="53"/>
        <v>639</v>
      </c>
      <c r="EO18" s="679">
        <f t="shared" si="54"/>
        <v>639</v>
      </c>
      <c r="EP18" s="679">
        <f t="shared" si="55"/>
        <v>639</v>
      </c>
      <c r="EQ18" s="679">
        <f t="shared" si="56"/>
        <v>630</v>
      </c>
      <c r="ER18" s="679">
        <f t="shared" si="57"/>
        <v>640</v>
      </c>
      <c r="ES18" s="679">
        <f t="shared" si="58"/>
        <v>640</v>
      </c>
      <c r="ET18" s="679">
        <f t="shared" si="59"/>
        <v>640</v>
      </c>
      <c r="EU18" s="679">
        <f t="shared" si="60"/>
        <v>640</v>
      </c>
      <c r="EV18" s="679">
        <f t="shared" si="61"/>
        <v>640</v>
      </c>
      <c r="EW18" s="679">
        <f t="shared" si="62"/>
        <v>640</v>
      </c>
      <c r="EX18" s="679">
        <f t="shared" si="63"/>
        <v>640</v>
      </c>
      <c r="EY18" s="679">
        <f t="shared" si="64"/>
        <v>646</v>
      </c>
    </row>
    <row r="19" spans="2:155" ht="12.75" customHeight="1" x14ac:dyDescent="0.2">
      <c r="B19" s="700" t="str">
        <f>IF(COUNTIF($CK$10:CK19,TRUE)&gt;0,"",INDEX(C_InstallationDescription!$E$226:$E$242,ROWS($A$11:A19)))</f>
        <v/>
      </c>
      <c r="C19" s="581" t="str">
        <f>IF($E19="","",INDEX(C_InstallationDescription!F:F,MATCH($B19,C_InstallationDescription!$E:$E,0)))</f>
        <v/>
      </c>
      <c r="D19" s="581" t="str">
        <f>IF($E19="","",INDEX(C_InstallationDescription!I:I,MATCH($B19,C_InstallationDescription!$E:$E,0)))</f>
        <v/>
      </c>
      <c r="E19" s="581" t="str">
        <f>IF($B19="","",INDEX(C_InstallationDescription!F:F,MATCH($CJ19,C_InstallationDescription!$Q:$Q,0)))</f>
        <v/>
      </c>
      <c r="F19" s="706" t="str">
        <f>IF($E19="","",INDEX(C_InstallationDescription!L:L,MATCH($CJ19,C_InstallationDescription!$Q:$Q,0)))</f>
        <v/>
      </c>
      <c r="G19" s="581" t="str">
        <f>IF($E19="","",INDEX(C_InstallationDescription!M:M,MATCH($CJ19,C_InstallationDescription!$Q:$Q,0)))</f>
        <v/>
      </c>
      <c r="H19" s="581" t="str">
        <f>IF($E19="","",INDEX(C_InstallationDescription!N:N,MATCH($CJ19,C_InstallationDescription!$Q:$Q,0)))</f>
        <v/>
      </c>
      <c r="I19" s="703" t="str">
        <f>IF($E19="","",IF(INDEX(E_SourceStreams!$A:$N,CN19,I$7)="","",INDEX(E_SourceStreams!$A:$N,CN19,I$7)))</f>
        <v/>
      </c>
      <c r="J19" s="703" t="str">
        <f>IF($E19="","",IF(INDEX(E_SourceStreams!$A:$N,CO19,J$7)="","",INDEX(E_SourceStreams!$A:$N,CO19,J$7)))</f>
        <v/>
      </c>
      <c r="K19" s="703" t="str">
        <f>IF($E19="","",IF(INDEX(E_SourceStreams!$A:$N,CP19,K$7)="","",INDEX(E_SourceStreams!$A:$N,CP19,K$7)))</f>
        <v/>
      </c>
      <c r="L19" s="703" t="str">
        <f>IF($E19="","",IF(INDEX(E_SourceStreams!$A:$N,CQ19,L$7)="","",INDEX(E_SourceStreams!$A:$N,CQ19,L$7)))</f>
        <v/>
      </c>
      <c r="M19" s="703" t="str">
        <f>IF($E19="","",IF(INDEX(E_SourceStreams!$A:$N,CR19,M$7)="","",INDEX(E_SourceStreams!$A:$N,CR19,M$7)))</f>
        <v/>
      </c>
      <c r="N19" s="703" t="str">
        <f>IF($E19="","",IF(INDEX(E_SourceStreams!$A:$N,CS19,N$7)="","",INDEX(E_SourceStreams!$A:$N,CS19,N$7)))</f>
        <v/>
      </c>
      <c r="O19" s="703" t="str">
        <f>IF($E19="","",IF(INDEX(E_SourceStreams!$A:$N,CT19,O$7)="","",INDEX(E_SourceStreams!$A:$N,CT19,O$7)))</f>
        <v/>
      </c>
      <c r="P19" s="703" t="str">
        <f>IF($E19="","",IF(INDEX(E_SourceStreams!$A:$N,CU19,P$7)="","",INDEX(E_SourceStreams!$A:$N,CU19,P$7)))</f>
        <v/>
      </c>
      <c r="Q19" s="703" t="str">
        <f>IF($E19="","",IF(INDEX(E_SourceStreams!$A:$N,CV19,Q$7)="","",INDEX(E_SourceStreams!$A:$N,CV19,Q$7)))</f>
        <v/>
      </c>
      <c r="R19" s="703" t="str">
        <f>IF($E19="","",IF(INDEX(E_SourceStreams!$A:$N,CW19,R$7)="","",INDEX(E_SourceStreams!$A:$N,CW19,R$7)))</f>
        <v/>
      </c>
      <c r="S19" s="703" t="str">
        <f>IF($E19="","",IF(INDEX(E_SourceStreams!$A:$N,CX19,S$7)="","",INDEX(E_SourceStreams!$A:$N,CX19,S$7)))</f>
        <v/>
      </c>
      <c r="T19" s="703" t="str">
        <f>IF($E19="","",IF(INDEX(E_SourceStreams!$A:$N,CY19,T$7)="","",INDEX(E_SourceStreams!$A:$N,CY19,T$7)))</f>
        <v/>
      </c>
      <c r="U19" s="703" t="str">
        <f>IF($E19="","",IF(INDEX(E_SourceStreams!$A:$N,CZ19,U$7)="","",INDEX(E_SourceStreams!$A:$N,CZ19,U$7)))</f>
        <v/>
      </c>
      <c r="V19" s="703" t="str">
        <f>IF($E19="","",IF(INDEX(E_SourceStreams!$A:$N,DA19,V$7)="","",INDEX(E_SourceStreams!$A:$N,DA19,V$7)))</f>
        <v/>
      </c>
      <c r="W19" s="704" t="str">
        <f>IF($E19="","",IF(INDEX(E_SourceStreams!$A:$N,DB19,W$7)="","",INDEX(E_SourceStreams!$A:$N,DB19,W$7)))</f>
        <v/>
      </c>
      <c r="X19" s="703" t="str">
        <f>IF($E19="","",IF(INDEX(E_SourceStreams!$A:$N,DC19,X$7)="","",INDEX(E_SourceStreams!$A:$N,DC19,X$7)))</f>
        <v/>
      </c>
      <c r="Y19" s="703" t="str">
        <f>IF($E19="","",IF(INDEX(E_SourceStreams!$A:$N,DD19,Y$7)="","",INDEX(E_SourceStreams!$A:$N,DD19,Y$7)))</f>
        <v/>
      </c>
      <c r="Z19" s="703" t="str">
        <f>IF($E19="","",IF(INDEX(E_SourceStreams!$A:$N,DE19,Z$7)="","",INDEX(E_SourceStreams!$A:$N,DE19,Z$7)))</f>
        <v/>
      </c>
      <c r="AA19" s="703" t="str">
        <f>IF($E19="","",IF(INDEX(E_SourceStreams!$A:$N,DF19,AA$7)="","",INDEX(E_SourceStreams!$A:$N,DF19,AA$7)))</f>
        <v/>
      </c>
      <c r="AB19" s="703" t="str">
        <f>IF($E19="","",IF(INDEX(E_SourceStreams!$A:$N,DG19,AB$7)="","",INDEX(E_SourceStreams!$A:$N,DG19,AB$7)))</f>
        <v/>
      </c>
      <c r="AC19" s="703" t="str">
        <f>IF($E19="","",IF(INDEX(E_SourceStreams!$A:$N,DH19,AC$7)="","",INDEX(E_SourceStreams!$A:$N,DH19,AC$7)))</f>
        <v/>
      </c>
      <c r="AD19" s="703" t="str">
        <f>IF($E19="","",IF(INDEX(E_SourceStreams!$A:$N,DI19,AD$7)="","",INDEX(E_SourceStreams!$A:$N,DI19,AD$7)))</f>
        <v/>
      </c>
      <c r="AE19" s="703" t="str">
        <f>IF($E19="","",IF(INDEX(E_SourceStreams!$A:$N,DJ19,AE$7)="","",INDEX(E_SourceStreams!$A:$N,DJ19,AE$7)))</f>
        <v/>
      </c>
      <c r="AF19" s="703" t="str">
        <f>IF($E19="","",IF(INDEX(E_SourceStreams!$A:$N,DK19,AF$7)="","",INDEX(E_SourceStreams!$A:$N,DK19,AF$7)))</f>
        <v/>
      </c>
      <c r="AG19" s="703" t="str">
        <f>IF($E19="","",IF(INDEX(E_SourceStreams!$A:$N,DL19,AG$7)="","",INDEX(E_SourceStreams!$A:$N,DL19,AG$7)))</f>
        <v/>
      </c>
      <c r="AH19" s="703" t="str">
        <f>IF($E19="","",IF(INDEX(E_SourceStreams!$A:$N,DM19,AH$7)="","",INDEX(E_SourceStreams!$A:$N,DM19,AH$7)))</f>
        <v/>
      </c>
      <c r="AI19" s="703" t="str">
        <f>IF($E19="","",IF(INDEX(E_SourceStreams!$A:$N,DN19,AI$7)="","",INDEX(E_SourceStreams!$A:$N,DN19,AI$7)))</f>
        <v/>
      </c>
      <c r="AJ19" s="703" t="str">
        <f>IF($E19="","",IF(INDEX(E_SourceStreams!$A:$N,DO19,AJ$7)="","",INDEX(E_SourceStreams!$A:$N,DO19,AJ$7)))</f>
        <v/>
      </c>
      <c r="AK19" s="703" t="str">
        <f>IF($E19="","",IF(INDEX(E_SourceStreams!$A:$N,DP19,AK$7)="","",INDEX(E_SourceStreams!$A:$N,DP19,AK$7)))</f>
        <v/>
      </c>
      <c r="AL19" s="703" t="str">
        <f>IF($E19="","",IF(INDEX(E_SourceStreams!$A:$N,DQ19,AL$7)="","",INDEX(E_SourceStreams!$A:$N,DQ19,AL$7)))</f>
        <v/>
      </c>
      <c r="AM19" s="703" t="str">
        <f>IF($E19="","",IF(INDEX(E_SourceStreams!$A:$N,DR19,AM$7)="","",INDEX(E_SourceStreams!$A:$N,DR19,AM$7)))</f>
        <v/>
      </c>
      <c r="AN19" s="703" t="str">
        <f>IF($E19="","",IF(INDEX(E_SourceStreams!$A:$N,DS19,AN$7)="","",INDEX(E_SourceStreams!$A:$N,DS19,AN$7)))</f>
        <v/>
      </c>
      <c r="AO19" s="703" t="str">
        <f>IF($E19="","",IF(INDEX(E_SourceStreams!$A:$N,DT19,AO$7)="","",INDEX(E_SourceStreams!$A:$N,DT19,AO$7)))</f>
        <v/>
      </c>
      <c r="AP19" s="703" t="str">
        <f>IF($E19="","",IF(INDEX(E_SourceStreams!$A:$N,DU19,AP$7)="","",INDEX(E_SourceStreams!$A:$N,DU19,AP$7)))</f>
        <v/>
      </c>
      <c r="AQ19" s="703" t="str">
        <f>IF($E19="","",IF(INDEX(E_SourceStreams!$A:$N,DV19,AQ$7)="","",INDEX(E_SourceStreams!$A:$N,DV19,AQ$7)))</f>
        <v/>
      </c>
      <c r="AR19" s="703" t="str">
        <f>IF($E19="","",IF(INDEX(E_SourceStreams!$A:$N,DW19,AR$7)="","",INDEX(E_SourceStreams!$A:$N,DW19,AR$7)))</f>
        <v/>
      </c>
      <c r="AS19" s="703" t="str">
        <f>IF($E19="","",IF(INDEX(E_SourceStreams!$A:$N,DX19,AS$7)="","",INDEX(E_SourceStreams!$A:$N,DX19,AS$7)))</f>
        <v/>
      </c>
      <c r="AT19" s="703" t="str">
        <f>IF($E19="","",IF(INDEX(E_SourceStreams!$A:$N,DY19,AT$7)="","",INDEX(E_SourceStreams!$A:$N,DY19,AT$7)))</f>
        <v/>
      </c>
      <c r="AU19" s="703" t="str">
        <f>IF($E19="","",IF(INDEX(E_SourceStreams!$A:$N,DZ19,AU$7)="","",INDEX(E_SourceStreams!$A:$N,DZ19,AU$7)))</f>
        <v/>
      </c>
      <c r="AV19" s="703" t="str">
        <f>IF($E19="","",IF(INDEX(E_SourceStreams!$A:$N,EA19,AV$7)="","",INDEX(E_SourceStreams!$A:$N,EA19,AV$7)))</f>
        <v/>
      </c>
      <c r="AW19" s="703" t="str">
        <f>IF($E19="","",IF(INDEX(E_SourceStreams!$A:$N,EB19,AW$7)="","",INDEX(E_SourceStreams!$A:$N,EB19,AW$7)))</f>
        <v/>
      </c>
      <c r="AX19" s="703" t="str">
        <f>IF($E19="","",IF(INDEX(E_SourceStreams!$A:$N,EC19,AX$7)="","",INDEX(E_SourceStreams!$A:$N,EC19,AX$7)))</f>
        <v/>
      </c>
      <c r="AY19" s="703" t="str">
        <f>IF($E19="","",IF(INDEX(E_SourceStreams!$A:$N,ED19,AY$7)="","",INDEX(E_SourceStreams!$A:$N,ED19,AY$7)))</f>
        <v/>
      </c>
      <c r="AZ19" s="703" t="str">
        <f>IF($E19="","",IF(INDEX(E_SourceStreams!$A:$N,EE19,AZ$7)="","",INDEX(E_SourceStreams!$A:$N,EE19,AZ$7)))</f>
        <v/>
      </c>
      <c r="BA19" s="703" t="str">
        <f>IF($E19="","",IF(INDEX(E_SourceStreams!$A:$N,EF19,BA$7)="","",INDEX(E_SourceStreams!$A:$N,EF19,BA$7)))</f>
        <v/>
      </c>
      <c r="BB19" s="703" t="str">
        <f>IF($E19="","",IF(INDEX(E_SourceStreams!$A:$N,EG19,BB$7)="","",INDEX(E_SourceStreams!$A:$N,EG19,BB$7)))</f>
        <v/>
      </c>
      <c r="BC19" s="703" t="str">
        <f>IF($E19="","",IF(INDEX(E_SourceStreams!$A:$N,EH19,BC$7)="","",INDEX(E_SourceStreams!$A:$N,EH19,BC$7)))</f>
        <v/>
      </c>
      <c r="BD19" s="703" t="str">
        <f>IF($E19="","",IF(INDEX(E_SourceStreams!$A:$N,EI19,BD$7)="","",INDEX(E_SourceStreams!$A:$N,EI19,BD$7)))</f>
        <v/>
      </c>
      <c r="BE19" s="703" t="str">
        <f>IF($E19="","",IF(INDEX(E_SourceStreams!$A:$N,EJ19,BE$7)="","",INDEX(E_SourceStreams!$A:$N,EJ19,BE$7)))</f>
        <v/>
      </c>
      <c r="BF19" s="703" t="str">
        <f>IF($E19="","",IF(INDEX(E_SourceStreams!$A:$N,EK19,BF$7)="","",INDEX(E_SourceStreams!$A:$N,EK19,BF$7)))</f>
        <v/>
      </c>
      <c r="BG19" s="703" t="str">
        <f>IF($E19="","",IF(INDEX(E_SourceStreams!$A:$N,EL19,BG$7)="","",INDEX(E_SourceStreams!$A:$N,EL19,BG$7)))</f>
        <v/>
      </c>
      <c r="BH19" s="703" t="str">
        <f>IF($E19="","",IF(INDEX(E_SourceStreams!$A:$N,EM19,BH$7)="","",INDEX(E_SourceStreams!$A:$N,EM19,BH$7)))</f>
        <v/>
      </c>
      <c r="BI19" s="703" t="str">
        <f>IF($E19="","",IF(INDEX(E_SourceStreams!$A:$N,EN19,BI$7)="","",INDEX(E_SourceStreams!$A:$N,EN19,BI$7)))</f>
        <v/>
      </c>
      <c r="BJ19" s="703" t="str">
        <f>IF($E19="","",IF(INDEX(E_SourceStreams!$A:$N,EO19,BJ$7)="","",INDEX(E_SourceStreams!$A:$N,EO19,BJ$7)))</f>
        <v/>
      </c>
      <c r="BK19" s="703" t="str">
        <f>IF($E19="","",IF(INDEX(E_SourceStreams!$A:$N,EP19,BK$7)="","",INDEX(E_SourceStreams!$A:$N,EP19,BK$7)))</f>
        <v/>
      </c>
      <c r="BL19" s="703" t="str">
        <f>IF($E19="","",IF(INDEX(E_SourceStreams!$A:$N,EQ19,BL$7)="","",INDEX(E_SourceStreams!$A:$N,EQ19,BL$7)))</f>
        <v/>
      </c>
      <c r="BM19" s="703" t="str">
        <f>IF($E19="","",IF(INDEX(E_SourceStreams!$A:$N,ER19,BM$7)="","",INDEX(E_SourceStreams!$A:$N,ER19,BM$7)))</f>
        <v/>
      </c>
      <c r="BN19" s="703" t="str">
        <f>IF($E19="","",IF(INDEX(E_SourceStreams!$A:$N,ES19,BN$7)="","",INDEX(E_SourceStreams!$A:$N,ES19,BN$7)))</f>
        <v/>
      </c>
      <c r="BO19" s="703" t="str">
        <f>IF($E19="","",IF(INDEX(E_SourceStreams!$A:$N,ET19,BO$7)="","",INDEX(E_SourceStreams!$A:$N,ET19,BO$7)))</f>
        <v/>
      </c>
      <c r="BP19" s="703" t="str">
        <f>IF($E19="","",IF(INDEX(E_SourceStreams!$A:$N,EU19,BP$7)="","",INDEX(E_SourceStreams!$A:$N,EU19,BP$7)))</f>
        <v/>
      </c>
      <c r="BQ19" s="703" t="str">
        <f>IF($E19="","",IF(INDEX(E_SourceStreams!$A:$N,EV19,BQ$7)="","",INDEX(E_SourceStreams!$A:$N,EV19,BQ$7)))</f>
        <v/>
      </c>
      <c r="BR19" s="703" t="str">
        <f>IF($E19="","",IF(INDEX(E_SourceStreams!$A:$N,EW19,BR$7)="","",INDEX(E_SourceStreams!$A:$N,EW19,BR$7)))</f>
        <v/>
      </c>
      <c r="BS19" s="703" t="str">
        <f>IF($E19="","",IF(INDEX(E_SourceStreams!$A:$N,EX19,BS$7)="","",INDEX(E_SourceStreams!$A:$N,EX19,BS$7)))</f>
        <v/>
      </c>
      <c r="BT19" s="703" t="str">
        <f>IF($E19="","",IF(INDEX(E_SourceStreams!$A:$N,EY19,BT$7)="","",INDEX(E_SourceStreams!$A:$N,EY19,BT$7)))</f>
        <v/>
      </c>
      <c r="BU19" s="625"/>
      <c r="CJ19" s="679" t="str">
        <f t="shared" si="0"/>
        <v>SourceCategory_</v>
      </c>
      <c r="CK19" s="679" t="b">
        <f>INDEX(C_InstallationDescription!$A$226:$A$332,ROWS($CI$11:CI19))="ausblenden"</f>
        <v>0</v>
      </c>
      <c r="CL19" s="679" t="str">
        <f t="shared" si="1"/>
        <v>SourceStreamName_</v>
      </c>
      <c r="CN19" s="679">
        <f t="shared" si="65"/>
        <v>663</v>
      </c>
      <c r="CO19" s="679">
        <f t="shared" si="2"/>
        <v>665</v>
      </c>
      <c r="CP19" s="679">
        <f t="shared" si="3"/>
        <v>667</v>
      </c>
      <c r="CQ19" s="679">
        <f t="shared" si="4"/>
        <v>669</v>
      </c>
      <c r="CR19" s="679">
        <f t="shared" si="5"/>
        <v>671</v>
      </c>
      <c r="CS19" s="679">
        <f t="shared" si="6"/>
        <v>673</v>
      </c>
      <c r="CT19" s="679">
        <f t="shared" si="7"/>
        <v>675</v>
      </c>
      <c r="CU19" s="679">
        <f t="shared" si="8"/>
        <v>675</v>
      </c>
      <c r="CV19" s="679">
        <f t="shared" si="9"/>
        <v>675</v>
      </c>
      <c r="CW19" s="679">
        <f t="shared" si="10"/>
        <v>675</v>
      </c>
      <c r="CX19" s="679">
        <f t="shared" si="11"/>
        <v>675</v>
      </c>
      <c r="CY19" s="679">
        <f t="shared" si="12"/>
        <v>678</v>
      </c>
      <c r="CZ19" s="679">
        <f t="shared" si="13"/>
        <v>682</v>
      </c>
      <c r="DA19" s="679">
        <f t="shared" si="14"/>
        <v>683</v>
      </c>
      <c r="DB19" s="679">
        <f t="shared" si="15"/>
        <v>684</v>
      </c>
      <c r="DC19" s="679">
        <f t="shared" si="16"/>
        <v>691</v>
      </c>
      <c r="DD19" s="679">
        <f t="shared" si="17"/>
        <v>701</v>
      </c>
      <c r="DE19" s="679">
        <f t="shared" si="18"/>
        <v>701</v>
      </c>
      <c r="DF19" s="679">
        <f t="shared" si="19"/>
        <v>701</v>
      </c>
      <c r="DG19" s="679">
        <f t="shared" si="20"/>
        <v>701</v>
      </c>
      <c r="DH19" s="679">
        <f t="shared" si="21"/>
        <v>701</v>
      </c>
      <c r="DI19" s="679">
        <f t="shared" si="22"/>
        <v>701</v>
      </c>
      <c r="DJ19" s="679">
        <f t="shared" si="23"/>
        <v>701</v>
      </c>
      <c r="DK19" s="679">
        <f t="shared" si="24"/>
        <v>692</v>
      </c>
      <c r="DL19" s="679">
        <f t="shared" si="25"/>
        <v>702</v>
      </c>
      <c r="DM19" s="679">
        <f t="shared" si="26"/>
        <v>702</v>
      </c>
      <c r="DN19" s="679">
        <f t="shared" si="27"/>
        <v>702</v>
      </c>
      <c r="DO19" s="679">
        <f t="shared" si="28"/>
        <v>702</v>
      </c>
      <c r="DP19" s="679">
        <f t="shared" si="29"/>
        <v>702</v>
      </c>
      <c r="DQ19" s="679">
        <f t="shared" si="30"/>
        <v>702</v>
      </c>
      <c r="DR19" s="679">
        <f t="shared" si="31"/>
        <v>702</v>
      </c>
      <c r="DS19" s="679">
        <f t="shared" si="32"/>
        <v>693</v>
      </c>
      <c r="DT19" s="679">
        <f t="shared" si="33"/>
        <v>703</v>
      </c>
      <c r="DU19" s="679">
        <f t="shared" si="34"/>
        <v>703</v>
      </c>
      <c r="DV19" s="679">
        <f t="shared" si="35"/>
        <v>703</v>
      </c>
      <c r="DW19" s="679">
        <f t="shared" si="36"/>
        <v>703</v>
      </c>
      <c r="DX19" s="679">
        <f t="shared" si="37"/>
        <v>703</v>
      </c>
      <c r="DY19" s="679">
        <f t="shared" si="38"/>
        <v>703</v>
      </c>
      <c r="DZ19" s="679">
        <f t="shared" si="39"/>
        <v>703</v>
      </c>
      <c r="EA19" s="679">
        <f t="shared" si="40"/>
        <v>694</v>
      </c>
      <c r="EB19" s="679">
        <f t="shared" si="41"/>
        <v>704</v>
      </c>
      <c r="EC19" s="679">
        <f t="shared" si="42"/>
        <v>704</v>
      </c>
      <c r="ED19" s="679">
        <f t="shared" si="43"/>
        <v>704</v>
      </c>
      <c r="EE19" s="679">
        <f t="shared" si="44"/>
        <v>704</v>
      </c>
      <c r="EF19" s="679">
        <f t="shared" si="45"/>
        <v>704</v>
      </c>
      <c r="EG19" s="679">
        <f t="shared" si="46"/>
        <v>704</v>
      </c>
      <c r="EH19" s="679">
        <f t="shared" si="47"/>
        <v>704</v>
      </c>
      <c r="EI19" s="679">
        <f t="shared" si="48"/>
        <v>695</v>
      </c>
      <c r="EJ19" s="679">
        <f t="shared" si="49"/>
        <v>705</v>
      </c>
      <c r="EK19" s="679">
        <f t="shared" si="50"/>
        <v>705</v>
      </c>
      <c r="EL19" s="679">
        <f t="shared" si="51"/>
        <v>705</v>
      </c>
      <c r="EM19" s="679">
        <f t="shared" si="52"/>
        <v>705</v>
      </c>
      <c r="EN19" s="679">
        <f t="shared" si="53"/>
        <v>705</v>
      </c>
      <c r="EO19" s="679">
        <f t="shared" si="54"/>
        <v>705</v>
      </c>
      <c r="EP19" s="679">
        <f t="shared" si="55"/>
        <v>705</v>
      </c>
      <c r="EQ19" s="679">
        <f t="shared" si="56"/>
        <v>696</v>
      </c>
      <c r="ER19" s="679">
        <f t="shared" si="57"/>
        <v>706</v>
      </c>
      <c r="ES19" s="679">
        <f t="shared" si="58"/>
        <v>706</v>
      </c>
      <c r="ET19" s="679">
        <f t="shared" si="59"/>
        <v>706</v>
      </c>
      <c r="EU19" s="679">
        <f t="shared" si="60"/>
        <v>706</v>
      </c>
      <c r="EV19" s="679">
        <f t="shared" si="61"/>
        <v>706</v>
      </c>
      <c r="EW19" s="679">
        <f t="shared" si="62"/>
        <v>706</v>
      </c>
      <c r="EX19" s="679">
        <f t="shared" si="63"/>
        <v>706</v>
      </c>
      <c r="EY19" s="679">
        <f t="shared" si="64"/>
        <v>712</v>
      </c>
    </row>
    <row r="20" spans="2:155" ht="12.75" customHeight="1" x14ac:dyDescent="0.2">
      <c r="B20" s="700" t="str">
        <f>IF(COUNTIF($CK$10:CK20,TRUE)&gt;0,"",INDEX(C_InstallationDescription!$E$226:$E$242,ROWS($A$11:A20)))</f>
        <v/>
      </c>
      <c r="C20" s="581" t="str">
        <f>IF($E20="","",INDEX(C_InstallationDescription!F:F,MATCH($B20,C_InstallationDescription!$E:$E,0)))</f>
        <v/>
      </c>
      <c r="D20" s="581" t="str">
        <f>IF($E20="","",INDEX(C_InstallationDescription!I:I,MATCH($B20,C_InstallationDescription!$E:$E,0)))</f>
        <v/>
      </c>
      <c r="E20" s="581" t="str">
        <f>IF($B20="","",INDEX(C_InstallationDescription!F:F,MATCH($CJ20,C_InstallationDescription!$Q:$Q,0)))</f>
        <v/>
      </c>
      <c r="F20" s="706" t="str">
        <f>IF($E20="","",INDEX(C_InstallationDescription!L:L,MATCH($CJ20,C_InstallationDescription!$Q:$Q,0)))</f>
        <v/>
      </c>
      <c r="G20" s="581" t="str">
        <f>IF($E20="","",INDEX(C_InstallationDescription!M:M,MATCH($CJ20,C_InstallationDescription!$Q:$Q,0)))</f>
        <v/>
      </c>
      <c r="H20" s="581" t="str">
        <f>IF($E20="","",INDEX(C_InstallationDescription!N:N,MATCH($CJ20,C_InstallationDescription!$Q:$Q,0)))</f>
        <v/>
      </c>
      <c r="I20" s="703" t="str">
        <f>IF($E20="","",IF(INDEX(E_SourceStreams!$A:$N,CN20,I$7)="","",INDEX(E_SourceStreams!$A:$N,CN20,I$7)))</f>
        <v/>
      </c>
      <c r="J20" s="703" t="str">
        <f>IF($E20="","",IF(INDEX(E_SourceStreams!$A:$N,CO20,J$7)="","",INDEX(E_SourceStreams!$A:$N,CO20,J$7)))</f>
        <v/>
      </c>
      <c r="K20" s="703" t="str">
        <f>IF($E20="","",IF(INDEX(E_SourceStreams!$A:$N,CP20,K$7)="","",INDEX(E_SourceStreams!$A:$N,CP20,K$7)))</f>
        <v/>
      </c>
      <c r="L20" s="703" t="str">
        <f>IF($E20="","",IF(INDEX(E_SourceStreams!$A:$N,CQ20,L$7)="","",INDEX(E_SourceStreams!$A:$N,CQ20,L$7)))</f>
        <v/>
      </c>
      <c r="M20" s="703" t="str">
        <f>IF($E20="","",IF(INDEX(E_SourceStreams!$A:$N,CR20,M$7)="","",INDEX(E_SourceStreams!$A:$N,CR20,M$7)))</f>
        <v/>
      </c>
      <c r="N20" s="703" t="str">
        <f>IF($E20="","",IF(INDEX(E_SourceStreams!$A:$N,CS20,N$7)="","",INDEX(E_SourceStreams!$A:$N,CS20,N$7)))</f>
        <v/>
      </c>
      <c r="O20" s="703" t="str">
        <f>IF($E20="","",IF(INDEX(E_SourceStreams!$A:$N,CT20,O$7)="","",INDEX(E_SourceStreams!$A:$N,CT20,O$7)))</f>
        <v/>
      </c>
      <c r="P20" s="703" t="str">
        <f>IF($E20="","",IF(INDEX(E_SourceStreams!$A:$N,CU20,P$7)="","",INDEX(E_SourceStreams!$A:$N,CU20,P$7)))</f>
        <v/>
      </c>
      <c r="Q20" s="703" t="str">
        <f>IF($E20="","",IF(INDEX(E_SourceStreams!$A:$N,CV20,Q$7)="","",INDEX(E_SourceStreams!$A:$N,CV20,Q$7)))</f>
        <v/>
      </c>
      <c r="R20" s="703" t="str">
        <f>IF($E20="","",IF(INDEX(E_SourceStreams!$A:$N,CW20,R$7)="","",INDEX(E_SourceStreams!$A:$N,CW20,R$7)))</f>
        <v/>
      </c>
      <c r="S20" s="703" t="str">
        <f>IF($E20="","",IF(INDEX(E_SourceStreams!$A:$N,CX20,S$7)="","",INDEX(E_SourceStreams!$A:$N,CX20,S$7)))</f>
        <v/>
      </c>
      <c r="T20" s="703" t="str">
        <f>IF($E20="","",IF(INDEX(E_SourceStreams!$A:$N,CY20,T$7)="","",INDEX(E_SourceStreams!$A:$N,CY20,T$7)))</f>
        <v/>
      </c>
      <c r="U20" s="703" t="str">
        <f>IF($E20="","",IF(INDEX(E_SourceStreams!$A:$N,CZ20,U$7)="","",INDEX(E_SourceStreams!$A:$N,CZ20,U$7)))</f>
        <v/>
      </c>
      <c r="V20" s="703" t="str">
        <f>IF($E20="","",IF(INDEX(E_SourceStreams!$A:$N,DA20,V$7)="","",INDEX(E_SourceStreams!$A:$N,DA20,V$7)))</f>
        <v/>
      </c>
      <c r="W20" s="704" t="str">
        <f>IF($E20="","",IF(INDEX(E_SourceStreams!$A:$N,DB20,W$7)="","",INDEX(E_SourceStreams!$A:$N,DB20,W$7)))</f>
        <v/>
      </c>
      <c r="X20" s="703" t="str">
        <f>IF($E20="","",IF(INDEX(E_SourceStreams!$A:$N,DC20,X$7)="","",INDEX(E_SourceStreams!$A:$N,DC20,X$7)))</f>
        <v/>
      </c>
      <c r="Y20" s="703" t="str">
        <f>IF($E20="","",IF(INDEX(E_SourceStreams!$A:$N,DD20,Y$7)="","",INDEX(E_SourceStreams!$A:$N,DD20,Y$7)))</f>
        <v/>
      </c>
      <c r="Z20" s="703" t="str">
        <f>IF($E20="","",IF(INDEX(E_SourceStreams!$A:$N,DE20,Z$7)="","",INDEX(E_SourceStreams!$A:$N,DE20,Z$7)))</f>
        <v/>
      </c>
      <c r="AA20" s="703" t="str">
        <f>IF($E20="","",IF(INDEX(E_SourceStreams!$A:$N,DF20,AA$7)="","",INDEX(E_SourceStreams!$A:$N,DF20,AA$7)))</f>
        <v/>
      </c>
      <c r="AB20" s="703" t="str">
        <f>IF($E20="","",IF(INDEX(E_SourceStreams!$A:$N,DG20,AB$7)="","",INDEX(E_SourceStreams!$A:$N,DG20,AB$7)))</f>
        <v/>
      </c>
      <c r="AC20" s="703" t="str">
        <f>IF($E20="","",IF(INDEX(E_SourceStreams!$A:$N,DH20,AC$7)="","",INDEX(E_SourceStreams!$A:$N,DH20,AC$7)))</f>
        <v/>
      </c>
      <c r="AD20" s="703" t="str">
        <f>IF($E20="","",IF(INDEX(E_SourceStreams!$A:$N,DI20,AD$7)="","",INDEX(E_SourceStreams!$A:$N,DI20,AD$7)))</f>
        <v/>
      </c>
      <c r="AE20" s="703" t="str">
        <f>IF($E20="","",IF(INDEX(E_SourceStreams!$A:$N,DJ20,AE$7)="","",INDEX(E_SourceStreams!$A:$N,DJ20,AE$7)))</f>
        <v/>
      </c>
      <c r="AF20" s="703" t="str">
        <f>IF($E20="","",IF(INDEX(E_SourceStreams!$A:$N,DK20,AF$7)="","",INDEX(E_SourceStreams!$A:$N,DK20,AF$7)))</f>
        <v/>
      </c>
      <c r="AG20" s="703" t="str">
        <f>IF($E20="","",IF(INDEX(E_SourceStreams!$A:$N,DL20,AG$7)="","",INDEX(E_SourceStreams!$A:$N,DL20,AG$7)))</f>
        <v/>
      </c>
      <c r="AH20" s="703" t="str">
        <f>IF($E20="","",IF(INDEX(E_SourceStreams!$A:$N,DM20,AH$7)="","",INDEX(E_SourceStreams!$A:$N,DM20,AH$7)))</f>
        <v/>
      </c>
      <c r="AI20" s="703" t="str">
        <f>IF($E20="","",IF(INDEX(E_SourceStreams!$A:$N,DN20,AI$7)="","",INDEX(E_SourceStreams!$A:$N,DN20,AI$7)))</f>
        <v/>
      </c>
      <c r="AJ20" s="703" t="str">
        <f>IF($E20="","",IF(INDEX(E_SourceStreams!$A:$N,DO20,AJ$7)="","",INDEX(E_SourceStreams!$A:$N,DO20,AJ$7)))</f>
        <v/>
      </c>
      <c r="AK20" s="703" t="str">
        <f>IF($E20="","",IF(INDEX(E_SourceStreams!$A:$N,DP20,AK$7)="","",INDEX(E_SourceStreams!$A:$N,DP20,AK$7)))</f>
        <v/>
      </c>
      <c r="AL20" s="703" t="str">
        <f>IF($E20="","",IF(INDEX(E_SourceStreams!$A:$N,DQ20,AL$7)="","",INDEX(E_SourceStreams!$A:$N,DQ20,AL$7)))</f>
        <v/>
      </c>
      <c r="AM20" s="703" t="str">
        <f>IF($E20="","",IF(INDEX(E_SourceStreams!$A:$N,DR20,AM$7)="","",INDEX(E_SourceStreams!$A:$N,DR20,AM$7)))</f>
        <v/>
      </c>
      <c r="AN20" s="703" t="str">
        <f>IF($E20="","",IF(INDEX(E_SourceStreams!$A:$N,DS20,AN$7)="","",INDEX(E_SourceStreams!$A:$N,DS20,AN$7)))</f>
        <v/>
      </c>
      <c r="AO20" s="703" t="str">
        <f>IF($E20="","",IF(INDEX(E_SourceStreams!$A:$N,DT20,AO$7)="","",INDEX(E_SourceStreams!$A:$N,DT20,AO$7)))</f>
        <v/>
      </c>
      <c r="AP20" s="703" t="str">
        <f>IF($E20="","",IF(INDEX(E_SourceStreams!$A:$N,DU20,AP$7)="","",INDEX(E_SourceStreams!$A:$N,DU20,AP$7)))</f>
        <v/>
      </c>
      <c r="AQ20" s="703" t="str">
        <f>IF($E20="","",IF(INDEX(E_SourceStreams!$A:$N,DV20,AQ$7)="","",INDEX(E_SourceStreams!$A:$N,DV20,AQ$7)))</f>
        <v/>
      </c>
      <c r="AR20" s="703" t="str">
        <f>IF($E20="","",IF(INDEX(E_SourceStreams!$A:$N,DW20,AR$7)="","",INDEX(E_SourceStreams!$A:$N,DW20,AR$7)))</f>
        <v/>
      </c>
      <c r="AS20" s="703" t="str">
        <f>IF($E20="","",IF(INDEX(E_SourceStreams!$A:$N,DX20,AS$7)="","",INDEX(E_SourceStreams!$A:$N,DX20,AS$7)))</f>
        <v/>
      </c>
      <c r="AT20" s="703" t="str">
        <f>IF($E20="","",IF(INDEX(E_SourceStreams!$A:$N,DY20,AT$7)="","",INDEX(E_SourceStreams!$A:$N,DY20,AT$7)))</f>
        <v/>
      </c>
      <c r="AU20" s="703" t="str">
        <f>IF($E20="","",IF(INDEX(E_SourceStreams!$A:$N,DZ20,AU$7)="","",INDEX(E_SourceStreams!$A:$N,DZ20,AU$7)))</f>
        <v/>
      </c>
      <c r="AV20" s="703" t="str">
        <f>IF($E20="","",IF(INDEX(E_SourceStreams!$A:$N,EA20,AV$7)="","",INDEX(E_SourceStreams!$A:$N,EA20,AV$7)))</f>
        <v/>
      </c>
      <c r="AW20" s="703" t="str">
        <f>IF($E20="","",IF(INDEX(E_SourceStreams!$A:$N,EB20,AW$7)="","",INDEX(E_SourceStreams!$A:$N,EB20,AW$7)))</f>
        <v/>
      </c>
      <c r="AX20" s="703" t="str">
        <f>IF($E20="","",IF(INDEX(E_SourceStreams!$A:$N,EC20,AX$7)="","",INDEX(E_SourceStreams!$A:$N,EC20,AX$7)))</f>
        <v/>
      </c>
      <c r="AY20" s="703" t="str">
        <f>IF($E20="","",IF(INDEX(E_SourceStreams!$A:$N,ED20,AY$7)="","",INDEX(E_SourceStreams!$A:$N,ED20,AY$7)))</f>
        <v/>
      </c>
      <c r="AZ20" s="703" t="str">
        <f>IF($E20="","",IF(INDEX(E_SourceStreams!$A:$N,EE20,AZ$7)="","",INDEX(E_SourceStreams!$A:$N,EE20,AZ$7)))</f>
        <v/>
      </c>
      <c r="BA20" s="703" t="str">
        <f>IF($E20="","",IF(INDEX(E_SourceStreams!$A:$N,EF20,BA$7)="","",INDEX(E_SourceStreams!$A:$N,EF20,BA$7)))</f>
        <v/>
      </c>
      <c r="BB20" s="703" t="str">
        <f>IF($E20="","",IF(INDEX(E_SourceStreams!$A:$N,EG20,BB$7)="","",INDEX(E_SourceStreams!$A:$N,EG20,BB$7)))</f>
        <v/>
      </c>
      <c r="BC20" s="703" t="str">
        <f>IF($E20="","",IF(INDEX(E_SourceStreams!$A:$N,EH20,BC$7)="","",INDEX(E_SourceStreams!$A:$N,EH20,BC$7)))</f>
        <v/>
      </c>
      <c r="BD20" s="703" t="str">
        <f>IF($E20="","",IF(INDEX(E_SourceStreams!$A:$N,EI20,BD$7)="","",INDEX(E_SourceStreams!$A:$N,EI20,BD$7)))</f>
        <v/>
      </c>
      <c r="BE20" s="703" t="str">
        <f>IF($E20="","",IF(INDEX(E_SourceStreams!$A:$N,EJ20,BE$7)="","",INDEX(E_SourceStreams!$A:$N,EJ20,BE$7)))</f>
        <v/>
      </c>
      <c r="BF20" s="703" t="str">
        <f>IF($E20="","",IF(INDEX(E_SourceStreams!$A:$N,EK20,BF$7)="","",INDEX(E_SourceStreams!$A:$N,EK20,BF$7)))</f>
        <v/>
      </c>
      <c r="BG20" s="703" t="str">
        <f>IF($E20="","",IF(INDEX(E_SourceStreams!$A:$N,EL20,BG$7)="","",INDEX(E_SourceStreams!$A:$N,EL20,BG$7)))</f>
        <v/>
      </c>
      <c r="BH20" s="703" t="str">
        <f>IF($E20="","",IF(INDEX(E_SourceStreams!$A:$N,EM20,BH$7)="","",INDEX(E_SourceStreams!$A:$N,EM20,BH$7)))</f>
        <v/>
      </c>
      <c r="BI20" s="703" t="str">
        <f>IF($E20="","",IF(INDEX(E_SourceStreams!$A:$N,EN20,BI$7)="","",INDEX(E_SourceStreams!$A:$N,EN20,BI$7)))</f>
        <v/>
      </c>
      <c r="BJ20" s="703" t="str">
        <f>IF($E20="","",IF(INDEX(E_SourceStreams!$A:$N,EO20,BJ$7)="","",INDEX(E_SourceStreams!$A:$N,EO20,BJ$7)))</f>
        <v/>
      </c>
      <c r="BK20" s="703" t="str">
        <f>IF($E20="","",IF(INDEX(E_SourceStreams!$A:$N,EP20,BK$7)="","",INDEX(E_SourceStreams!$A:$N,EP20,BK$7)))</f>
        <v/>
      </c>
      <c r="BL20" s="703" t="str">
        <f>IF($E20="","",IF(INDEX(E_SourceStreams!$A:$N,EQ20,BL$7)="","",INDEX(E_SourceStreams!$A:$N,EQ20,BL$7)))</f>
        <v/>
      </c>
      <c r="BM20" s="703" t="str">
        <f>IF($E20="","",IF(INDEX(E_SourceStreams!$A:$N,ER20,BM$7)="","",INDEX(E_SourceStreams!$A:$N,ER20,BM$7)))</f>
        <v/>
      </c>
      <c r="BN20" s="703" t="str">
        <f>IF($E20="","",IF(INDEX(E_SourceStreams!$A:$N,ES20,BN$7)="","",INDEX(E_SourceStreams!$A:$N,ES20,BN$7)))</f>
        <v/>
      </c>
      <c r="BO20" s="703" t="str">
        <f>IF($E20="","",IF(INDEX(E_SourceStreams!$A:$N,ET20,BO$7)="","",INDEX(E_SourceStreams!$A:$N,ET20,BO$7)))</f>
        <v/>
      </c>
      <c r="BP20" s="703" t="str">
        <f>IF($E20="","",IF(INDEX(E_SourceStreams!$A:$N,EU20,BP$7)="","",INDEX(E_SourceStreams!$A:$N,EU20,BP$7)))</f>
        <v/>
      </c>
      <c r="BQ20" s="703" t="str">
        <f>IF($E20="","",IF(INDEX(E_SourceStreams!$A:$N,EV20,BQ$7)="","",INDEX(E_SourceStreams!$A:$N,EV20,BQ$7)))</f>
        <v/>
      </c>
      <c r="BR20" s="703" t="str">
        <f>IF($E20="","",IF(INDEX(E_SourceStreams!$A:$N,EW20,BR$7)="","",INDEX(E_SourceStreams!$A:$N,EW20,BR$7)))</f>
        <v/>
      </c>
      <c r="BS20" s="703" t="str">
        <f>IF($E20="","",IF(INDEX(E_SourceStreams!$A:$N,EX20,BS$7)="","",INDEX(E_SourceStreams!$A:$N,EX20,BS$7)))</f>
        <v/>
      </c>
      <c r="BT20" s="703" t="str">
        <f>IF($E20="","",IF(INDEX(E_SourceStreams!$A:$N,EY20,BT$7)="","",INDEX(E_SourceStreams!$A:$N,EY20,BT$7)))</f>
        <v/>
      </c>
      <c r="BU20" s="625"/>
      <c r="CJ20" s="679" t="str">
        <f t="shared" si="0"/>
        <v>SourceCategory_</v>
      </c>
      <c r="CK20" s="679" t="b">
        <f>INDEX(C_InstallationDescription!$A$226:$A$332,ROWS($CI$11:CI20))="ausblenden"</f>
        <v>0</v>
      </c>
      <c r="CL20" s="679" t="str">
        <f t="shared" si="1"/>
        <v>SourceStreamName_</v>
      </c>
      <c r="CN20" s="679">
        <f t="shared" si="65"/>
        <v>729</v>
      </c>
      <c r="CO20" s="679">
        <f t="shared" si="2"/>
        <v>731</v>
      </c>
      <c r="CP20" s="679">
        <f t="shared" si="3"/>
        <v>733</v>
      </c>
      <c r="CQ20" s="679">
        <f t="shared" si="4"/>
        <v>735</v>
      </c>
      <c r="CR20" s="679">
        <f t="shared" si="5"/>
        <v>737</v>
      </c>
      <c r="CS20" s="679">
        <f t="shared" si="6"/>
        <v>739</v>
      </c>
      <c r="CT20" s="679">
        <f t="shared" si="7"/>
        <v>741</v>
      </c>
      <c r="CU20" s="679">
        <f t="shared" si="8"/>
        <v>741</v>
      </c>
      <c r="CV20" s="679">
        <f t="shared" si="9"/>
        <v>741</v>
      </c>
      <c r="CW20" s="679">
        <f t="shared" si="10"/>
        <v>741</v>
      </c>
      <c r="CX20" s="679">
        <f t="shared" si="11"/>
        <v>741</v>
      </c>
      <c r="CY20" s="679">
        <f t="shared" si="12"/>
        <v>744</v>
      </c>
      <c r="CZ20" s="679">
        <f t="shared" si="13"/>
        <v>748</v>
      </c>
      <c r="DA20" s="679">
        <f t="shared" si="14"/>
        <v>749</v>
      </c>
      <c r="DB20" s="679">
        <f t="shared" si="15"/>
        <v>750</v>
      </c>
      <c r="DC20" s="679">
        <f t="shared" si="16"/>
        <v>757</v>
      </c>
      <c r="DD20" s="679">
        <f t="shared" si="17"/>
        <v>767</v>
      </c>
      <c r="DE20" s="679">
        <f t="shared" si="18"/>
        <v>767</v>
      </c>
      <c r="DF20" s="679">
        <f t="shared" si="19"/>
        <v>767</v>
      </c>
      <c r="DG20" s="679">
        <f t="shared" si="20"/>
        <v>767</v>
      </c>
      <c r="DH20" s="679">
        <f t="shared" si="21"/>
        <v>767</v>
      </c>
      <c r="DI20" s="679">
        <f t="shared" si="22"/>
        <v>767</v>
      </c>
      <c r="DJ20" s="679">
        <f t="shared" si="23"/>
        <v>767</v>
      </c>
      <c r="DK20" s="679">
        <f t="shared" si="24"/>
        <v>758</v>
      </c>
      <c r="DL20" s="679">
        <f t="shared" si="25"/>
        <v>768</v>
      </c>
      <c r="DM20" s="679">
        <f t="shared" si="26"/>
        <v>768</v>
      </c>
      <c r="DN20" s="679">
        <f t="shared" si="27"/>
        <v>768</v>
      </c>
      <c r="DO20" s="679">
        <f t="shared" si="28"/>
        <v>768</v>
      </c>
      <c r="DP20" s="679">
        <f t="shared" si="29"/>
        <v>768</v>
      </c>
      <c r="DQ20" s="679">
        <f t="shared" si="30"/>
        <v>768</v>
      </c>
      <c r="DR20" s="679">
        <f t="shared" si="31"/>
        <v>768</v>
      </c>
      <c r="DS20" s="679">
        <f t="shared" si="32"/>
        <v>759</v>
      </c>
      <c r="DT20" s="679">
        <f t="shared" si="33"/>
        <v>769</v>
      </c>
      <c r="DU20" s="679">
        <f t="shared" si="34"/>
        <v>769</v>
      </c>
      <c r="DV20" s="679">
        <f t="shared" si="35"/>
        <v>769</v>
      </c>
      <c r="DW20" s="679">
        <f t="shared" si="36"/>
        <v>769</v>
      </c>
      <c r="DX20" s="679">
        <f t="shared" si="37"/>
        <v>769</v>
      </c>
      <c r="DY20" s="679">
        <f t="shared" si="38"/>
        <v>769</v>
      </c>
      <c r="DZ20" s="679">
        <f t="shared" si="39"/>
        <v>769</v>
      </c>
      <c r="EA20" s="679">
        <f t="shared" si="40"/>
        <v>760</v>
      </c>
      <c r="EB20" s="679">
        <f t="shared" si="41"/>
        <v>770</v>
      </c>
      <c r="EC20" s="679">
        <f t="shared" si="42"/>
        <v>770</v>
      </c>
      <c r="ED20" s="679">
        <f t="shared" si="43"/>
        <v>770</v>
      </c>
      <c r="EE20" s="679">
        <f t="shared" si="44"/>
        <v>770</v>
      </c>
      <c r="EF20" s="679">
        <f t="shared" si="45"/>
        <v>770</v>
      </c>
      <c r="EG20" s="679">
        <f t="shared" si="46"/>
        <v>770</v>
      </c>
      <c r="EH20" s="679">
        <f t="shared" si="47"/>
        <v>770</v>
      </c>
      <c r="EI20" s="679">
        <f t="shared" si="48"/>
        <v>761</v>
      </c>
      <c r="EJ20" s="679">
        <f t="shared" si="49"/>
        <v>771</v>
      </c>
      <c r="EK20" s="679">
        <f t="shared" si="50"/>
        <v>771</v>
      </c>
      <c r="EL20" s="679">
        <f t="shared" si="51"/>
        <v>771</v>
      </c>
      <c r="EM20" s="679">
        <f t="shared" si="52"/>
        <v>771</v>
      </c>
      <c r="EN20" s="679">
        <f t="shared" si="53"/>
        <v>771</v>
      </c>
      <c r="EO20" s="679">
        <f t="shared" si="54"/>
        <v>771</v>
      </c>
      <c r="EP20" s="679">
        <f t="shared" si="55"/>
        <v>771</v>
      </c>
      <c r="EQ20" s="679">
        <f t="shared" si="56"/>
        <v>762</v>
      </c>
      <c r="ER20" s="679">
        <f t="shared" si="57"/>
        <v>772</v>
      </c>
      <c r="ES20" s="679">
        <f t="shared" si="58"/>
        <v>772</v>
      </c>
      <c r="ET20" s="679">
        <f t="shared" si="59"/>
        <v>772</v>
      </c>
      <c r="EU20" s="679">
        <f t="shared" si="60"/>
        <v>772</v>
      </c>
      <c r="EV20" s="679">
        <f t="shared" si="61"/>
        <v>772</v>
      </c>
      <c r="EW20" s="679">
        <f t="shared" si="62"/>
        <v>772</v>
      </c>
      <c r="EX20" s="679">
        <f t="shared" si="63"/>
        <v>772</v>
      </c>
      <c r="EY20" s="679">
        <f t="shared" si="64"/>
        <v>778</v>
      </c>
    </row>
    <row r="21" spans="2:155" ht="12.75" customHeight="1" x14ac:dyDescent="0.2">
      <c r="B21" s="700" t="str">
        <f>IF(COUNTIF($CK$10:CK21,TRUE)&gt;0,"",INDEX(C_InstallationDescription!$E$226:$E$242,ROWS($A$11:A21)))</f>
        <v/>
      </c>
      <c r="C21" s="581" t="str">
        <f>IF($E21="","",INDEX(C_InstallationDescription!F:F,MATCH($B21,C_InstallationDescription!$E:$E,0)))</f>
        <v/>
      </c>
      <c r="D21" s="581" t="str">
        <f>IF($E21="","",INDEX(C_InstallationDescription!I:I,MATCH($B21,C_InstallationDescription!$E:$E,0)))</f>
        <v/>
      </c>
      <c r="E21" s="581" t="str">
        <f>IF($B21="","",INDEX(C_InstallationDescription!F:F,MATCH($CJ21,C_InstallationDescription!$Q:$Q,0)))</f>
        <v/>
      </c>
      <c r="F21" s="706" t="str">
        <f>IF($E21="","",INDEX(C_InstallationDescription!L:L,MATCH($CJ21,C_InstallationDescription!$Q:$Q,0)))</f>
        <v/>
      </c>
      <c r="G21" s="581" t="str">
        <f>IF($E21="","",INDEX(C_InstallationDescription!M:M,MATCH($CJ21,C_InstallationDescription!$Q:$Q,0)))</f>
        <v/>
      </c>
      <c r="H21" s="581" t="str">
        <f>IF($E21="","",INDEX(C_InstallationDescription!N:N,MATCH($CJ21,C_InstallationDescription!$Q:$Q,0)))</f>
        <v/>
      </c>
      <c r="I21" s="703" t="str">
        <f>IF($E21="","",IF(INDEX(E_SourceStreams!$A:$N,CN21,I$7)="","",INDEX(E_SourceStreams!$A:$N,CN21,I$7)))</f>
        <v/>
      </c>
      <c r="J21" s="703" t="str">
        <f>IF($E21="","",IF(INDEX(E_SourceStreams!$A:$N,CO21,J$7)="","",INDEX(E_SourceStreams!$A:$N,CO21,J$7)))</f>
        <v/>
      </c>
      <c r="K21" s="703" t="str">
        <f>IF($E21="","",IF(INDEX(E_SourceStreams!$A:$N,CP21,K$7)="","",INDEX(E_SourceStreams!$A:$N,CP21,K$7)))</f>
        <v/>
      </c>
      <c r="L21" s="703" t="str">
        <f>IF($E21="","",IF(INDEX(E_SourceStreams!$A:$N,CQ21,L$7)="","",INDEX(E_SourceStreams!$A:$N,CQ21,L$7)))</f>
        <v/>
      </c>
      <c r="M21" s="703" t="str">
        <f>IF($E21="","",IF(INDEX(E_SourceStreams!$A:$N,CR21,M$7)="","",INDEX(E_SourceStreams!$A:$N,CR21,M$7)))</f>
        <v/>
      </c>
      <c r="N21" s="703" t="str">
        <f>IF($E21="","",IF(INDEX(E_SourceStreams!$A:$N,CS21,N$7)="","",INDEX(E_SourceStreams!$A:$N,CS21,N$7)))</f>
        <v/>
      </c>
      <c r="O21" s="703" t="str">
        <f>IF($E21="","",IF(INDEX(E_SourceStreams!$A:$N,CT21,O$7)="","",INDEX(E_SourceStreams!$A:$N,CT21,O$7)))</f>
        <v/>
      </c>
      <c r="P21" s="703" t="str">
        <f>IF($E21="","",IF(INDEX(E_SourceStreams!$A:$N,CU21,P$7)="","",INDEX(E_SourceStreams!$A:$N,CU21,P$7)))</f>
        <v/>
      </c>
      <c r="Q21" s="703" t="str">
        <f>IF($E21="","",IF(INDEX(E_SourceStreams!$A:$N,CV21,Q$7)="","",INDEX(E_SourceStreams!$A:$N,CV21,Q$7)))</f>
        <v/>
      </c>
      <c r="R21" s="703" t="str">
        <f>IF($E21="","",IF(INDEX(E_SourceStreams!$A:$N,CW21,R$7)="","",INDEX(E_SourceStreams!$A:$N,CW21,R$7)))</f>
        <v/>
      </c>
      <c r="S21" s="703" t="str">
        <f>IF($E21="","",IF(INDEX(E_SourceStreams!$A:$N,CX21,S$7)="","",INDEX(E_SourceStreams!$A:$N,CX21,S$7)))</f>
        <v/>
      </c>
      <c r="T21" s="703" t="str">
        <f>IF($E21="","",IF(INDEX(E_SourceStreams!$A:$N,CY21,T$7)="","",INDEX(E_SourceStreams!$A:$N,CY21,T$7)))</f>
        <v/>
      </c>
      <c r="U21" s="703" t="str">
        <f>IF($E21="","",IF(INDEX(E_SourceStreams!$A:$N,CZ21,U$7)="","",INDEX(E_SourceStreams!$A:$N,CZ21,U$7)))</f>
        <v/>
      </c>
      <c r="V21" s="703" t="str">
        <f>IF($E21="","",IF(INDEX(E_SourceStreams!$A:$N,DA21,V$7)="","",INDEX(E_SourceStreams!$A:$N,DA21,V$7)))</f>
        <v/>
      </c>
      <c r="W21" s="704" t="str">
        <f>IF($E21="","",IF(INDEX(E_SourceStreams!$A:$N,DB21,W$7)="","",INDEX(E_SourceStreams!$A:$N,DB21,W$7)))</f>
        <v/>
      </c>
      <c r="X21" s="703" t="str">
        <f>IF($E21="","",IF(INDEX(E_SourceStreams!$A:$N,DC21,X$7)="","",INDEX(E_SourceStreams!$A:$N,DC21,X$7)))</f>
        <v/>
      </c>
      <c r="Y21" s="703" t="str">
        <f>IF($E21="","",IF(INDEX(E_SourceStreams!$A:$N,DD21,Y$7)="","",INDEX(E_SourceStreams!$A:$N,DD21,Y$7)))</f>
        <v/>
      </c>
      <c r="Z21" s="703" t="str">
        <f>IF($E21="","",IF(INDEX(E_SourceStreams!$A:$N,DE21,Z$7)="","",INDEX(E_SourceStreams!$A:$N,DE21,Z$7)))</f>
        <v/>
      </c>
      <c r="AA21" s="703" t="str">
        <f>IF($E21="","",IF(INDEX(E_SourceStreams!$A:$N,DF21,AA$7)="","",INDEX(E_SourceStreams!$A:$N,DF21,AA$7)))</f>
        <v/>
      </c>
      <c r="AB21" s="703" t="str">
        <f>IF($E21="","",IF(INDEX(E_SourceStreams!$A:$N,DG21,AB$7)="","",INDEX(E_SourceStreams!$A:$N,DG21,AB$7)))</f>
        <v/>
      </c>
      <c r="AC21" s="703" t="str">
        <f>IF($E21="","",IF(INDEX(E_SourceStreams!$A:$N,DH21,AC$7)="","",INDEX(E_SourceStreams!$A:$N,DH21,AC$7)))</f>
        <v/>
      </c>
      <c r="AD21" s="703" t="str">
        <f>IF($E21="","",IF(INDEX(E_SourceStreams!$A:$N,DI21,AD$7)="","",INDEX(E_SourceStreams!$A:$N,DI21,AD$7)))</f>
        <v/>
      </c>
      <c r="AE21" s="703" t="str">
        <f>IF($E21="","",IF(INDEX(E_SourceStreams!$A:$N,DJ21,AE$7)="","",INDEX(E_SourceStreams!$A:$N,DJ21,AE$7)))</f>
        <v/>
      </c>
      <c r="AF21" s="703" t="str">
        <f>IF($E21="","",IF(INDEX(E_SourceStreams!$A:$N,DK21,AF$7)="","",INDEX(E_SourceStreams!$A:$N,DK21,AF$7)))</f>
        <v/>
      </c>
      <c r="AG21" s="703" t="str">
        <f>IF($E21="","",IF(INDEX(E_SourceStreams!$A:$N,DL21,AG$7)="","",INDEX(E_SourceStreams!$A:$N,DL21,AG$7)))</f>
        <v/>
      </c>
      <c r="AH21" s="703" t="str">
        <f>IF($E21="","",IF(INDEX(E_SourceStreams!$A:$N,DM21,AH$7)="","",INDEX(E_SourceStreams!$A:$N,DM21,AH$7)))</f>
        <v/>
      </c>
      <c r="AI21" s="703" t="str">
        <f>IF($E21="","",IF(INDEX(E_SourceStreams!$A:$N,DN21,AI$7)="","",INDEX(E_SourceStreams!$A:$N,DN21,AI$7)))</f>
        <v/>
      </c>
      <c r="AJ21" s="703" t="str">
        <f>IF($E21="","",IF(INDEX(E_SourceStreams!$A:$N,DO21,AJ$7)="","",INDEX(E_SourceStreams!$A:$N,DO21,AJ$7)))</f>
        <v/>
      </c>
      <c r="AK21" s="703" t="str">
        <f>IF($E21="","",IF(INDEX(E_SourceStreams!$A:$N,DP21,AK$7)="","",INDEX(E_SourceStreams!$A:$N,DP21,AK$7)))</f>
        <v/>
      </c>
      <c r="AL21" s="703" t="str">
        <f>IF($E21="","",IF(INDEX(E_SourceStreams!$A:$N,DQ21,AL$7)="","",INDEX(E_SourceStreams!$A:$N,DQ21,AL$7)))</f>
        <v/>
      </c>
      <c r="AM21" s="703" t="str">
        <f>IF($E21="","",IF(INDEX(E_SourceStreams!$A:$N,DR21,AM$7)="","",INDEX(E_SourceStreams!$A:$N,DR21,AM$7)))</f>
        <v/>
      </c>
      <c r="AN21" s="703" t="str">
        <f>IF($E21="","",IF(INDEX(E_SourceStreams!$A:$N,DS21,AN$7)="","",INDEX(E_SourceStreams!$A:$N,DS21,AN$7)))</f>
        <v/>
      </c>
      <c r="AO21" s="703" t="str">
        <f>IF($E21="","",IF(INDEX(E_SourceStreams!$A:$N,DT21,AO$7)="","",INDEX(E_SourceStreams!$A:$N,DT21,AO$7)))</f>
        <v/>
      </c>
      <c r="AP21" s="703" t="str">
        <f>IF($E21="","",IF(INDEX(E_SourceStreams!$A:$N,DU21,AP$7)="","",INDEX(E_SourceStreams!$A:$N,DU21,AP$7)))</f>
        <v/>
      </c>
      <c r="AQ21" s="703" t="str">
        <f>IF($E21="","",IF(INDEX(E_SourceStreams!$A:$N,DV21,AQ$7)="","",INDEX(E_SourceStreams!$A:$N,DV21,AQ$7)))</f>
        <v/>
      </c>
      <c r="AR21" s="703" t="str">
        <f>IF($E21="","",IF(INDEX(E_SourceStreams!$A:$N,DW21,AR$7)="","",INDEX(E_SourceStreams!$A:$N,DW21,AR$7)))</f>
        <v/>
      </c>
      <c r="AS21" s="703" t="str">
        <f>IF($E21="","",IF(INDEX(E_SourceStreams!$A:$N,DX21,AS$7)="","",INDEX(E_SourceStreams!$A:$N,DX21,AS$7)))</f>
        <v/>
      </c>
      <c r="AT21" s="703" t="str">
        <f>IF($E21="","",IF(INDEX(E_SourceStreams!$A:$N,DY21,AT$7)="","",INDEX(E_SourceStreams!$A:$N,DY21,AT$7)))</f>
        <v/>
      </c>
      <c r="AU21" s="703" t="str">
        <f>IF($E21="","",IF(INDEX(E_SourceStreams!$A:$N,DZ21,AU$7)="","",INDEX(E_SourceStreams!$A:$N,DZ21,AU$7)))</f>
        <v/>
      </c>
      <c r="AV21" s="703" t="str">
        <f>IF($E21="","",IF(INDEX(E_SourceStreams!$A:$N,EA21,AV$7)="","",INDEX(E_SourceStreams!$A:$N,EA21,AV$7)))</f>
        <v/>
      </c>
      <c r="AW21" s="703" t="str">
        <f>IF($E21="","",IF(INDEX(E_SourceStreams!$A:$N,EB21,AW$7)="","",INDEX(E_SourceStreams!$A:$N,EB21,AW$7)))</f>
        <v/>
      </c>
      <c r="AX21" s="703" t="str">
        <f>IF($E21="","",IF(INDEX(E_SourceStreams!$A:$N,EC21,AX$7)="","",INDEX(E_SourceStreams!$A:$N,EC21,AX$7)))</f>
        <v/>
      </c>
      <c r="AY21" s="703" t="str">
        <f>IF($E21="","",IF(INDEX(E_SourceStreams!$A:$N,ED21,AY$7)="","",INDEX(E_SourceStreams!$A:$N,ED21,AY$7)))</f>
        <v/>
      </c>
      <c r="AZ21" s="703" t="str">
        <f>IF($E21="","",IF(INDEX(E_SourceStreams!$A:$N,EE21,AZ$7)="","",INDEX(E_SourceStreams!$A:$N,EE21,AZ$7)))</f>
        <v/>
      </c>
      <c r="BA21" s="703" t="str">
        <f>IF($E21="","",IF(INDEX(E_SourceStreams!$A:$N,EF21,BA$7)="","",INDEX(E_SourceStreams!$A:$N,EF21,BA$7)))</f>
        <v/>
      </c>
      <c r="BB21" s="703" t="str">
        <f>IF($E21="","",IF(INDEX(E_SourceStreams!$A:$N,EG21,BB$7)="","",INDEX(E_SourceStreams!$A:$N,EG21,BB$7)))</f>
        <v/>
      </c>
      <c r="BC21" s="703" t="str">
        <f>IF($E21="","",IF(INDEX(E_SourceStreams!$A:$N,EH21,BC$7)="","",INDEX(E_SourceStreams!$A:$N,EH21,BC$7)))</f>
        <v/>
      </c>
      <c r="BD21" s="703" t="str">
        <f>IF($E21="","",IF(INDEX(E_SourceStreams!$A:$N,EI21,BD$7)="","",INDEX(E_SourceStreams!$A:$N,EI21,BD$7)))</f>
        <v/>
      </c>
      <c r="BE21" s="703" t="str">
        <f>IF($E21="","",IF(INDEX(E_SourceStreams!$A:$N,EJ21,BE$7)="","",INDEX(E_SourceStreams!$A:$N,EJ21,BE$7)))</f>
        <v/>
      </c>
      <c r="BF21" s="703" t="str">
        <f>IF($E21="","",IF(INDEX(E_SourceStreams!$A:$N,EK21,BF$7)="","",INDEX(E_SourceStreams!$A:$N,EK21,BF$7)))</f>
        <v/>
      </c>
      <c r="BG21" s="703" t="str">
        <f>IF($E21="","",IF(INDEX(E_SourceStreams!$A:$N,EL21,BG$7)="","",INDEX(E_SourceStreams!$A:$N,EL21,BG$7)))</f>
        <v/>
      </c>
      <c r="BH21" s="703" t="str">
        <f>IF($E21="","",IF(INDEX(E_SourceStreams!$A:$N,EM21,BH$7)="","",INDEX(E_SourceStreams!$A:$N,EM21,BH$7)))</f>
        <v/>
      </c>
      <c r="BI21" s="703" t="str">
        <f>IF($E21="","",IF(INDEX(E_SourceStreams!$A:$N,EN21,BI$7)="","",INDEX(E_SourceStreams!$A:$N,EN21,BI$7)))</f>
        <v/>
      </c>
      <c r="BJ21" s="703" t="str">
        <f>IF($E21="","",IF(INDEX(E_SourceStreams!$A:$N,EO21,BJ$7)="","",INDEX(E_SourceStreams!$A:$N,EO21,BJ$7)))</f>
        <v/>
      </c>
      <c r="BK21" s="703" t="str">
        <f>IF($E21="","",IF(INDEX(E_SourceStreams!$A:$N,EP21,BK$7)="","",INDEX(E_SourceStreams!$A:$N,EP21,BK$7)))</f>
        <v/>
      </c>
      <c r="BL21" s="703" t="str">
        <f>IF($E21="","",IF(INDEX(E_SourceStreams!$A:$N,EQ21,BL$7)="","",INDEX(E_SourceStreams!$A:$N,EQ21,BL$7)))</f>
        <v/>
      </c>
      <c r="BM21" s="703" t="str">
        <f>IF($E21="","",IF(INDEX(E_SourceStreams!$A:$N,ER21,BM$7)="","",INDEX(E_SourceStreams!$A:$N,ER21,BM$7)))</f>
        <v/>
      </c>
      <c r="BN21" s="703" t="str">
        <f>IF($E21="","",IF(INDEX(E_SourceStreams!$A:$N,ES21,BN$7)="","",INDEX(E_SourceStreams!$A:$N,ES21,BN$7)))</f>
        <v/>
      </c>
      <c r="BO21" s="703" t="str">
        <f>IF($E21="","",IF(INDEX(E_SourceStreams!$A:$N,ET21,BO$7)="","",INDEX(E_SourceStreams!$A:$N,ET21,BO$7)))</f>
        <v/>
      </c>
      <c r="BP21" s="703" t="str">
        <f>IF($E21="","",IF(INDEX(E_SourceStreams!$A:$N,EU21,BP$7)="","",INDEX(E_SourceStreams!$A:$N,EU21,BP$7)))</f>
        <v/>
      </c>
      <c r="BQ21" s="703" t="str">
        <f>IF($E21="","",IF(INDEX(E_SourceStreams!$A:$N,EV21,BQ$7)="","",INDEX(E_SourceStreams!$A:$N,EV21,BQ$7)))</f>
        <v/>
      </c>
      <c r="BR21" s="703" t="str">
        <f>IF($E21="","",IF(INDEX(E_SourceStreams!$A:$N,EW21,BR$7)="","",INDEX(E_SourceStreams!$A:$N,EW21,BR$7)))</f>
        <v/>
      </c>
      <c r="BS21" s="703" t="str">
        <f>IF($E21="","",IF(INDEX(E_SourceStreams!$A:$N,EX21,BS$7)="","",INDEX(E_SourceStreams!$A:$N,EX21,BS$7)))</f>
        <v/>
      </c>
      <c r="BT21" s="703" t="str">
        <f>IF($E21="","",IF(INDEX(E_SourceStreams!$A:$N,EY21,BT$7)="","",INDEX(E_SourceStreams!$A:$N,EY21,BT$7)))</f>
        <v/>
      </c>
      <c r="BU21" s="625"/>
      <c r="CJ21" s="679" t="str">
        <f t="shared" si="0"/>
        <v>SourceCategory_</v>
      </c>
      <c r="CK21" s="679" t="b">
        <f>INDEX(C_InstallationDescription!$A$226:$A$332,ROWS($CI$11:CI21))="ausblenden"</f>
        <v>1</v>
      </c>
      <c r="CL21" s="679" t="str">
        <f t="shared" si="1"/>
        <v>SourceStreamName_</v>
      </c>
      <c r="CN21" s="679">
        <f t="shared" si="65"/>
        <v>795</v>
      </c>
      <c r="CO21" s="679">
        <f t="shared" si="2"/>
        <v>797</v>
      </c>
      <c r="CP21" s="679">
        <f t="shared" si="3"/>
        <v>799</v>
      </c>
      <c r="CQ21" s="679">
        <f t="shared" si="4"/>
        <v>801</v>
      </c>
      <c r="CR21" s="679">
        <f t="shared" si="5"/>
        <v>803</v>
      </c>
      <c r="CS21" s="679">
        <f t="shared" si="6"/>
        <v>805</v>
      </c>
      <c r="CT21" s="679">
        <f t="shared" si="7"/>
        <v>807</v>
      </c>
      <c r="CU21" s="679">
        <f t="shared" si="8"/>
        <v>807</v>
      </c>
      <c r="CV21" s="679">
        <f t="shared" si="9"/>
        <v>807</v>
      </c>
      <c r="CW21" s="679">
        <f t="shared" si="10"/>
        <v>807</v>
      </c>
      <c r="CX21" s="679">
        <f t="shared" si="11"/>
        <v>807</v>
      </c>
      <c r="CY21" s="679">
        <f t="shared" si="12"/>
        <v>810</v>
      </c>
      <c r="CZ21" s="679">
        <f t="shared" si="13"/>
        <v>814</v>
      </c>
      <c r="DA21" s="679">
        <f t="shared" si="14"/>
        <v>815</v>
      </c>
      <c r="DB21" s="679">
        <f t="shared" si="15"/>
        <v>816</v>
      </c>
      <c r="DC21" s="679">
        <f t="shared" si="16"/>
        <v>823</v>
      </c>
      <c r="DD21" s="679">
        <f t="shared" si="17"/>
        <v>833</v>
      </c>
      <c r="DE21" s="679">
        <f t="shared" si="18"/>
        <v>833</v>
      </c>
      <c r="DF21" s="679">
        <f t="shared" si="19"/>
        <v>833</v>
      </c>
      <c r="DG21" s="679">
        <f t="shared" si="20"/>
        <v>833</v>
      </c>
      <c r="DH21" s="679">
        <f t="shared" si="21"/>
        <v>833</v>
      </c>
      <c r="DI21" s="679">
        <f t="shared" si="22"/>
        <v>833</v>
      </c>
      <c r="DJ21" s="679">
        <f t="shared" si="23"/>
        <v>833</v>
      </c>
      <c r="DK21" s="679">
        <f t="shared" si="24"/>
        <v>824</v>
      </c>
      <c r="DL21" s="679">
        <f t="shared" si="25"/>
        <v>834</v>
      </c>
      <c r="DM21" s="679">
        <f t="shared" si="26"/>
        <v>834</v>
      </c>
      <c r="DN21" s="679">
        <f t="shared" si="27"/>
        <v>834</v>
      </c>
      <c r="DO21" s="679">
        <f t="shared" si="28"/>
        <v>834</v>
      </c>
      <c r="DP21" s="679">
        <f t="shared" si="29"/>
        <v>834</v>
      </c>
      <c r="DQ21" s="679">
        <f t="shared" si="30"/>
        <v>834</v>
      </c>
      <c r="DR21" s="679">
        <f t="shared" si="31"/>
        <v>834</v>
      </c>
      <c r="DS21" s="679">
        <f t="shared" si="32"/>
        <v>825</v>
      </c>
      <c r="DT21" s="679">
        <f t="shared" si="33"/>
        <v>835</v>
      </c>
      <c r="DU21" s="679">
        <f t="shared" si="34"/>
        <v>835</v>
      </c>
      <c r="DV21" s="679">
        <f t="shared" si="35"/>
        <v>835</v>
      </c>
      <c r="DW21" s="679">
        <f t="shared" si="36"/>
        <v>835</v>
      </c>
      <c r="DX21" s="679">
        <f t="shared" si="37"/>
        <v>835</v>
      </c>
      <c r="DY21" s="679">
        <f t="shared" si="38"/>
        <v>835</v>
      </c>
      <c r="DZ21" s="679">
        <f t="shared" si="39"/>
        <v>835</v>
      </c>
      <c r="EA21" s="679">
        <f t="shared" si="40"/>
        <v>826</v>
      </c>
      <c r="EB21" s="679">
        <f t="shared" si="41"/>
        <v>836</v>
      </c>
      <c r="EC21" s="679">
        <f t="shared" si="42"/>
        <v>836</v>
      </c>
      <c r="ED21" s="679">
        <f t="shared" si="43"/>
        <v>836</v>
      </c>
      <c r="EE21" s="679">
        <f t="shared" si="44"/>
        <v>836</v>
      </c>
      <c r="EF21" s="679">
        <f t="shared" si="45"/>
        <v>836</v>
      </c>
      <c r="EG21" s="679">
        <f t="shared" si="46"/>
        <v>836</v>
      </c>
      <c r="EH21" s="679">
        <f t="shared" si="47"/>
        <v>836</v>
      </c>
      <c r="EI21" s="679">
        <f t="shared" si="48"/>
        <v>827</v>
      </c>
      <c r="EJ21" s="679">
        <f t="shared" si="49"/>
        <v>837</v>
      </c>
      <c r="EK21" s="679">
        <f t="shared" si="50"/>
        <v>837</v>
      </c>
      <c r="EL21" s="679">
        <f t="shared" si="51"/>
        <v>837</v>
      </c>
      <c r="EM21" s="679">
        <f t="shared" si="52"/>
        <v>837</v>
      </c>
      <c r="EN21" s="679">
        <f t="shared" si="53"/>
        <v>837</v>
      </c>
      <c r="EO21" s="679">
        <f t="shared" si="54"/>
        <v>837</v>
      </c>
      <c r="EP21" s="679">
        <f t="shared" si="55"/>
        <v>837</v>
      </c>
      <c r="EQ21" s="679">
        <f t="shared" si="56"/>
        <v>828</v>
      </c>
      <c r="ER21" s="679">
        <f t="shared" si="57"/>
        <v>838</v>
      </c>
      <c r="ES21" s="679">
        <f t="shared" si="58"/>
        <v>838</v>
      </c>
      <c r="ET21" s="679">
        <f t="shared" si="59"/>
        <v>838</v>
      </c>
      <c r="EU21" s="679">
        <f t="shared" si="60"/>
        <v>838</v>
      </c>
      <c r="EV21" s="679">
        <f t="shared" si="61"/>
        <v>838</v>
      </c>
      <c r="EW21" s="679">
        <f t="shared" si="62"/>
        <v>838</v>
      </c>
      <c r="EX21" s="679">
        <f t="shared" si="63"/>
        <v>838</v>
      </c>
      <c r="EY21" s="679">
        <f t="shared" si="64"/>
        <v>844</v>
      </c>
    </row>
    <row r="22" spans="2:155" ht="12.75" customHeight="1" x14ac:dyDescent="0.2">
      <c r="B22" s="700" t="str">
        <f>IF(COUNTIF($CK$10:CK22,TRUE)&gt;0,"",INDEX(C_InstallationDescription!$E$226:$E$242,ROWS($A$11:A22)))</f>
        <v/>
      </c>
      <c r="C22" s="581" t="str">
        <f>IF($E22="","",INDEX(C_InstallationDescription!F:F,MATCH($B22,C_InstallationDescription!$E:$E,0)))</f>
        <v/>
      </c>
      <c r="D22" s="581" t="str">
        <f>IF($E22="","",INDEX(C_InstallationDescription!I:I,MATCH($B22,C_InstallationDescription!$E:$E,0)))</f>
        <v/>
      </c>
      <c r="E22" s="581" t="str">
        <f>IF($B22="","",INDEX(C_InstallationDescription!F:F,MATCH($CJ22,C_InstallationDescription!$Q:$Q,0)))</f>
        <v/>
      </c>
      <c r="F22" s="706" t="str">
        <f>IF($E22="","",INDEX(C_InstallationDescription!L:L,MATCH($CJ22,C_InstallationDescription!$Q:$Q,0)))</f>
        <v/>
      </c>
      <c r="G22" s="581" t="str">
        <f>IF($E22="","",INDEX(C_InstallationDescription!M:M,MATCH($CJ22,C_InstallationDescription!$Q:$Q,0)))</f>
        <v/>
      </c>
      <c r="H22" s="581" t="str">
        <f>IF($E22="","",INDEX(C_InstallationDescription!N:N,MATCH($CJ22,C_InstallationDescription!$Q:$Q,0)))</f>
        <v/>
      </c>
      <c r="I22" s="703" t="str">
        <f>IF($E22="","",IF(INDEX(E_SourceStreams!$A:$N,CN22,I$7)="","",INDEX(E_SourceStreams!$A:$N,CN22,I$7)))</f>
        <v/>
      </c>
      <c r="J22" s="703" t="str">
        <f>IF($E22="","",IF(INDEX(E_SourceStreams!$A:$N,CO22,J$7)="","",INDEX(E_SourceStreams!$A:$N,CO22,J$7)))</f>
        <v/>
      </c>
      <c r="K22" s="703" t="str">
        <f>IF($E22="","",IF(INDEX(E_SourceStreams!$A:$N,CP22,K$7)="","",INDEX(E_SourceStreams!$A:$N,CP22,K$7)))</f>
        <v/>
      </c>
      <c r="L22" s="703" t="str">
        <f>IF($E22="","",IF(INDEX(E_SourceStreams!$A:$N,CQ22,L$7)="","",INDEX(E_SourceStreams!$A:$N,CQ22,L$7)))</f>
        <v/>
      </c>
      <c r="M22" s="703" t="str">
        <f>IF($E22="","",IF(INDEX(E_SourceStreams!$A:$N,CR22,M$7)="","",INDEX(E_SourceStreams!$A:$N,CR22,M$7)))</f>
        <v/>
      </c>
      <c r="N22" s="703" t="str">
        <f>IF($E22="","",IF(INDEX(E_SourceStreams!$A:$N,CS22,N$7)="","",INDEX(E_SourceStreams!$A:$N,CS22,N$7)))</f>
        <v/>
      </c>
      <c r="O22" s="703" t="str">
        <f>IF($E22="","",IF(INDEX(E_SourceStreams!$A:$N,CT22,O$7)="","",INDEX(E_SourceStreams!$A:$N,CT22,O$7)))</f>
        <v/>
      </c>
      <c r="P22" s="703" t="str">
        <f>IF($E22="","",IF(INDEX(E_SourceStreams!$A:$N,CU22,P$7)="","",INDEX(E_SourceStreams!$A:$N,CU22,P$7)))</f>
        <v/>
      </c>
      <c r="Q22" s="703" t="str">
        <f>IF($E22="","",IF(INDEX(E_SourceStreams!$A:$N,CV22,Q$7)="","",INDEX(E_SourceStreams!$A:$N,CV22,Q$7)))</f>
        <v/>
      </c>
      <c r="R22" s="703" t="str">
        <f>IF($E22="","",IF(INDEX(E_SourceStreams!$A:$N,CW22,R$7)="","",INDEX(E_SourceStreams!$A:$N,CW22,R$7)))</f>
        <v/>
      </c>
      <c r="S22" s="703" t="str">
        <f>IF($E22="","",IF(INDEX(E_SourceStreams!$A:$N,CX22,S$7)="","",INDEX(E_SourceStreams!$A:$N,CX22,S$7)))</f>
        <v/>
      </c>
      <c r="T22" s="703" t="str">
        <f>IF($E22="","",IF(INDEX(E_SourceStreams!$A:$N,CY22,T$7)="","",INDEX(E_SourceStreams!$A:$N,CY22,T$7)))</f>
        <v/>
      </c>
      <c r="U22" s="703" t="str">
        <f>IF($E22="","",IF(INDEX(E_SourceStreams!$A:$N,CZ22,U$7)="","",INDEX(E_SourceStreams!$A:$N,CZ22,U$7)))</f>
        <v/>
      </c>
      <c r="V22" s="703" t="str">
        <f>IF($E22="","",IF(INDEX(E_SourceStreams!$A:$N,DA22,V$7)="","",INDEX(E_SourceStreams!$A:$N,DA22,V$7)))</f>
        <v/>
      </c>
      <c r="W22" s="704" t="str">
        <f>IF($E22="","",IF(INDEX(E_SourceStreams!$A:$N,DB22,W$7)="","",INDEX(E_SourceStreams!$A:$N,DB22,W$7)))</f>
        <v/>
      </c>
      <c r="X22" s="703" t="str">
        <f>IF($E22="","",IF(INDEX(E_SourceStreams!$A:$N,DC22,X$7)="","",INDEX(E_SourceStreams!$A:$N,DC22,X$7)))</f>
        <v/>
      </c>
      <c r="Y22" s="703" t="str">
        <f>IF($E22="","",IF(INDEX(E_SourceStreams!$A:$N,DD22,Y$7)="","",INDEX(E_SourceStreams!$A:$N,DD22,Y$7)))</f>
        <v/>
      </c>
      <c r="Z22" s="703" t="str">
        <f>IF($E22="","",IF(INDEX(E_SourceStreams!$A:$N,DE22,Z$7)="","",INDEX(E_SourceStreams!$A:$N,DE22,Z$7)))</f>
        <v/>
      </c>
      <c r="AA22" s="703" t="str">
        <f>IF($E22="","",IF(INDEX(E_SourceStreams!$A:$N,DF22,AA$7)="","",INDEX(E_SourceStreams!$A:$N,DF22,AA$7)))</f>
        <v/>
      </c>
      <c r="AB22" s="703" t="str">
        <f>IF($E22="","",IF(INDEX(E_SourceStreams!$A:$N,DG22,AB$7)="","",INDEX(E_SourceStreams!$A:$N,DG22,AB$7)))</f>
        <v/>
      </c>
      <c r="AC22" s="703" t="str">
        <f>IF($E22="","",IF(INDEX(E_SourceStreams!$A:$N,DH22,AC$7)="","",INDEX(E_SourceStreams!$A:$N,DH22,AC$7)))</f>
        <v/>
      </c>
      <c r="AD22" s="703" t="str">
        <f>IF($E22="","",IF(INDEX(E_SourceStreams!$A:$N,DI22,AD$7)="","",INDEX(E_SourceStreams!$A:$N,DI22,AD$7)))</f>
        <v/>
      </c>
      <c r="AE22" s="703" t="str">
        <f>IF($E22="","",IF(INDEX(E_SourceStreams!$A:$N,DJ22,AE$7)="","",INDEX(E_SourceStreams!$A:$N,DJ22,AE$7)))</f>
        <v/>
      </c>
      <c r="AF22" s="703" t="str">
        <f>IF($E22="","",IF(INDEX(E_SourceStreams!$A:$N,DK22,AF$7)="","",INDEX(E_SourceStreams!$A:$N,DK22,AF$7)))</f>
        <v/>
      </c>
      <c r="AG22" s="703" t="str">
        <f>IF($E22="","",IF(INDEX(E_SourceStreams!$A:$N,DL22,AG$7)="","",INDEX(E_SourceStreams!$A:$N,DL22,AG$7)))</f>
        <v/>
      </c>
      <c r="AH22" s="703" t="str">
        <f>IF($E22="","",IF(INDEX(E_SourceStreams!$A:$N,DM22,AH$7)="","",INDEX(E_SourceStreams!$A:$N,DM22,AH$7)))</f>
        <v/>
      </c>
      <c r="AI22" s="703" t="str">
        <f>IF($E22="","",IF(INDEX(E_SourceStreams!$A:$N,DN22,AI$7)="","",INDEX(E_SourceStreams!$A:$N,DN22,AI$7)))</f>
        <v/>
      </c>
      <c r="AJ22" s="703" t="str">
        <f>IF($E22="","",IF(INDEX(E_SourceStreams!$A:$N,DO22,AJ$7)="","",INDEX(E_SourceStreams!$A:$N,DO22,AJ$7)))</f>
        <v/>
      </c>
      <c r="AK22" s="703" t="str">
        <f>IF($E22="","",IF(INDEX(E_SourceStreams!$A:$N,DP22,AK$7)="","",INDEX(E_SourceStreams!$A:$N,DP22,AK$7)))</f>
        <v/>
      </c>
      <c r="AL22" s="703" t="str">
        <f>IF($E22="","",IF(INDEX(E_SourceStreams!$A:$N,DQ22,AL$7)="","",INDEX(E_SourceStreams!$A:$N,DQ22,AL$7)))</f>
        <v/>
      </c>
      <c r="AM22" s="703" t="str">
        <f>IF($E22="","",IF(INDEX(E_SourceStreams!$A:$N,DR22,AM$7)="","",INDEX(E_SourceStreams!$A:$N,DR22,AM$7)))</f>
        <v/>
      </c>
      <c r="AN22" s="703" t="str">
        <f>IF($E22="","",IF(INDEX(E_SourceStreams!$A:$N,DS22,AN$7)="","",INDEX(E_SourceStreams!$A:$N,DS22,AN$7)))</f>
        <v/>
      </c>
      <c r="AO22" s="703" t="str">
        <f>IF($E22="","",IF(INDEX(E_SourceStreams!$A:$N,DT22,AO$7)="","",INDEX(E_SourceStreams!$A:$N,DT22,AO$7)))</f>
        <v/>
      </c>
      <c r="AP22" s="703" t="str">
        <f>IF($E22="","",IF(INDEX(E_SourceStreams!$A:$N,DU22,AP$7)="","",INDEX(E_SourceStreams!$A:$N,DU22,AP$7)))</f>
        <v/>
      </c>
      <c r="AQ22" s="703" t="str">
        <f>IF($E22="","",IF(INDEX(E_SourceStreams!$A:$N,DV22,AQ$7)="","",INDEX(E_SourceStreams!$A:$N,DV22,AQ$7)))</f>
        <v/>
      </c>
      <c r="AR22" s="703" t="str">
        <f>IF($E22="","",IF(INDEX(E_SourceStreams!$A:$N,DW22,AR$7)="","",INDEX(E_SourceStreams!$A:$N,DW22,AR$7)))</f>
        <v/>
      </c>
      <c r="AS22" s="703" t="str">
        <f>IF($E22="","",IF(INDEX(E_SourceStreams!$A:$N,DX22,AS$7)="","",INDEX(E_SourceStreams!$A:$N,DX22,AS$7)))</f>
        <v/>
      </c>
      <c r="AT22" s="703" t="str">
        <f>IF($E22="","",IF(INDEX(E_SourceStreams!$A:$N,DY22,AT$7)="","",INDEX(E_SourceStreams!$A:$N,DY22,AT$7)))</f>
        <v/>
      </c>
      <c r="AU22" s="703" t="str">
        <f>IF($E22="","",IF(INDEX(E_SourceStreams!$A:$N,DZ22,AU$7)="","",INDEX(E_SourceStreams!$A:$N,DZ22,AU$7)))</f>
        <v/>
      </c>
      <c r="AV22" s="703" t="str">
        <f>IF($E22="","",IF(INDEX(E_SourceStreams!$A:$N,EA22,AV$7)="","",INDEX(E_SourceStreams!$A:$N,EA22,AV$7)))</f>
        <v/>
      </c>
      <c r="AW22" s="703" t="str">
        <f>IF($E22="","",IF(INDEX(E_SourceStreams!$A:$N,EB22,AW$7)="","",INDEX(E_SourceStreams!$A:$N,EB22,AW$7)))</f>
        <v/>
      </c>
      <c r="AX22" s="703" t="str">
        <f>IF($E22="","",IF(INDEX(E_SourceStreams!$A:$N,EC22,AX$7)="","",INDEX(E_SourceStreams!$A:$N,EC22,AX$7)))</f>
        <v/>
      </c>
      <c r="AY22" s="703" t="str">
        <f>IF($E22="","",IF(INDEX(E_SourceStreams!$A:$N,ED22,AY$7)="","",INDEX(E_SourceStreams!$A:$N,ED22,AY$7)))</f>
        <v/>
      </c>
      <c r="AZ22" s="703" t="str">
        <f>IF($E22="","",IF(INDEX(E_SourceStreams!$A:$N,EE22,AZ$7)="","",INDEX(E_SourceStreams!$A:$N,EE22,AZ$7)))</f>
        <v/>
      </c>
      <c r="BA22" s="703" t="str">
        <f>IF($E22="","",IF(INDEX(E_SourceStreams!$A:$N,EF22,BA$7)="","",INDEX(E_SourceStreams!$A:$N,EF22,BA$7)))</f>
        <v/>
      </c>
      <c r="BB22" s="703" t="str">
        <f>IF($E22="","",IF(INDEX(E_SourceStreams!$A:$N,EG22,BB$7)="","",INDEX(E_SourceStreams!$A:$N,EG22,BB$7)))</f>
        <v/>
      </c>
      <c r="BC22" s="703" t="str">
        <f>IF($E22="","",IF(INDEX(E_SourceStreams!$A:$N,EH22,BC$7)="","",INDEX(E_SourceStreams!$A:$N,EH22,BC$7)))</f>
        <v/>
      </c>
      <c r="BD22" s="703" t="str">
        <f>IF($E22="","",IF(INDEX(E_SourceStreams!$A:$N,EI22,BD$7)="","",INDEX(E_SourceStreams!$A:$N,EI22,BD$7)))</f>
        <v/>
      </c>
      <c r="BE22" s="703" t="str">
        <f>IF($E22="","",IF(INDEX(E_SourceStreams!$A:$N,EJ22,BE$7)="","",INDEX(E_SourceStreams!$A:$N,EJ22,BE$7)))</f>
        <v/>
      </c>
      <c r="BF22" s="703" t="str">
        <f>IF($E22="","",IF(INDEX(E_SourceStreams!$A:$N,EK22,BF$7)="","",INDEX(E_SourceStreams!$A:$N,EK22,BF$7)))</f>
        <v/>
      </c>
      <c r="BG22" s="703" t="str">
        <f>IF($E22="","",IF(INDEX(E_SourceStreams!$A:$N,EL22,BG$7)="","",INDEX(E_SourceStreams!$A:$N,EL22,BG$7)))</f>
        <v/>
      </c>
      <c r="BH22" s="703" t="str">
        <f>IF($E22="","",IF(INDEX(E_SourceStreams!$A:$N,EM22,BH$7)="","",INDEX(E_SourceStreams!$A:$N,EM22,BH$7)))</f>
        <v/>
      </c>
      <c r="BI22" s="703" t="str">
        <f>IF($E22="","",IF(INDEX(E_SourceStreams!$A:$N,EN22,BI$7)="","",INDEX(E_SourceStreams!$A:$N,EN22,BI$7)))</f>
        <v/>
      </c>
      <c r="BJ22" s="703" t="str">
        <f>IF($E22="","",IF(INDEX(E_SourceStreams!$A:$N,EO22,BJ$7)="","",INDEX(E_SourceStreams!$A:$N,EO22,BJ$7)))</f>
        <v/>
      </c>
      <c r="BK22" s="703" t="str">
        <f>IF($E22="","",IF(INDEX(E_SourceStreams!$A:$N,EP22,BK$7)="","",INDEX(E_SourceStreams!$A:$N,EP22,BK$7)))</f>
        <v/>
      </c>
      <c r="BL22" s="703" t="str">
        <f>IF($E22="","",IF(INDEX(E_SourceStreams!$A:$N,EQ22,BL$7)="","",INDEX(E_SourceStreams!$A:$N,EQ22,BL$7)))</f>
        <v/>
      </c>
      <c r="BM22" s="703" t="str">
        <f>IF($E22="","",IF(INDEX(E_SourceStreams!$A:$N,ER22,BM$7)="","",INDEX(E_SourceStreams!$A:$N,ER22,BM$7)))</f>
        <v/>
      </c>
      <c r="BN22" s="703" t="str">
        <f>IF($E22="","",IF(INDEX(E_SourceStreams!$A:$N,ES22,BN$7)="","",INDEX(E_SourceStreams!$A:$N,ES22,BN$7)))</f>
        <v/>
      </c>
      <c r="BO22" s="703" t="str">
        <f>IF($E22="","",IF(INDEX(E_SourceStreams!$A:$N,ET22,BO$7)="","",INDEX(E_SourceStreams!$A:$N,ET22,BO$7)))</f>
        <v/>
      </c>
      <c r="BP22" s="703" t="str">
        <f>IF($E22="","",IF(INDEX(E_SourceStreams!$A:$N,EU22,BP$7)="","",INDEX(E_SourceStreams!$A:$N,EU22,BP$7)))</f>
        <v/>
      </c>
      <c r="BQ22" s="703" t="str">
        <f>IF($E22="","",IF(INDEX(E_SourceStreams!$A:$N,EV22,BQ$7)="","",INDEX(E_SourceStreams!$A:$N,EV22,BQ$7)))</f>
        <v/>
      </c>
      <c r="BR22" s="703" t="str">
        <f>IF($E22="","",IF(INDEX(E_SourceStreams!$A:$N,EW22,BR$7)="","",INDEX(E_SourceStreams!$A:$N,EW22,BR$7)))</f>
        <v/>
      </c>
      <c r="BS22" s="703" t="str">
        <f>IF($E22="","",IF(INDEX(E_SourceStreams!$A:$N,EX22,BS$7)="","",INDEX(E_SourceStreams!$A:$N,EX22,BS$7)))</f>
        <v/>
      </c>
      <c r="BT22" s="703" t="str">
        <f>IF($E22="","",IF(INDEX(E_SourceStreams!$A:$N,EY22,BT$7)="","",INDEX(E_SourceStreams!$A:$N,EY22,BT$7)))</f>
        <v/>
      </c>
      <c r="BU22" s="625"/>
      <c r="CJ22" s="679" t="str">
        <f t="shared" si="0"/>
        <v>SourceCategory_</v>
      </c>
      <c r="CK22" s="679" t="b">
        <f>INDEX(C_InstallationDescription!$A$226:$A$332,ROWS($CI$11:CI22))="ausblenden"</f>
        <v>0</v>
      </c>
      <c r="CL22" s="679" t="str">
        <f t="shared" si="1"/>
        <v>SourceStreamName_</v>
      </c>
      <c r="CN22" s="679">
        <f t="shared" si="65"/>
        <v>861</v>
      </c>
      <c r="CO22" s="679">
        <f t="shared" si="2"/>
        <v>863</v>
      </c>
      <c r="CP22" s="679">
        <f t="shared" si="3"/>
        <v>865</v>
      </c>
      <c r="CQ22" s="679">
        <f t="shared" si="4"/>
        <v>867</v>
      </c>
      <c r="CR22" s="679">
        <f t="shared" si="5"/>
        <v>869</v>
      </c>
      <c r="CS22" s="679">
        <f t="shared" si="6"/>
        <v>871</v>
      </c>
      <c r="CT22" s="679">
        <f t="shared" si="7"/>
        <v>873</v>
      </c>
      <c r="CU22" s="679">
        <f t="shared" si="8"/>
        <v>873</v>
      </c>
      <c r="CV22" s="679">
        <f t="shared" si="9"/>
        <v>873</v>
      </c>
      <c r="CW22" s="679">
        <f t="shared" si="10"/>
        <v>873</v>
      </c>
      <c r="CX22" s="679">
        <f t="shared" si="11"/>
        <v>873</v>
      </c>
      <c r="CY22" s="679">
        <f t="shared" si="12"/>
        <v>876</v>
      </c>
      <c r="CZ22" s="679">
        <f t="shared" si="13"/>
        <v>880</v>
      </c>
      <c r="DA22" s="679">
        <f t="shared" si="14"/>
        <v>881</v>
      </c>
      <c r="DB22" s="679">
        <f t="shared" si="15"/>
        <v>882</v>
      </c>
      <c r="DC22" s="679">
        <f t="shared" si="16"/>
        <v>889</v>
      </c>
      <c r="DD22" s="679">
        <f t="shared" si="17"/>
        <v>899</v>
      </c>
      <c r="DE22" s="679">
        <f t="shared" si="18"/>
        <v>899</v>
      </c>
      <c r="DF22" s="679">
        <f t="shared" si="19"/>
        <v>899</v>
      </c>
      <c r="DG22" s="679">
        <f t="shared" si="20"/>
        <v>899</v>
      </c>
      <c r="DH22" s="679">
        <f t="shared" si="21"/>
        <v>899</v>
      </c>
      <c r="DI22" s="679">
        <f t="shared" si="22"/>
        <v>899</v>
      </c>
      <c r="DJ22" s="679">
        <f t="shared" si="23"/>
        <v>899</v>
      </c>
      <c r="DK22" s="679">
        <f t="shared" si="24"/>
        <v>890</v>
      </c>
      <c r="DL22" s="679">
        <f t="shared" si="25"/>
        <v>900</v>
      </c>
      <c r="DM22" s="679">
        <f t="shared" si="26"/>
        <v>900</v>
      </c>
      <c r="DN22" s="679">
        <f t="shared" si="27"/>
        <v>900</v>
      </c>
      <c r="DO22" s="679">
        <f t="shared" si="28"/>
        <v>900</v>
      </c>
      <c r="DP22" s="679">
        <f t="shared" si="29"/>
        <v>900</v>
      </c>
      <c r="DQ22" s="679">
        <f t="shared" si="30"/>
        <v>900</v>
      </c>
      <c r="DR22" s="679">
        <f t="shared" si="31"/>
        <v>900</v>
      </c>
      <c r="DS22" s="679">
        <f t="shared" si="32"/>
        <v>891</v>
      </c>
      <c r="DT22" s="679">
        <f t="shared" si="33"/>
        <v>901</v>
      </c>
      <c r="DU22" s="679">
        <f t="shared" si="34"/>
        <v>901</v>
      </c>
      <c r="DV22" s="679">
        <f t="shared" si="35"/>
        <v>901</v>
      </c>
      <c r="DW22" s="679">
        <f t="shared" si="36"/>
        <v>901</v>
      </c>
      <c r="DX22" s="679">
        <f t="shared" si="37"/>
        <v>901</v>
      </c>
      <c r="DY22" s="679">
        <f t="shared" si="38"/>
        <v>901</v>
      </c>
      <c r="DZ22" s="679">
        <f t="shared" si="39"/>
        <v>901</v>
      </c>
      <c r="EA22" s="679">
        <f t="shared" si="40"/>
        <v>892</v>
      </c>
      <c r="EB22" s="679">
        <f t="shared" si="41"/>
        <v>902</v>
      </c>
      <c r="EC22" s="679">
        <f t="shared" si="42"/>
        <v>902</v>
      </c>
      <c r="ED22" s="679">
        <f t="shared" si="43"/>
        <v>902</v>
      </c>
      <c r="EE22" s="679">
        <f t="shared" si="44"/>
        <v>902</v>
      </c>
      <c r="EF22" s="679">
        <f t="shared" si="45"/>
        <v>902</v>
      </c>
      <c r="EG22" s="679">
        <f t="shared" si="46"/>
        <v>902</v>
      </c>
      <c r="EH22" s="679">
        <f t="shared" si="47"/>
        <v>902</v>
      </c>
      <c r="EI22" s="679">
        <f t="shared" si="48"/>
        <v>893</v>
      </c>
      <c r="EJ22" s="679">
        <f t="shared" si="49"/>
        <v>903</v>
      </c>
      <c r="EK22" s="679">
        <f t="shared" si="50"/>
        <v>903</v>
      </c>
      <c r="EL22" s="679">
        <f t="shared" si="51"/>
        <v>903</v>
      </c>
      <c r="EM22" s="679">
        <f t="shared" si="52"/>
        <v>903</v>
      </c>
      <c r="EN22" s="679">
        <f t="shared" si="53"/>
        <v>903</v>
      </c>
      <c r="EO22" s="679">
        <f t="shared" si="54"/>
        <v>903</v>
      </c>
      <c r="EP22" s="679">
        <f t="shared" si="55"/>
        <v>903</v>
      </c>
      <c r="EQ22" s="679">
        <f t="shared" si="56"/>
        <v>894</v>
      </c>
      <c r="ER22" s="679">
        <f t="shared" si="57"/>
        <v>904</v>
      </c>
      <c r="ES22" s="679">
        <f t="shared" si="58"/>
        <v>904</v>
      </c>
      <c r="ET22" s="679">
        <f t="shared" si="59"/>
        <v>904</v>
      </c>
      <c r="EU22" s="679">
        <f t="shared" si="60"/>
        <v>904</v>
      </c>
      <c r="EV22" s="679">
        <f t="shared" si="61"/>
        <v>904</v>
      </c>
      <c r="EW22" s="679">
        <f t="shared" si="62"/>
        <v>904</v>
      </c>
      <c r="EX22" s="679">
        <f t="shared" si="63"/>
        <v>904</v>
      </c>
      <c r="EY22" s="679">
        <f t="shared" si="64"/>
        <v>910</v>
      </c>
    </row>
    <row r="23" spans="2:155" ht="12.75" customHeight="1" x14ac:dyDescent="0.2">
      <c r="B23" s="700" t="str">
        <f>IF(COUNTIF($CK$10:CK23,TRUE)&gt;0,"",INDEX(C_InstallationDescription!$E$226:$E$242,ROWS($A$11:A23)))</f>
        <v/>
      </c>
      <c r="C23" s="581" t="str">
        <f>IF($E23="","",INDEX(C_InstallationDescription!F:F,MATCH($B23,C_InstallationDescription!$E:$E,0)))</f>
        <v/>
      </c>
      <c r="D23" s="581" t="str">
        <f>IF($E23="","",INDEX(C_InstallationDescription!I:I,MATCH($B23,C_InstallationDescription!$E:$E,0)))</f>
        <v/>
      </c>
      <c r="E23" s="581" t="str">
        <f>IF($B23="","",INDEX(C_InstallationDescription!F:F,MATCH($CJ23,C_InstallationDescription!$Q:$Q,0)))</f>
        <v/>
      </c>
      <c r="F23" s="706" t="str">
        <f>IF($E23="","",INDEX(C_InstallationDescription!L:L,MATCH($CJ23,C_InstallationDescription!$Q:$Q,0)))</f>
        <v/>
      </c>
      <c r="G23" s="581" t="str">
        <f>IF($E23="","",INDEX(C_InstallationDescription!M:M,MATCH($CJ23,C_InstallationDescription!$Q:$Q,0)))</f>
        <v/>
      </c>
      <c r="H23" s="581" t="str">
        <f>IF($E23="","",INDEX(C_InstallationDescription!N:N,MATCH($CJ23,C_InstallationDescription!$Q:$Q,0)))</f>
        <v/>
      </c>
      <c r="I23" s="703" t="str">
        <f>IF($E23="","",IF(INDEX(E_SourceStreams!$A:$N,CN23,I$7)="","",INDEX(E_SourceStreams!$A:$N,CN23,I$7)))</f>
        <v/>
      </c>
      <c r="J23" s="703" t="str">
        <f>IF($E23="","",IF(INDEX(E_SourceStreams!$A:$N,CO23,J$7)="","",INDEX(E_SourceStreams!$A:$N,CO23,J$7)))</f>
        <v/>
      </c>
      <c r="K23" s="703" t="str">
        <f>IF($E23="","",IF(INDEX(E_SourceStreams!$A:$N,CP23,K$7)="","",INDEX(E_SourceStreams!$A:$N,CP23,K$7)))</f>
        <v/>
      </c>
      <c r="L23" s="703" t="str">
        <f>IF($E23="","",IF(INDEX(E_SourceStreams!$A:$N,CQ23,L$7)="","",INDEX(E_SourceStreams!$A:$N,CQ23,L$7)))</f>
        <v/>
      </c>
      <c r="M23" s="703" t="str">
        <f>IF($E23="","",IF(INDEX(E_SourceStreams!$A:$N,CR23,M$7)="","",INDEX(E_SourceStreams!$A:$N,CR23,M$7)))</f>
        <v/>
      </c>
      <c r="N23" s="703" t="str">
        <f>IF($E23="","",IF(INDEX(E_SourceStreams!$A:$N,CS23,N$7)="","",INDEX(E_SourceStreams!$A:$N,CS23,N$7)))</f>
        <v/>
      </c>
      <c r="O23" s="703" t="str">
        <f>IF($E23="","",IF(INDEX(E_SourceStreams!$A:$N,CT23,O$7)="","",INDEX(E_SourceStreams!$A:$N,CT23,O$7)))</f>
        <v/>
      </c>
      <c r="P23" s="703" t="str">
        <f>IF($E23="","",IF(INDEX(E_SourceStreams!$A:$N,CU23,P$7)="","",INDEX(E_SourceStreams!$A:$N,CU23,P$7)))</f>
        <v/>
      </c>
      <c r="Q23" s="703" t="str">
        <f>IF($E23="","",IF(INDEX(E_SourceStreams!$A:$N,CV23,Q$7)="","",INDEX(E_SourceStreams!$A:$N,CV23,Q$7)))</f>
        <v/>
      </c>
      <c r="R23" s="703" t="str">
        <f>IF($E23="","",IF(INDEX(E_SourceStreams!$A:$N,CW23,R$7)="","",INDEX(E_SourceStreams!$A:$N,CW23,R$7)))</f>
        <v/>
      </c>
      <c r="S23" s="703" t="str">
        <f>IF($E23="","",IF(INDEX(E_SourceStreams!$A:$N,CX23,S$7)="","",INDEX(E_SourceStreams!$A:$N,CX23,S$7)))</f>
        <v/>
      </c>
      <c r="T23" s="703" t="str">
        <f>IF($E23="","",IF(INDEX(E_SourceStreams!$A:$N,CY23,T$7)="","",INDEX(E_SourceStreams!$A:$N,CY23,T$7)))</f>
        <v/>
      </c>
      <c r="U23" s="703" t="str">
        <f>IF($E23="","",IF(INDEX(E_SourceStreams!$A:$N,CZ23,U$7)="","",INDEX(E_SourceStreams!$A:$N,CZ23,U$7)))</f>
        <v/>
      </c>
      <c r="V23" s="703" t="str">
        <f>IF($E23="","",IF(INDEX(E_SourceStreams!$A:$N,DA23,V$7)="","",INDEX(E_SourceStreams!$A:$N,DA23,V$7)))</f>
        <v/>
      </c>
      <c r="W23" s="704" t="str">
        <f>IF($E23="","",IF(INDEX(E_SourceStreams!$A:$N,DB23,W$7)="","",INDEX(E_SourceStreams!$A:$N,DB23,W$7)))</f>
        <v/>
      </c>
      <c r="X23" s="703" t="str">
        <f>IF($E23="","",IF(INDEX(E_SourceStreams!$A:$N,DC23,X$7)="","",INDEX(E_SourceStreams!$A:$N,DC23,X$7)))</f>
        <v/>
      </c>
      <c r="Y23" s="703" t="str">
        <f>IF($E23="","",IF(INDEX(E_SourceStreams!$A:$N,DD23,Y$7)="","",INDEX(E_SourceStreams!$A:$N,DD23,Y$7)))</f>
        <v/>
      </c>
      <c r="Z23" s="703" t="str">
        <f>IF($E23="","",IF(INDEX(E_SourceStreams!$A:$N,DE23,Z$7)="","",INDEX(E_SourceStreams!$A:$N,DE23,Z$7)))</f>
        <v/>
      </c>
      <c r="AA23" s="703" t="str">
        <f>IF($E23="","",IF(INDEX(E_SourceStreams!$A:$N,DF23,AA$7)="","",INDEX(E_SourceStreams!$A:$N,DF23,AA$7)))</f>
        <v/>
      </c>
      <c r="AB23" s="703" t="str">
        <f>IF($E23="","",IF(INDEX(E_SourceStreams!$A:$N,DG23,AB$7)="","",INDEX(E_SourceStreams!$A:$N,DG23,AB$7)))</f>
        <v/>
      </c>
      <c r="AC23" s="703" t="str">
        <f>IF($E23="","",IF(INDEX(E_SourceStreams!$A:$N,DH23,AC$7)="","",INDEX(E_SourceStreams!$A:$N,DH23,AC$7)))</f>
        <v/>
      </c>
      <c r="AD23" s="703" t="str">
        <f>IF($E23="","",IF(INDEX(E_SourceStreams!$A:$N,DI23,AD$7)="","",INDEX(E_SourceStreams!$A:$N,DI23,AD$7)))</f>
        <v/>
      </c>
      <c r="AE23" s="703" t="str">
        <f>IF($E23="","",IF(INDEX(E_SourceStreams!$A:$N,DJ23,AE$7)="","",INDEX(E_SourceStreams!$A:$N,DJ23,AE$7)))</f>
        <v/>
      </c>
      <c r="AF23" s="703" t="str">
        <f>IF($E23="","",IF(INDEX(E_SourceStreams!$A:$N,DK23,AF$7)="","",INDEX(E_SourceStreams!$A:$N,DK23,AF$7)))</f>
        <v/>
      </c>
      <c r="AG23" s="703" t="str">
        <f>IF($E23="","",IF(INDEX(E_SourceStreams!$A:$N,DL23,AG$7)="","",INDEX(E_SourceStreams!$A:$N,DL23,AG$7)))</f>
        <v/>
      </c>
      <c r="AH23" s="703" t="str">
        <f>IF($E23="","",IF(INDEX(E_SourceStreams!$A:$N,DM23,AH$7)="","",INDEX(E_SourceStreams!$A:$N,DM23,AH$7)))</f>
        <v/>
      </c>
      <c r="AI23" s="703" t="str">
        <f>IF($E23="","",IF(INDEX(E_SourceStreams!$A:$N,DN23,AI$7)="","",INDEX(E_SourceStreams!$A:$N,DN23,AI$7)))</f>
        <v/>
      </c>
      <c r="AJ23" s="703" t="str">
        <f>IF($E23="","",IF(INDEX(E_SourceStreams!$A:$N,DO23,AJ$7)="","",INDEX(E_SourceStreams!$A:$N,DO23,AJ$7)))</f>
        <v/>
      </c>
      <c r="AK23" s="703" t="str">
        <f>IF($E23="","",IF(INDEX(E_SourceStreams!$A:$N,DP23,AK$7)="","",INDEX(E_SourceStreams!$A:$N,DP23,AK$7)))</f>
        <v/>
      </c>
      <c r="AL23" s="703" t="str">
        <f>IF($E23="","",IF(INDEX(E_SourceStreams!$A:$N,DQ23,AL$7)="","",INDEX(E_SourceStreams!$A:$N,DQ23,AL$7)))</f>
        <v/>
      </c>
      <c r="AM23" s="703" t="str">
        <f>IF($E23="","",IF(INDEX(E_SourceStreams!$A:$N,DR23,AM$7)="","",INDEX(E_SourceStreams!$A:$N,DR23,AM$7)))</f>
        <v/>
      </c>
      <c r="AN23" s="703" t="str">
        <f>IF($E23="","",IF(INDEX(E_SourceStreams!$A:$N,DS23,AN$7)="","",INDEX(E_SourceStreams!$A:$N,DS23,AN$7)))</f>
        <v/>
      </c>
      <c r="AO23" s="703" t="str">
        <f>IF($E23="","",IF(INDEX(E_SourceStreams!$A:$N,DT23,AO$7)="","",INDEX(E_SourceStreams!$A:$N,DT23,AO$7)))</f>
        <v/>
      </c>
      <c r="AP23" s="703" t="str">
        <f>IF($E23="","",IF(INDEX(E_SourceStreams!$A:$N,DU23,AP$7)="","",INDEX(E_SourceStreams!$A:$N,DU23,AP$7)))</f>
        <v/>
      </c>
      <c r="AQ23" s="703" t="str">
        <f>IF($E23="","",IF(INDEX(E_SourceStreams!$A:$N,DV23,AQ$7)="","",INDEX(E_SourceStreams!$A:$N,DV23,AQ$7)))</f>
        <v/>
      </c>
      <c r="AR23" s="703" t="str">
        <f>IF($E23="","",IF(INDEX(E_SourceStreams!$A:$N,DW23,AR$7)="","",INDEX(E_SourceStreams!$A:$N,DW23,AR$7)))</f>
        <v/>
      </c>
      <c r="AS23" s="703" t="str">
        <f>IF($E23="","",IF(INDEX(E_SourceStreams!$A:$N,DX23,AS$7)="","",INDEX(E_SourceStreams!$A:$N,DX23,AS$7)))</f>
        <v/>
      </c>
      <c r="AT23" s="703" t="str">
        <f>IF($E23="","",IF(INDEX(E_SourceStreams!$A:$N,DY23,AT$7)="","",INDEX(E_SourceStreams!$A:$N,DY23,AT$7)))</f>
        <v/>
      </c>
      <c r="AU23" s="703" t="str">
        <f>IF($E23="","",IF(INDEX(E_SourceStreams!$A:$N,DZ23,AU$7)="","",INDEX(E_SourceStreams!$A:$N,DZ23,AU$7)))</f>
        <v/>
      </c>
      <c r="AV23" s="703" t="str">
        <f>IF($E23="","",IF(INDEX(E_SourceStreams!$A:$N,EA23,AV$7)="","",INDEX(E_SourceStreams!$A:$N,EA23,AV$7)))</f>
        <v/>
      </c>
      <c r="AW23" s="703" t="str">
        <f>IF($E23="","",IF(INDEX(E_SourceStreams!$A:$N,EB23,AW$7)="","",INDEX(E_SourceStreams!$A:$N,EB23,AW$7)))</f>
        <v/>
      </c>
      <c r="AX23" s="703" t="str">
        <f>IF($E23="","",IF(INDEX(E_SourceStreams!$A:$N,EC23,AX$7)="","",INDEX(E_SourceStreams!$A:$N,EC23,AX$7)))</f>
        <v/>
      </c>
      <c r="AY23" s="703" t="str">
        <f>IF($E23="","",IF(INDEX(E_SourceStreams!$A:$N,ED23,AY$7)="","",INDEX(E_SourceStreams!$A:$N,ED23,AY$7)))</f>
        <v/>
      </c>
      <c r="AZ23" s="703" t="str">
        <f>IF($E23="","",IF(INDEX(E_SourceStreams!$A:$N,EE23,AZ$7)="","",INDEX(E_SourceStreams!$A:$N,EE23,AZ$7)))</f>
        <v/>
      </c>
      <c r="BA23" s="703" t="str">
        <f>IF($E23="","",IF(INDEX(E_SourceStreams!$A:$N,EF23,BA$7)="","",INDEX(E_SourceStreams!$A:$N,EF23,BA$7)))</f>
        <v/>
      </c>
      <c r="BB23" s="703" t="str">
        <f>IF($E23="","",IF(INDEX(E_SourceStreams!$A:$N,EG23,BB$7)="","",INDEX(E_SourceStreams!$A:$N,EG23,BB$7)))</f>
        <v/>
      </c>
      <c r="BC23" s="703" t="str">
        <f>IF($E23="","",IF(INDEX(E_SourceStreams!$A:$N,EH23,BC$7)="","",INDEX(E_SourceStreams!$A:$N,EH23,BC$7)))</f>
        <v/>
      </c>
      <c r="BD23" s="703" t="str">
        <f>IF($E23="","",IF(INDEX(E_SourceStreams!$A:$N,EI23,BD$7)="","",INDEX(E_SourceStreams!$A:$N,EI23,BD$7)))</f>
        <v/>
      </c>
      <c r="BE23" s="703" t="str">
        <f>IF($E23="","",IF(INDEX(E_SourceStreams!$A:$N,EJ23,BE$7)="","",INDEX(E_SourceStreams!$A:$N,EJ23,BE$7)))</f>
        <v/>
      </c>
      <c r="BF23" s="703" t="str">
        <f>IF($E23="","",IF(INDEX(E_SourceStreams!$A:$N,EK23,BF$7)="","",INDEX(E_SourceStreams!$A:$N,EK23,BF$7)))</f>
        <v/>
      </c>
      <c r="BG23" s="703" t="str">
        <f>IF($E23="","",IF(INDEX(E_SourceStreams!$A:$N,EL23,BG$7)="","",INDEX(E_SourceStreams!$A:$N,EL23,BG$7)))</f>
        <v/>
      </c>
      <c r="BH23" s="703" t="str">
        <f>IF($E23="","",IF(INDEX(E_SourceStreams!$A:$N,EM23,BH$7)="","",INDEX(E_SourceStreams!$A:$N,EM23,BH$7)))</f>
        <v/>
      </c>
      <c r="BI23" s="703" t="str">
        <f>IF($E23="","",IF(INDEX(E_SourceStreams!$A:$N,EN23,BI$7)="","",INDEX(E_SourceStreams!$A:$N,EN23,BI$7)))</f>
        <v/>
      </c>
      <c r="BJ23" s="703" t="str">
        <f>IF($E23="","",IF(INDEX(E_SourceStreams!$A:$N,EO23,BJ$7)="","",INDEX(E_SourceStreams!$A:$N,EO23,BJ$7)))</f>
        <v/>
      </c>
      <c r="BK23" s="703" t="str">
        <f>IF($E23="","",IF(INDEX(E_SourceStreams!$A:$N,EP23,BK$7)="","",INDEX(E_SourceStreams!$A:$N,EP23,BK$7)))</f>
        <v/>
      </c>
      <c r="BL23" s="703" t="str">
        <f>IF($E23="","",IF(INDEX(E_SourceStreams!$A:$N,EQ23,BL$7)="","",INDEX(E_SourceStreams!$A:$N,EQ23,BL$7)))</f>
        <v/>
      </c>
      <c r="BM23" s="703" t="str">
        <f>IF($E23="","",IF(INDEX(E_SourceStreams!$A:$N,ER23,BM$7)="","",INDEX(E_SourceStreams!$A:$N,ER23,BM$7)))</f>
        <v/>
      </c>
      <c r="BN23" s="703" t="str">
        <f>IF($E23="","",IF(INDEX(E_SourceStreams!$A:$N,ES23,BN$7)="","",INDEX(E_SourceStreams!$A:$N,ES23,BN$7)))</f>
        <v/>
      </c>
      <c r="BO23" s="703" t="str">
        <f>IF($E23="","",IF(INDEX(E_SourceStreams!$A:$N,ET23,BO$7)="","",INDEX(E_SourceStreams!$A:$N,ET23,BO$7)))</f>
        <v/>
      </c>
      <c r="BP23" s="703" t="str">
        <f>IF($E23="","",IF(INDEX(E_SourceStreams!$A:$N,EU23,BP$7)="","",INDEX(E_SourceStreams!$A:$N,EU23,BP$7)))</f>
        <v/>
      </c>
      <c r="BQ23" s="703" t="str">
        <f>IF($E23="","",IF(INDEX(E_SourceStreams!$A:$N,EV23,BQ$7)="","",INDEX(E_SourceStreams!$A:$N,EV23,BQ$7)))</f>
        <v/>
      </c>
      <c r="BR23" s="703" t="str">
        <f>IF($E23="","",IF(INDEX(E_SourceStreams!$A:$N,EW23,BR$7)="","",INDEX(E_SourceStreams!$A:$N,EW23,BR$7)))</f>
        <v/>
      </c>
      <c r="BS23" s="703" t="str">
        <f>IF($E23="","",IF(INDEX(E_SourceStreams!$A:$N,EX23,BS$7)="","",INDEX(E_SourceStreams!$A:$N,EX23,BS$7)))</f>
        <v/>
      </c>
      <c r="BT23" s="703" t="str">
        <f>IF($E23="","",IF(INDEX(E_SourceStreams!$A:$N,EY23,BT$7)="","",INDEX(E_SourceStreams!$A:$N,EY23,BT$7)))</f>
        <v/>
      </c>
      <c r="BU23" s="625"/>
      <c r="CJ23" s="679" t="str">
        <f t="shared" si="0"/>
        <v>SourceCategory_</v>
      </c>
      <c r="CK23" s="679" t="b">
        <f>INDEX(C_InstallationDescription!$A$226:$A$332,ROWS($CI$11:CI23))="ausblenden"</f>
        <v>0</v>
      </c>
      <c r="CL23" s="679" t="str">
        <f t="shared" si="1"/>
        <v>SourceStreamName_</v>
      </c>
      <c r="CN23" s="679">
        <f t="shared" si="65"/>
        <v>927</v>
      </c>
      <c r="CO23" s="679">
        <f t="shared" si="2"/>
        <v>929</v>
      </c>
      <c r="CP23" s="679">
        <f t="shared" si="3"/>
        <v>931</v>
      </c>
      <c r="CQ23" s="679">
        <f t="shared" si="4"/>
        <v>933</v>
      </c>
      <c r="CR23" s="679">
        <f t="shared" si="5"/>
        <v>935</v>
      </c>
      <c r="CS23" s="679">
        <f t="shared" si="6"/>
        <v>937</v>
      </c>
      <c r="CT23" s="679">
        <f t="shared" si="7"/>
        <v>939</v>
      </c>
      <c r="CU23" s="679">
        <f t="shared" si="8"/>
        <v>939</v>
      </c>
      <c r="CV23" s="679">
        <f t="shared" si="9"/>
        <v>939</v>
      </c>
      <c r="CW23" s="679">
        <f t="shared" si="10"/>
        <v>939</v>
      </c>
      <c r="CX23" s="679">
        <f t="shared" si="11"/>
        <v>939</v>
      </c>
      <c r="CY23" s="679">
        <f t="shared" si="12"/>
        <v>942</v>
      </c>
      <c r="CZ23" s="679">
        <f t="shared" si="13"/>
        <v>946</v>
      </c>
      <c r="DA23" s="679">
        <f t="shared" si="14"/>
        <v>947</v>
      </c>
      <c r="DB23" s="679">
        <f t="shared" si="15"/>
        <v>948</v>
      </c>
      <c r="DC23" s="679">
        <f t="shared" si="16"/>
        <v>955</v>
      </c>
      <c r="DD23" s="679">
        <f t="shared" si="17"/>
        <v>965</v>
      </c>
      <c r="DE23" s="679">
        <f t="shared" si="18"/>
        <v>965</v>
      </c>
      <c r="DF23" s="679">
        <f t="shared" si="19"/>
        <v>965</v>
      </c>
      <c r="DG23" s="679">
        <f t="shared" si="20"/>
        <v>965</v>
      </c>
      <c r="DH23" s="679">
        <f t="shared" si="21"/>
        <v>965</v>
      </c>
      <c r="DI23" s="679">
        <f t="shared" si="22"/>
        <v>965</v>
      </c>
      <c r="DJ23" s="679">
        <f t="shared" si="23"/>
        <v>965</v>
      </c>
      <c r="DK23" s="679">
        <f t="shared" si="24"/>
        <v>956</v>
      </c>
      <c r="DL23" s="679">
        <f t="shared" si="25"/>
        <v>966</v>
      </c>
      <c r="DM23" s="679">
        <f t="shared" si="26"/>
        <v>966</v>
      </c>
      <c r="DN23" s="679">
        <f t="shared" si="27"/>
        <v>966</v>
      </c>
      <c r="DO23" s="679">
        <f t="shared" si="28"/>
        <v>966</v>
      </c>
      <c r="DP23" s="679">
        <f t="shared" si="29"/>
        <v>966</v>
      </c>
      <c r="DQ23" s="679">
        <f t="shared" si="30"/>
        <v>966</v>
      </c>
      <c r="DR23" s="679">
        <f t="shared" si="31"/>
        <v>966</v>
      </c>
      <c r="DS23" s="679">
        <f t="shared" si="32"/>
        <v>957</v>
      </c>
      <c r="DT23" s="679">
        <f t="shared" si="33"/>
        <v>967</v>
      </c>
      <c r="DU23" s="679">
        <f t="shared" si="34"/>
        <v>967</v>
      </c>
      <c r="DV23" s="679">
        <f t="shared" si="35"/>
        <v>967</v>
      </c>
      <c r="DW23" s="679">
        <f t="shared" si="36"/>
        <v>967</v>
      </c>
      <c r="DX23" s="679">
        <f t="shared" si="37"/>
        <v>967</v>
      </c>
      <c r="DY23" s="679">
        <f t="shared" si="38"/>
        <v>967</v>
      </c>
      <c r="DZ23" s="679">
        <f t="shared" si="39"/>
        <v>967</v>
      </c>
      <c r="EA23" s="679">
        <f t="shared" si="40"/>
        <v>958</v>
      </c>
      <c r="EB23" s="679">
        <f t="shared" si="41"/>
        <v>968</v>
      </c>
      <c r="EC23" s="679">
        <f t="shared" si="42"/>
        <v>968</v>
      </c>
      <c r="ED23" s="679">
        <f t="shared" si="43"/>
        <v>968</v>
      </c>
      <c r="EE23" s="679">
        <f t="shared" si="44"/>
        <v>968</v>
      </c>
      <c r="EF23" s="679">
        <f t="shared" si="45"/>
        <v>968</v>
      </c>
      <c r="EG23" s="679">
        <f t="shared" si="46"/>
        <v>968</v>
      </c>
      <c r="EH23" s="679">
        <f t="shared" si="47"/>
        <v>968</v>
      </c>
      <c r="EI23" s="679">
        <f t="shared" si="48"/>
        <v>959</v>
      </c>
      <c r="EJ23" s="679">
        <f t="shared" si="49"/>
        <v>969</v>
      </c>
      <c r="EK23" s="679">
        <f t="shared" si="50"/>
        <v>969</v>
      </c>
      <c r="EL23" s="679">
        <f t="shared" si="51"/>
        <v>969</v>
      </c>
      <c r="EM23" s="679">
        <f t="shared" si="52"/>
        <v>969</v>
      </c>
      <c r="EN23" s="679">
        <f t="shared" si="53"/>
        <v>969</v>
      </c>
      <c r="EO23" s="679">
        <f t="shared" si="54"/>
        <v>969</v>
      </c>
      <c r="EP23" s="679">
        <f t="shared" si="55"/>
        <v>969</v>
      </c>
      <c r="EQ23" s="679">
        <f t="shared" si="56"/>
        <v>960</v>
      </c>
      <c r="ER23" s="679">
        <f t="shared" si="57"/>
        <v>970</v>
      </c>
      <c r="ES23" s="679">
        <f t="shared" si="58"/>
        <v>970</v>
      </c>
      <c r="ET23" s="679">
        <f t="shared" si="59"/>
        <v>970</v>
      </c>
      <c r="EU23" s="679">
        <f t="shared" si="60"/>
        <v>970</v>
      </c>
      <c r="EV23" s="679">
        <f t="shared" si="61"/>
        <v>970</v>
      </c>
      <c r="EW23" s="679">
        <f t="shared" si="62"/>
        <v>970</v>
      </c>
      <c r="EX23" s="679">
        <f t="shared" si="63"/>
        <v>970</v>
      </c>
      <c r="EY23" s="679">
        <f t="shared" si="64"/>
        <v>976</v>
      </c>
    </row>
    <row r="24" spans="2:155" ht="12.75" customHeight="1" x14ac:dyDescent="0.2">
      <c r="B24" s="700" t="str">
        <f>IF(COUNTIF($CK$10:CK24,TRUE)&gt;0,"",INDEX(C_InstallationDescription!$E$226:$E$242,ROWS($A$11:A24)))</f>
        <v/>
      </c>
      <c r="C24" s="581" t="str">
        <f>IF($E24="","",INDEX(C_InstallationDescription!F:F,MATCH($B24,C_InstallationDescription!$E:$E,0)))</f>
        <v/>
      </c>
      <c r="D24" s="581" t="str">
        <f>IF($E24="","",INDEX(C_InstallationDescription!I:I,MATCH($B24,C_InstallationDescription!$E:$E,0)))</f>
        <v/>
      </c>
      <c r="E24" s="581" t="str">
        <f>IF($B24="","",INDEX(C_InstallationDescription!F:F,MATCH($CJ24,C_InstallationDescription!$Q:$Q,0)))</f>
        <v/>
      </c>
      <c r="F24" s="706" t="str">
        <f>IF($E24="","",INDEX(C_InstallationDescription!L:L,MATCH($CJ24,C_InstallationDescription!$Q:$Q,0)))</f>
        <v/>
      </c>
      <c r="G24" s="581" t="str">
        <f>IF($E24="","",INDEX(C_InstallationDescription!M:M,MATCH($CJ24,C_InstallationDescription!$Q:$Q,0)))</f>
        <v/>
      </c>
      <c r="H24" s="581" t="str">
        <f>IF($E24="","",INDEX(C_InstallationDescription!N:N,MATCH($CJ24,C_InstallationDescription!$Q:$Q,0)))</f>
        <v/>
      </c>
      <c r="I24" s="703" t="str">
        <f>IF($E24="","",IF(INDEX(E_SourceStreams!$A:$N,CN24,I$7)="","",INDEX(E_SourceStreams!$A:$N,CN24,I$7)))</f>
        <v/>
      </c>
      <c r="J24" s="703" t="str">
        <f>IF($E24="","",IF(INDEX(E_SourceStreams!$A:$N,CO24,J$7)="","",INDEX(E_SourceStreams!$A:$N,CO24,J$7)))</f>
        <v/>
      </c>
      <c r="K24" s="703" t="str">
        <f>IF($E24="","",IF(INDEX(E_SourceStreams!$A:$N,CP24,K$7)="","",INDEX(E_SourceStreams!$A:$N,CP24,K$7)))</f>
        <v/>
      </c>
      <c r="L24" s="703" t="str">
        <f>IF($E24="","",IF(INDEX(E_SourceStreams!$A:$N,CQ24,L$7)="","",INDEX(E_SourceStreams!$A:$N,CQ24,L$7)))</f>
        <v/>
      </c>
      <c r="M24" s="703" t="str">
        <f>IF($E24="","",IF(INDEX(E_SourceStreams!$A:$N,CR24,M$7)="","",INDEX(E_SourceStreams!$A:$N,CR24,M$7)))</f>
        <v/>
      </c>
      <c r="N24" s="703" t="str">
        <f>IF($E24="","",IF(INDEX(E_SourceStreams!$A:$N,CS24,N$7)="","",INDEX(E_SourceStreams!$A:$N,CS24,N$7)))</f>
        <v/>
      </c>
      <c r="O24" s="703" t="str">
        <f>IF($E24="","",IF(INDEX(E_SourceStreams!$A:$N,CT24,O$7)="","",INDEX(E_SourceStreams!$A:$N,CT24,O$7)))</f>
        <v/>
      </c>
      <c r="P24" s="703" t="str">
        <f>IF($E24="","",IF(INDEX(E_SourceStreams!$A:$N,CU24,P$7)="","",INDEX(E_SourceStreams!$A:$N,CU24,P$7)))</f>
        <v/>
      </c>
      <c r="Q24" s="703" t="str">
        <f>IF($E24="","",IF(INDEX(E_SourceStreams!$A:$N,CV24,Q$7)="","",INDEX(E_SourceStreams!$A:$N,CV24,Q$7)))</f>
        <v/>
      </c>
      <c r="R24" s="703" t="str">
        <f>IF($E24="","",IF(INDEX(E_SourceStreams!$A:$N,CW24,R$7)="","",INDEX(E_SourceStreams!$A:$N,CW24,R$7)))</f>
        <v/>
      </c>
      <c r="S24" s="703" t="str">
        <f>IF($E24="","",IF(INDEX(E_SourceStreams!$A:$N,CX24,S$7)="","",INDEX(E_SourceStreams!$A:$N,CX24,S$7)))</f>
        <v/>
      </c>
      <c r="T24" s="703" t="str">
        <f>IF($E24="","",IF(INDEX(E_SourceStreams!$A:$N,CY24,T$7)="","",INDEX(E_SourceStreams!$A:$N,CY24,T$7)))</f>
        <v/>
      </c>
      <c r="U24" s="703" t="str">
        <f>IF($E24="","",IF(INDEX(E_SourceStreams!$A:$N,CZ24,U$7)="","",INDEX(E_SourceStreams!$A:$N,CZ24,U$7)))</f>
        <v/>
      </c>
      <c r="V24" s="703" t="str">
        <f>IF($E24="","",IF(INDEX(E_SourceStreams!$A:$N,DA24,V$7)="","",INDEX(E_SourceStreams!$A:$N,DA24,V$7)))</f>
        <v/>
      </c>
      <c r="W24" s="704" t="str">
        <f>IF($E24="","",IF(INDEX(E_SourceStreams!$A:$N,DB24,W$7)="","",INDEX(E_SourceStreams!$A:$N,DB24,W$7)))</f>
        <v/>
      </c>
      <c r="X24" s="703" t="str">
        <f>IF($E24="","",IF(INDEX(E_SourceStreams!$A:$N,DC24,X$7)="","",INDEX(E_SourceStreams!$A:$N,DC24,X$7)))</f>
        <v/>
      </c>
      <c r="Y24" s="703" t="str">
        <f>IF($E24="","",IF(INDEX(E_SourceStreams!$A:$N,DD24,Y$7)="","",INDEX(E_SourceStreams!$A:$N,DD24,Y$7)))</f>
        <v/>
      </c>
      <c r="Z24" s="703" t="str">
        <f>IF($E24="","",IF(INDEX(E_SourceStreams!$A:$N,DE24,Z$7)="","",INDEX(E_SourceStreams!$A:$N,DE24,Z$7)))</f>
        <v/>
      </c>
      <c r="AA24" s="703" t="str">
        <f>IF($E24="","",IF(INDEX(E_SourceStreams!$A:$N,DF24,AA$7)="","",INDEX(E_SourceStreams!$A:$N,DF24,AA$7)))</f>
        <v/>
      </c>
      <c r="AB24" s="703" t="str">
        <f>IF($E24="","",IF(INDEX(E_SourceStreams!$A:$N,DG24,AB$7)="","",INDEX(E_SourceStreams!$A:$N,DG24,AB$7)))</f>
        <v/>
      </c>
      <c r="AC24" s="703" t="str">
        <f>IF($E24="","",IF(INDEX(E_SourceStreams!$A:$N,DH24,AC$7)="","",INDEX(E_SourceStreams!$A:$N,DH24,AC$7)))</f>
        <v/>
      </c>
      <c r="AD24" s="703" t="str">
        <f>IF($E24="","",IF(INDEX(E_SourceStreams!$A:$N,DI24,AD$7)="","",INDEX(E_SourceStreams!$A:$N,DI24,AD$7)))</f>
        <v/>
      </c>
      <c r="AE24" s="703" t="str">
        <f>IF($E24="","",IF(INDEX(E_SourceStreams!$A:$N,DJ24,AE$7)="","",INDEX(E_SourceStreams!$A:$N,DJ24,AE$7)))</f>
        <v/>
      </c>
      <c r="AF24" s="703" t="str">
        <f>IF($E24="","",IF(INDEX(E_SourceStreams!$A:$N,DK24,AF$7)="","",INDEX(E_SourceStreams!$A:$N,DK24,AF$7)))</f>
        <v/>
      </c>
      <c r="AG24" s="703" t="str">
        <f>IF($E24="","",IF(INDEX(E_SourceStreams!$A:$N,DL24,AG$7)="","",INDEX(E_SourceStreams!$A:$N,DL24,AG$7)))</f>
        <v/>
      </c>
      <c r="AH24" s="703" t="str">
        <f>IF($E24="","",IF(INDEX(E_SourceStreams!$A:$N,DM24,AH$7)="","",INDEX(E_SourceStreams!$A:$N,DM24,AH$7)))</f>
        <v/>
      </c>
      <c r="AI24" s="703" t="str">
        <f>IF($E24="","",IF(INDEX(E_SourceStreams!$A:$N,DN24,AI$7)="","",INDEX(E_SourceStreams!$A:$N,DN24,AI$7)))</f>
        <v/>
      </c>
      <c r="AJ24" s="703" t="str">
        <f>IF($E24="","",IF(INDEX(E_SourceStreams!$A:$N,DO24,AJ$7)="","",INDEX(E_SourceStreams!$A:$N,DO24,AJ$7)))</f>
        <v/>
      </c>
      <c r="AK24" s="703" t="str">
        <f>IF($E24="","",IF(INDEX(E_SourceStreams!$A:$N,DP24,AK$7)="","",INDEX(E_SourceStreams!$A:$N,DP24,AK$7)))</f>
        <v/>
      </c>
      <c r="AL24" s="703" t="str">
        <f>IF($E24="","",IF(INDEX(E_SourceStreams!$A:$N,DQ24,AL$7)="","",INDEX(E_SourceStreams!$A:$N,DQ24,AL$7)))</f>
        <v/>
      </c>
      <c r="AM24" s="703" t="str">
        <f>IF($E24="","",IF(INDEX(E_SourceStreams!$A:$N,DR24,AM$7)="","",INDEX(E_SourceStreams!$A:$N,DR24,AM$7)))</f>
        <v/>
      </c>
      <c r="AN24" s="703" t="str">
        <f>IF($E24="","",IF(INDEX(E_SourceStreams!$A:$N,DS24,AN$7)="","",INDEX(E_SourceStreams!$A:$N,DS24,AN$7)))</f>
        <v/>
      </c>
      <c r="AO24" s="703" t="str">
        <f>IF($E24="","",IF(INDEX(E_SourceStreams!$A:$N,DT24,AO$7)="","",INDEX(E_SourceStreams!$A:$N,DT24,AO$7)))</f>
        <v/>
      </c>
      <c r="AP24" s="703" t="str">
        <f>IF($E24="","",IF(INDEX(E_SourceStreams!$A:$N,DU24,AP$7)="","",INDEX(E_SourceStreams!$A:$N,DU24,AP$7)))</f>
        <v/>
      </c>
      <c r="AQ24" s="703" t="str">
        <f>IF($E24="","",IF(INDEX(E_SourceStreams!$A:$N,DV24,AQ$7)="","",INDEX(E_SourceStreams!$A:$N,DV24,AQ$7)))</f>
        <v/>
      </c>
      <c r="AR24" s="703" t="str">
        <f>IF($E24="","",IF(INDEX(E_SourceStreams!$A:$N,DW24,AR$7)="","",INDEX(E_SourceStreams!$A:$N,DW24,AR$7)))</f>
        <v/>
      </c>
      <c r="AS24" s="703" t="str">
        <f>IF($E24="","",IF(INDEX(E_SourceStreams!$A:$N,DX24,AS$7)="","",INDEX(E_SourceStreams!$A:$N,DX24,AS$7)))</f>
        <v/>
      </c>
      <c r="AT24" s="703" t="str">
        <f>IF($E24="","",IF(INDEX(E_SourceStreams!$A:$N,DY24,AT$7)="","",INDEX(E_SourceStreams!$A:$N,DY24,AT$7)))</f>
        <v/>
      </c>
      <c r="AU24" s="703" t="str">
        <f>IF($E24="","",IF(INDEX(E_SourceStreams!$A:$N,DZ24,AU$7)="","",INDEX(E_SourceStreams!$A:$N,DZ24,AU$7)))</f>
        <v/>
      </c>
      <c r="AV24" s="703" t="str">
        <f>IF($E24="","",IF(INDEX(E_SourceStreams!$A:$N,EA24,AV$7)="","",INDEX(E_SourceStreams!$A:$N,EA24,AV$7)))</f>
        <v/>
      </c>
      <c r="AW24" s="703" t="str">
        <f>IF($E24="","",IF(INDEX(E_SourceStreams!$A:$N,EB24,AW$7)="","",INDEX(E_SourceStreams!$A:$N,EB24,AW$7)))</f>
        <v/>
      </c>
      <c r="AX24" s="703" t="str">
        <f>IF($E24="","",IF(INDEX(E_SourceStreams!$A:$N,EC24,AX$7)="","",INDEX(E_SourceStreams!$A:$N,EC24,AX$7)))</f>
        <v/>
      </c>
      <c r="AY24" s="703" t="str">
        <f>IF($E24="","",IF(INDEX(E_SourceStreams!$A:$N,ED24,AY$7)="","",INDEX(E_SourceStreams!$A:$N,ED24,AY$7)))</f>
        <v/>
      </c>
      <c r="AZ24" s="703" t="str">
        <f>IF($E24="","",IF(INDEX(E_SourceStreams!$A:$N,EE24,AZ$7)="","",INDEX(E_SourceStreams!$A:$N,EE24,AZ$7)))</f>
        <v/>
      </c>
      <c r="BA24" s="703" t="str">
        <f>IF($E24="","",IF(INDEX(E_SourceStreams!$A:$N,EF24,BA$7)="","",INDEX(E_SourceStreams!$A:$N,EF24,BA$7)))</f>
        <v/>
      </c>
      <c r="BB24" s="703" t="str">
        <f>IF($E24="","",IF(INDEX(E_SourceStreams!$A:$N,EG24,BB$7)="","",INDEX(E_SourceStreams!$A:$N,EG24,BB$7)))</f>
        <v/>
      </c>
      <c r="BC24" s="703" t="str">
        <f>IF($E24="","",IF(INDEX(E_SourceStreams!$A:$N,EH24,BC$7)="","",INDEX(E_SourceStreams!$A:$N,EH24,BC$7)))</f>
        <v/>
      </c>
      <c r="BD24" s="703" t="str">
        <f>IF($E24="","",IF(INDEX(E_SourceStreams!$A:$N,EI24,BD$7)="","",INDEX(E_SourceStreams!$A:$N,EI24,BD$7)))</f>
        <v/>
      </c>
      <c r="BE24" s="703" t="str">
        <f>IF($E24="","",IF(INDEX(E_SourceStreams!$A:$N,EJ24,BE$7)="","",INDEX(E_SourceStreams!$A:$N,EJ24,BE$7)))</f>
        <v/>
      </c>
      <c r="BF24" s="703" t="str">
        <f>IF($E24="","",IF(INDEX(E_SourceStreams!$A:$N,EK24,BF$7)="","",INDEX(E_SourceStreams!$A:$N,EK24,BF$7)))</f>
        <v/>
      </c>
      <c r="BG24" s="703" t="str">
        <f>IF($E24="","",IF(INDEX(E_SourceStreams!$A:$N,EL24,BG$7)="","",INDEX(E_SourceStreams!$A:$N,EL24,BG$7)))</f>
        <v/>
      </c>
      <c r="BH24" s="703" t="str">
        <f>IF($E24="","",IF(INDEX(E_SourceStreams!$A:$N,EM24,BH$7)="","",INDEX(E_SourceStreams!$A:$N,EM24,BH$7)))</f>
        <v/>
      </c>
      <c r="BI24" s="703" t="str">
        <f>IF($E24="","",IF(INDEX(E_SourceStreams!$A:$N,EN24,BI$7)="","",INDEX(E_SourceStreams!$A:$N,EN24,BI$7)))</f>
        <v/>
      </c>
      <c r="BJ24" s="703" t="str">
        <f>IF($E24="","",IF(INDEX(E_SourceStreams!$A:$N,EO24,BJ$7)="","",INDEX(E_SourceStreams!$A:$N,EO24,BJ$7)))</f>
        <v/>
      </c>
      <c r="BK24" s="703" t="str">
        <f>IF($E24="","",IF(INDEX(E_SourceStreams!$A:$N,EP24,BK$7)="","",INDEX(E_SourceStreams!$A:$N,EP24,BK$7)))</f>
        <v/>
      </c>
      <c r="BL24" s="703" t="str">
        <f>IF($E24="","",IF(INDEX(E_SourceStreams!$A:$N,EQ24,BL$7)="","",INDEX(E_SourceStreams!$A:$N,EQ24,BL$7)))</f>
        <v/>
      </c>
      <c r="BM24" s="703" t="str">
        <f>IF($E24="","",IF(INDEX(E_SourceStreams!$A:$N,ER24,BM$7)="","",INDEX(E_SourceStreams!$A:$N,ER24,BM$7)))</f>
        <v/>
      </c>
      <c r="BN24" s="703" t="str">
        <f>IF($E24="","",IF(INDEX(E_SourceStreams!$A:$N,ES24,BN$7)="","",INDEX(E_SourceStreams!$A:$N,ES24,BN$7)))</f>
        <v/>
      </c>
      <c r="BO24" s="703" t="str">
        <f>IF($E24="","",IF(INDEX(E_SourceStreams!$A:$N,ET24,BO$7)="","",INDEX(E_SourceStreams!$A:$N,ET24,BO$7)))</f>
        <v/>
      </c>
      <c r="BP24" s="703" t="str">
        <f>IF($E24="","",IF(INDEX(E_SourceStreams!$A:$N,EU24,BP$7)="","",INDEX(E_SourceStreams!$A:$N,EU24,BP$7)))</f>
        <v/>
      </c>
      <c r="BQ24" s="703" t="str">
        <f>IF($E24="","",IF(INDEX(E_SourceStreams!$A:$N,EV24,BQ$7)="","",INDEX(E_SourceStreams!$A:$N,EV24,BQ$7)))</f>
        <v/>
      </c>
      <c r="BR24" s="703" t="str">
        <f>IF($E24="","",IF(INDEX(E_SourceStreams!$A:$N,EW24,BR$7)="","",INDEX(E_SourceStreams!$A:$N,EW24,BR$7)))</f>
        <v/>
      </c>
      <c r="BS24" s="703" t="str">
        <f>IF($E24="","",IF(INDEX(E_SourceStreams!$A:$N,EX24,BS$7)="","",INDEX(E_SourceStreams!$A:$N,EX24,BS$7)))</f>
        <v/>
      </c>
      <c r="BT24" s="703" t="str">
        <f>IF($E24="","",IF(INDEX(E_SourceStreams!$A:$N,EY24,BT$7)="","",INDEX(E_SourceStreams!$A:$N,EY24,BT$7)))</f>
        <v/>
      </c>
      <c r="BU24" s="625"/>
      <c r="CJ24" s="679" t="str">
        <f t="shared" si="0"/>
        <v>SourceCategory_</v>
      </c>
      <c r="CK24" s="679" t="b">
        <f>INDEX(C_InstallationDescription!$A$226:$A$332,ROWS($CI$11:CI24))="ausblenden"</f>
        <v>0</v>
      </c>
      <c r="CL24" s="679" t="str">
        <f t="shared" si="1"/>
        <v>SourceStreamName_</v>
      </c>
      <c r="CN24" s="679">
        <f t="shared" si="65"/>
        <v>993</v>
      </c>
      <c r="CO24" s="679">
        <f t="shared" si="2"/>
        <v>995</v>
      </c>
      <c r="CP24" s="679">
        <f t="shared" si="3"/>
        <v>997</v>
      </c>
      <c r="CQ24" s="679">
        <f t="shared" si="4"/>
        <v>999</v>
      </c>
      <c r="CR24" s="679">
        <f t="shared" si="5"/>
        <v>1001</v>
      </c>
      <c r="CS24" s="679">
        <f t="shared" si="6"/>
        <v>1003</v>
      </c>
      <c r="CT24" s="679">
        <f t="shared" si="7"/>
        <v>1005</v>
      </c>
      <c r="CU24" s="679">
        <f t="shared" si="8"/>
        <v>1005</v>
      </c>
      <c r="CV24" s="679">
        <f t="shared" si="9"/>
        <v>1005</v>
      </c>
      <c r="CW24" s="679">
        <f t="shared" si="10"/>
        <v>1005</v>
      </c>
      <c r="CX24" s="679">
        <f t="shared" si="11"/>
        <v>1005</v>
      </c>
      <c r="CY24" s="679">
        <f t="shared" si="12"/>
        <v>1008</v>
      </c>
      <c r="CZ24" s="679">
        <f t="shared" si="13"/>
        <v>1012</v>
      </c>
      <c r="DA24" s="679">
        <f t="shared" si="14"/>
        <v>1013</v>
      </c>
      <c r="DB24" s="679">
        <f t="shared" si="15"/>
        <v>1014</v>
      </c>
      <c r="DC24" s="679">
        <f t="shared" si="16"/>
        <v>1021</v>
      </c>
      <c r="DD24" s="679">
        <f t="shared" si="17"/>
        <v>1031</v>
      </c>
      <c r="DE24" s="679">
        <f t="shared" si="18"/>
        <v>1031</v>
      </c>
      <c r="DF24" s="679">
        <f t="shared" si="19"/>
        <v>1031</v>
      </c>
      <c r="DG24" s="679">
        <f t="shared" si="20"/>
        <v>1031</v>
      </c>
      <c r="DH24" s="679">
        <f t="shared" si="21"/>
        <v>1031</v>
      </c>
      <c r="DI24" s="679">
        <f t="shared" si="22"/>
        <v>1031</v>
      </c>
      <c r="DJ24" s="679">
        <f t="shared" si="23"/>
        <v>1031</v>
      </c>
      <c r="DK24" s="679">
        <f t="shared" si="24"/>
        <v>1022</v>
      </c>
      <c r="DL24" s="679">
        <f t="shared" si="25"/>
        <v>1032</v>
      </c>
      <c r="DM24" s="679">
        <f t="shared" si="26"/>
        <v>1032</v>
      </c>
      <c r="DN24" s="679">
        <f t="shared" si="27"/>
        <v>1032</v>
      </c>
      <c r="DO24" s="679">
        <f t="shared" si="28"/>
        <v>1032</v>
      </c>
      <c r="DP24" s="679">
        <f t="shared" si="29"/>
        <v>1032</v>
      </c>
      <c r="DQ24" s="679">
        <f t="shared" si="30"/>
        <v>1032</v>
      </c>
      <c r="DR24" s="679">
        <f t="shared" si="31"/>
        <v>1032</v>
      </c>
      <c r="DS24" s="679">
        <f t="shared" si="32"/>
        <v>1023</v>
      </c>
      <c r="DT24" s="679">
        <f t="shared" si="33"/>
        <v>1033</v>
      </c>
      <c r="DU24" s="679">
        <f t="shared" si="34"/>
        <v>1033</v>
      </c>
      <c r="DV24" s="679">
        <f t="shared" si="35"/>
        <v>1033</v>
      </c>
      <c r="DW24" s="679">
        <f t="shared" si="36"/>
        <v>1033</v>
      </c>
      <c r="DX24" s="679">
        <f t="shared" si="37"/>
        <v>1033</v>
      </c>
      <c r="DY24" s="679">
        <f t="shared" si="38"/>
        <v>1033</v>
      </c>
      <c r="DZ24" s="679">
        <f t="shared" si="39"/>
        <v>1033</v>
      </c>
      <c r="EA24" s="679">
        <f t="shared" si="40"/>
        <v>1024</v>
      </c>
      <c r="EB24" s="679">
        <f t="shared" si="41"/>
        <v>1034</v>
      </c>
      <c r="EC24" s="679">
        <f t="shared" si="42"/>
        <v>1034</v>
      </c>
      <c r="ED24" s="679">
        <f t="shared" si="43"/>
        <v>1034</v>
      </c>
      <c r="EE24" s="679">
        <f t="shared" si="44"/>
        <v>1034</v>
      </c>
      <c r="EF24" s="679">
        <f t="shared" si="45"/>
        <v>1034</v>
      </c>
      <c r="EG24" s="679">
        <f t="shared" si="46"/>
        <v>1034</v>
      </c>
      <c r="EH24" s="679">
        <f t="shared" si="47"/>
        <v>1034</v>
      </c>
      <c r="EI24" s="679">
        <f t="shared" si="48"/>
        <v>1025</v>
      </c>
      <c r="EJ24" s="679">
        <f t="shared" si="49"/>
        <v>1035</v>
      </c>
      <c r="EK24" s="679">
        <f t="shared" si="50"/>
        <v>1035</v>
      </c>
      <c r="EL24" s="679">
        <f t="shared" si="51"/>
        <v>1035</v>
      </c>
      <c r="EM24" s="679">
        <f t="shared" si="52"/>
        <v>1035</v>
      </c>
      <c r="EN24" s="679">
        <f t="shared" si="53"/>
        <v>1035</v>
      </c>
      <c r="EO24" s="679">
        <f t="shared" si="54"/>
        <v>1035</v>
      </c>
      <c r="EP24" s="679">
        <f t="shared" si="55"/>
        <v>1035</v>
      </c>
      <c r="EQ24" s="679">
        <f t="shared" si="56"/>
        <v>1026</v>
      </c>
      <c r="ER24" s="679">
        <f t="shared" si="57"/>
        <v>1036</v>
      </c>
      <c r="ES24" s="679">
        <f t="shared" si="58"/>
        <v>1036</v>
      </c>
      <c r="ET24" s="679">
        <f t="shared" si="59"/>
        <v>1036</v>
      </c>
      <c r="EU24" s="679">
        <f t="shared" si="60"/>
        <v>1036</v>
      </c>
      <c r="EV24" s="679">
        <f t="shared" si="61"/>
        <v>1036</v>
      </c>
      <c r="EW24" s="679">
        <f t="shared" si="62"/>
        <v>1036</v>
      </c>
      <c r="EX24" s="679">
        <f t="shared" si="63"/>
        <v>1036</v>
      </c>
      <c r="EY24" s="679">
        <f t="shared" si="64"/>
        <v>1042</v>
      </c>
    </row>
    <row r="25" spans="2:155" ht="12.75" customHeight="1" x14ac:dyDescent="0.2">
      <c r="B25" s="700" t="str">
        <f>IF(COUNTIF($CK$10:CK25,TRUE)&gt;0,"",INDEX(C_InstallationDescription!$E$226:$E$242,ROWS($A$11:A25)))</f>
        <v/>
      </c>
      <c r="C25" s="581" t="str">
        <f>IF($E25="","",INDEX(C_InstallationDescription!F:F,MATCH($B25,C_InstallationDescription!$E:$E,0)))</f>
        <v/>
      </c>
      <c r="D25" s="581" t="str">
        <f>IF($E25="","",INDEX(C_InstallationDescription!I:I,MATCH($B25,C_InstallationDescription!$E:$E,0)))</f>
        <v/>
      </c>
      <c r="E25" s="581" t="str">
        <f>IF($B25="","",INDEX(C_InstallationDescription!F:F,MATCH($CJ25,C_InstallationDescription!$Q:$Q,0)))</f>
        <v/>
      </c>
      <c r="F25" s="706" t="str">
        <f>IF($E25="","",INDEX(C_InstallationDescription!L:L,MATCH($CJ25,C_InstallationDescription!$Q:$Q,0)))</f>
        <v/>
      </c>
      <c r="G25" s="581" t="str">
        <f>IF($E25="","",INDEX(C_InstallationDescription!M:M,MATCH($CJ25,C_InstallationDescription!$Q:$Q,0)))</f>
        <v/>
      </c>
      <c r="H25" s="581" t="str">
        <f>IF($E25="","",INDEX(C_InstallationDescription!N:N,MATCH($CJ25,C_InstallationDescription!$Q:$Q,0)))</f>
        <v/>
      </c>
      <c r="I25" s="703" t="str">
        <f>IF($E25="","",IF(INDEX(E_SourceStreams!$A:$N,CN25,I$7)="","",INDEX(E_SourceStreams!$A:$N,CN25,I$7)))</f>
        <v/>
      </c>
      <c r="J25" s="703" t="str">
        <f>IF($E25="","",IF(INDEX(E_SourceStreams!$A:$N,CO25,J$7)="","",INDEX(E_SourceStreams!$A:$N,CO25,J$7)))</f>
        <v/>
      </c>
      <c r="K25" s="703" t="str">
        <f>IF($E25="","",IF(INDEX(E_SourceStreams!$A:$N,CP25,K$7)="","",INDEX(E_SourceStreams!$A:$N,CP25,K$7)))</f>
        <v/>
      </c>
      <c r="L25" s="703" t="str">
        <f>IF($E25="","",IF(INDEX(E_SourceStreams!$A:$N,CQ25,L$7)="","",INDEX(E_SourceStreams!$A:$N,CQ25,L$7)))</f>
        <v/>
      </c>
      <c r="M25" s="703" t="str">
        <f>IF($E25="","",IF(INDEX(E_SourceStreams!$A:$N,CR25,M$7)="","",INDEX(E_SourceStreams!$A:$N,CR25,M$7)))</f>
        <v/>
      </c>
      <c r="N25" s="703" t="str">
        <f>IF($E25="","",IF(INDEX(E_SourceStreams!$A:$N,CS25,N$7)="","",INDEX(E_SourceStreams!$A:$N,CS25,N$7)))</f>
        <v/>
      </c>
      <c r="O25" s="703" t="str">
        <f>IF($E25="","",IF(INDEX(E_SourceStreams!$A:$N,CT25,O$7)="","",INDEX(E_SourceStreams!$A:$N,CT25,O$7)))</f>
        <v/>
      </c>
      <c r="P25" s="703" t="str">
        <f>IF($E25="","",IF(INDEX(E_SourceStreams!$A:$N,CU25,P$7)="","",INDEX(E_SourceStreams!$A:$N,CU25,P$7)))</f>
        <v/>
      </c>
      <c r="Q25" s="703" t="str">
        <f>IF($E25="","",IF(INDEX(E_SourceStreams!$A:$N,CV25,Q$7)="","",INDEX(E_SourceStreams!$A:$N,CV25,Q$7)))</f>
        <v/>
      </c>
      <c r="R25" s="703" t="str">
        <f>IF($E25="","",IF(INDEX(E_SourceStreams!$A:$N,CW25,R$7)="","",INDEX(E_SourceStreams!$A:$N,CW25,R$7)))</f>
        <v/>
      </c>
      <c r="S25" s="703" t="str">
        <f>IF($E25="","",IF(INDEX(E_SourceStreams!$A:$N,CX25,S$7)="","",INDEX(E_SourceStreams!$A:$N,CX25,S$7)))</f>
        <v/>
      </c>
      <c r="T25" s="703" t="str">
        <f>IF($E25="","",IF(INDEX(E_SourceStreams!$A:$N,CY25,T$7)="","",INDEX(E_SourceStreams!$A:$N,CY25,T$7)))</f>
        <v/>
      </c>
      <c r="U25" s="703" t="str">
        <f>IF($E25="","",IF(INDEX(E_SourceStreams!$A:$N,CZ25,U$7)="","",INDEX(E_SourceStreams!$A:$N,CZ25,U$7)))</f>
        <v/>
      </c>
      <c r="V25" s="703" t="str">
        <f>IF($E25="","",IF(INDEX(E_SourceStreams!$A:$N,DA25,V$7)="","",INDEX(E_SourceStreams!$A:$N,DA25,V$7)))</f>
        <v/>
      </c>
      <c r="W25" s="704" t="str">
        <f>IF($E25="","",IF(INDEX(E_SourceStreams!$A:$N,DB25,W$7)="","",INDEX(E_SourceStreams!$A:$N,DB25,W$7)))</f>
        <v/>
      </c>
      <c r="X25" s="703" t="str">
        <f>IF($E25="","",IF(INDEX(E_SourceStreams!$A:$N,DC25,X$7)="","",INDEX(E_SourceStreams!$A:$N,DC25,X$7)))</f>
        <v/>
      </c>
      <c r="Y25" s="703" t="str">
        <f>IF($E25="","",IF(INDEX(E_SourceStreams!$A:$N,DD25,Y$7)="","",INDEX(E_SourceStreams!$A:$N,DD25,Y$7)))</f>
        <v/>
      </c>
      <c r="Z25" s="703" t="str">
        <f>IF($E25="","",IF(INDEX(E_SourceStreams!$A:$N,DE25,Z$7)="","",INDEX(E_SourceStreams!$A:$N,DE25,Z$7)))</f>
        <v/>
      </c>
      <c r="AA25" s="703" t="str">
        <f>IF($E25="","",IF(INDEX(E_SourceStreams!$A:$N,DF25,AA$7)="","",INDEX(E_SourceStreams!$A:$N,DF25,AA$7)))</f>
        <v/>
      </c>
      <c r="AB25" s="703" t="str">
        <f>IF($E25="","",IF(INDEX(E_SourceStreams!$A:$N,DG25,AB$7)="","",INDEX(E_SourceStreams!$A:$N,DG25,AB$7)))</f>
        <v/>
      </c>
      <c r="AC25" s="703" t="str">
        <f>IF($E25="","",IF(INDEX(E_SourceStreams!$A:$N,DH25,AC$7)="","",INDEX(E_SourceStreams!$A:$N,DH25,AC$7)))</f>
        <v/>
      </c>
      <c r="AD25" s="703" t="str">
        <f>IF($E25="","",IF(INDEX(E_SourceStreams!$A:$N,DI25,AD$7)="","",INDEX(E_SourceStreams!$A:$N,DI25,AD$7)))</f>
        <v/>
      </c>
      <c r="AE25" s="703" t="str">
        <f>IF($E25="","",IF(INDEX(E_SourceStreams!$A:$N,DJ25,AE$7)="","",INDEX(E_SourceStreams!$A:$N,DJ25,AE$7)))</f>
        <v/>
      </c>
      <c r="AF25" s="703" t="str">
        <f>IF($E25="","",IF(INDEX(E_SourceStreams!$A:$N,DK25,AF$7)="","",INDEX(E_SourceStreams!$A:$N,DK25,AF$7)))</f>
        <v/>
      </c>
      <c r="AG25" s="703" t="str">
        <f>IF($E25="","",IF(INDEX(E_SourceStreams!$A:$N,DL25,AG$7)="","",INDEX(E_SourceStreams!$A:$N,DL25,AG$7)))</f>
        <v/>
      </c>
      <c r="AH25" s="703" t="str">
        <f>IF($E25="","",IF(INDEX(E_SourceStreams!$A:$N,DM25,AH$7)="","",INDEX(E_SourceStreams!$A:$N,DM25,AH$7)))</f>
        <v/>
      </c>
      <c r="AI25" s="703" t="str">
        <f>IF($E25="","",IF(INDEX(E_SourceStreams!$A:$N,DN25,AI$7)="","",INDEX(E_SourceStreams!$A:$N,DN25,AI$7)))</f>
        <v/>
      </c>
      <c r="AJ25" s="703" t="str">
        <f>IF($E25="","",IF(INDEX(E_SourceStreams!$A:$N,DO25,AJ$7)="","",INDEX(E_SourceStreams!$A:$N,DO25,AJ$7)))</f>
        <v/>
      </c>
      <c r="AK25" s="703" t="str">
        <f>IF($E25="","",IF(INDEX(E_SourceStreams!$A:$N,DP25,AK$7)="","",INDEX(E_SourceStreams!$A:$N,DP25,AK$7)))</f>
        <v/>
      </c>
      <c r="AL25" s="703" t="str">
        <f>IF($E25="","",IF(INDEX(E_SourceStreams!$A:$N,DQ25,AL$7)="","",INDEX(E_SourceStreams!$A:$N,DQ25,AL$7)))</f>
        <v/>
      </c>
      <c r="AM25" s="703" t="str">
        <f>IF($E25="","",IF(INDEX(E_SourceStreams!$A:$N,DR25,AM$7)="","",INDEX(E_SourceStreams!$A:$N,DR25,AM$7)))</f>
        <v/>
      </c>
      <c r="AN25" s="703" t="str">
        <f>IF($E25="","",IF(INDEX(E_SourceStreams!$A:$N,DS25,AN$7)="","",INDEX(E_SourceStreams!$A:$N,DS25,AN$7)))</f>
        <v/>
      </c>
      <c r="AO25" s="703" t="str">
        <f>IF($E25="","",IF(INDEX(E_SourceStreams!$A:$N,DT25,AO$7)="","",INDEX(E_SourceStreams!$A:$N,DT25,AO$7)))</f>
        <v/>
      </c>
      <c r="AP25" s="703" t="str">
        <f>IF($E25="","",IF(INDEX(E_SourceStreams!$A:$N,DU25,AP$7)="","",INDEX(E_SourceStreams!$A:$N,DU25,AP$7)))</f>
        <v/>
      </c>
      <c r="AQ25" s="703" t="str">
        <f>IF($E25="","",IF(INDEX(E_SourceStreams!$A:$N,DV25,AQ$7)="","",INDEX(E_SourceStreams!$A:$N,DV25,AQ$7)))</f>
        <v/>
      </c>
      <c r="AR25" s="703" t="str">
        <f>IF($E25="","",IF(INDEX(E_SourceStreams!$A:$N,DW25,AR$7)="","",INDEX(E_SourceStreams!$A:$N,DW25,AR$7)))</f>
        <v/>
      </c>
      <c r="AS25" s="703" t="str">
        <f>IF($E25="","",IF(INDEX(E_SourceStreams!$A:$N,DX25,AS$7)="","",INDEX(E_SourceStreams!$A:$N,DX25,AS$7)))</f>
        <v/>
      </c>
      <c r="AT25" s="703" t="str">
        <f>IF($E25="","",IF(INDEX(E_SourceStreams!$A:$N,DY25,AT$7)="","",INDEX(E_SourceStreams!$A:$N,DY25,AT$7)))</f>
        <v/>
      </c>
      <c r="AU25" s="703" t="str">
        <f>IF($E25="","",IF(INDEX(E_SourceStreams!$A:$N,DZ25,AU$7)="","",INDEX(E_SourceStreams!$A:$N,DZ25,AU$7)))</f>
        <v/>
      </c>
      <c r="AV25" s="703" t="str">
        <f>IF($E25="","",IF(INDEX(E_SourceStreams!$A:$N,EA25,AV$7)="","",INDEX(E_SourceStreams!$A:$N,EA25,AV$7)))</f>
        <v/>
      </c>
      <c r="AW25" s="703" t="str">
        <f>IF($E25="","",IF(INDEX(E_SourceStreams!$A:$N,EB25,AW$7)="","",INDEX(E_SourceStreams!$A:$N,EB25,AW$7)))</f>
        <v/>
      </c>
      <c r="AX25" s="703" t="str">
        <f>IF($E25="","",IF(INDEX(E_SourceStreams!$A:$N,EC25,AX$7)="","",INDEX(E_SourceStreams!$A:$N,EC25,AX$7)))</f>
        <v/>
      </c>
      <c r="AY25" s="703" t="str">
        <f>IF($E25="","",IF(INDEX(E_SourceStreams!$A:$N,ED25,AY$7)="","",INDEX(E_SourceStreams!$A:$N,ED25,AY$7)))</f>
        <v/>
      </c>
      <c r="AZ25" s="703" t="str">
        <f>IF($E25="","",IF(INDEX(E_SourceStreams!$A:$N,EE25,AZ$7)="","",INDEX(E_SourceStreams!$A:$N,EE25,AZ$7)))</f>
        <v/>
      </c>
      <c r="BA25" s="703" t="str">
        <f>IF($E25="","",IF(INDEX(E_SourceStreams!$A:$N,EF25,BA$7)="","",INDEX(E_SourceStreams!$A:$N,EF25,BA$7)))</f>
        <v/>
      </c>
      <c r="BB25" s="703" t="str">
        <f>IF($E25="","",IF(INDEX(E_SourceStreams!$A:$N,EG25,BB$7)="","",INDEX(E_SourceStreams!$A:$N,EG25,BB$7)))</f>
        <v/>
      </c>
      <c r="BC25" s="703" t="str">
        <f>IF($E25="","",IF(INDEX(E_SourceStreams!$A:$N,EH25,BC$7)="","",INDEX(E_SourceStreams!$A:$N,EH25,BC$7)))</f>
        <v/>
      </c>
      <c r="BD25" s="703" t="str">
        <f>IF($E25="","",IF(INDEX(E_SourceStreams!$A:$N,EI25,BD$7)="","",INDEX(E_SourceStreams!$A:$N,EI25,BD$7)))</f>
        <v/>
      </c>
      <c r="BE25" s="703" t="str">
        <f>IF($E25="","",IF(INDEX(E_SourceStreams!$A:$N,EJ25,BE$7)="","",INDEX(E_SourceStreams!$A:$N,EJ25,BE$7)))</f>
        <v/>
      </c>
      <c r="BF25" s="703" t="str">
        <f>IF($E25="","",IF(INDEX(E_SourceStreams!$A:$N,EK25,BF$7)="","",INDEX(E_SourceStreams!$A:$N,EK25,BF$7)))</f>
        <v/>
      </c>
      <c r="BG25" s="703" t="str">
        <f>IF($E25="","",IF(INDEX(E_SourceStreams!$A:$N,EL25,BG$7)="","",INDEX(E_SourceStreams!$A:$N,EL25,BG$7)))</f>
        <v/>
      </c>
      <c r="BH25" s="703" t="str">
        <f>IF($E25="","",IF(INDEX(E_SourceStreams!$A:$N,EM25,BH$7)="","",INDEX(E_SourceStreams!$A:$N,EM25,BH$7)))</f>
        <v/>
      </c>
      <c r="BI25" s="703" t="str">
        <f>IF($E25="","",IF(INDEX(E_SourceStreams!$A:$N,EN25,BI$7)="","",INDEX(E_SourceStreams!$A:$N,EN25,BI$7)))</f>
        <v/>
      </c>
      <c r="BJ25" s="703" t="str">
        <f>IF($E25="","",IF(INDEX(E_SourceStreams!$A:$N,EO25,BJ$7)="","",INDEX(E_SourceStreams!$A:$N,EO25,BJ$7)))</f>
        <v/>
      </c>
      <c r="BK25" s="703" t="str">
        <f>IF($E25="","",IF(INDEX(E_SourceStreams!$A:$N,EP25,BK$7)="","",INDEX(E_SourceStreams!$A:$N,EP25,BK$7)))</f>
        <v/>
      </c>
      <c r="BL25" s="703" t="str">
        <f>IF($E25="","",IF(INDEX(E_SourceStreams!$A:$N,EQ25,BL$7)="","",INDEX(E_SourceStreams!$A:$N,EQ25,BL$7)))</f>
        <v/>
      </c>
      <c r="BM25" s="703" t="str">
        <f>IF($E25="","",IF(INDEX(E_SourceStreams!$A:$N,ER25,BM$7)="","",INDEX(E_SourceStreams!$A:$N,ER25,BM$7)))</f>
        <v/>
      </c>
      <c r="BN25" s="703" t="str">
        <f>IF($E25="","",IF(INDEX(E_SourceStreams!$A:$N,ES25,BN$7)="","",INDEX(E_SourceStreams!$A:$N,ES25,BN$7)))</f>
        <v/>
      </c>
      <c r="BO25" s="703" t="str">
        <f>IF($E25="","",IF(INDEX(E_SourceStreams!$A:$N,ET25,BO$7)="","",INDEX(E_SourceStreams!$A:$N,ET25,BO$7)))</f>
        <v/>
      </c>
      <c r="BP25" s="703" t="str">
        <f>IF($E25="","",IF(INDEX(E_SourceStreams!$A:$N,EU25,BP$7)="","",INDEX(E_SourceStreams!$A:$N,EU25,BP$7)))</f>
        <v/>
      </c>
      <c r="BQ25" s="703" t="str">
        <f>IF($E25="","",IF(INDEX(E_SourceStreams!$A:$N,EV25,BQ$7)="","",INDEX(E_SourceStreams!$A:$N,EV25,BQ$7)))</f>
        <v/>
      </c>
      <c r="BR25" s="703" t="str">
        <f>IF($E25="","",IF(INDEX(E_SourceStreams!$A:$N,EW25,BR$7)="","",INDEX(E_SourceStreams!$A:$N,EW25,BR$7)))</f>
        <v/>
      </c>
      <c r="BS25" s="703" t="str">
        <f>IF($E25="","",IF(INDEX(E_SourceStreams!$A:$N,EX25,BS$7)="","",INDEX(E_SourceStreams!$A:$N,EX25,BS$7)))</f>
        <v/>
      </c>
      <c r="BT25" s="703" t="str">
        <f>IF($E25="","",IF(INDEX(E_SourceStreams!$A:$N,EY25,BT$7)="","",INDEX(E_SourceStreams!$A:$N,EY25,BT$7)))</f>
        <v/>
      </c>
      <c r="BU25" s="625"/>
      <c r="CJ25" s="679" t="str">
        <f t="shared" si="0"/>
        <v>SourceCategory_</v>
      </c>
      <c r="CK25" s="679" t="b">
        <f>INDEX(C_InstallationDescription!$A$226:$A$332,ROWS($CI$11:CI25))="ausblenden"</f>
        <v>0</v>
      </c>
      <c r="CL25" s="679" t="str">
        <f t="shared" si="1"/>
        <v>SourceStreamName_</v>
      </c>
      <c r="CN25" s="679">
        <f t="shared" si="65"/>
        <v>1059</v>
      </c>
      <c r="CO25" s="679">
        <f t="shared" si="2"/>
        <v>1061</v>
      </c>
      <c r="CP25" s="679">
        <f t="shared" si="3"/>
        <v>1063</v>
      </c>
      <c r="CQ25" s="679">
        <f t="shared" si="4"/>
        <v>1065</v>
      </c>
      <c r="CR25" s="679">
        <f t="shared" si="5"/>
        <v>1067</v>
      </c>
      <c r="CS25" s="679">
        <f t="shared" si="6"/>
        <v>1069</v>
      </c>
      <c r="CT25" s="679">
        <f t="shared" si="7"/>
        <v>1071</v>
      </c>
      <c r="CU25" s="679">
        <f t="shared" si="8"/>
        <v>1071</v>
      </c>
      <c r="CV25" s="679">
        <f t="shared" si="9"/>
        <v>1071</v>
      </c>
      <c r="CW25" s="679">
        <f t="shared" si="10"/>
        <v>1071</v>
      </c>
      <c r="CX25" s="679">
        <f t="shared" si="11"/>
        <v>1071</v>
      </c>
      <c r="CY25" s="679">
        <f t="shared" si="12"/>
        <v>1074</v>
      </c>
      <c r="CZ25" s="679">
        <f t="shared" si="13"/>
        <v>1078</v>
      </c>
      <c r="DA25" s="679">
        <f t="shared" si="14"/>
        <v>1079</v>
      </c>
      <c r="DB25" s="679">
        <f t="shared" si="15"/>
        <v>1080</v>
      </c>
      <c r="DC25" s="679">
        <f t="shared" si="16"/>
        <v>1087</v>
      </c>
      <c r="DD25" s="679">
        <f t="shared" si="17"/>
        <v>1097</v>
      </c>
      <c r="DE25" s="679">
        <f t="shared" si="18"/>
        <v>1097</v>
      </c>
      <c r="DF25" s="679">
        <f t="shared" si="19"/>
        <v>1097</v>
      </c>
      <c r="DG25" s="679">
        <f t="shared" si="20"/>
        <v>1097</v>
      </c>
      <c r="DH25" s="679">
        <f t="shared" si="21"/>
        <v>1097</v>
      </c>
      <c r="DI25" s="679">
        <f t="shared" si="22"/>
        <v>1097</v>
      </c>
      <c r="DJ25" s="679">
        <f t="shared" si="23"/>
        <v>1097</v>
      </c>
      <c r="DK25" s="679">
        <f t="shared" si="24"/>
        <v>1088</v>
      </c>
      <c r="DL25" s="679">
        <f t="shared" si="25"/>
        <v>1098</v>
      </c>
      <c r="DM25" s="679">
        <f t="shared" si="26"/>
        <v>1098</v>
      </c>
      <c r="DN25" s="679">
        <f t="shared" si="27"/>
        <v>1098</v>
      </c>
      <c r="DO25" s="679">
        <f t="shared" si="28"/>
        <v>1098</v>
      </c>
      <c r="DP25" s="679">
        <f t="shared" si="29"/>
        <v>1098</v>
      </c>
      <c r="DQ25" s="679">
        <f t="shared" si="30"/>
        <v>1098</v>
      </c>
      <c r="DR25" s="679">
        <f t="shared" si="31"/>
        <v>1098</v>
      </c>
      <c r="DS25" s="679">
        <f t="shared" si="32"/>
        <v>1089</v>
      </c>
      <c r="DT25" s="679">
        <f t="shared" si="33"/>
        <v>1099</v>
      </c>
      <c r="DU25" s="679">
        <f t="shared" si="34"/>
        <v>1099</v>
      </c>
      <c r="DV25" s="679">
        <f t="shared" si="35"/>
        <v>1099</v>
      </c>
      <c r="DW25" s="679">
        <f t="shared" si="36"/>
        <v>1099</v>
      </c>
      <c r="DX25" s="679">
        <f t="shared" si="37"/>
        <v>1099</v>
      </c>
      <c r="DY25" s="679">
        <f t="shared" si="38"/>
        <v>1099</v>
      </c>
      <c r="DZ25" s="679">
        <f t="shared" si="39"/>
        <v>1099</v>
      </c>
      <c r="EA25" s="679">
        <f t="shared" si="40"/>
        <v>1090</v>
      </c>
      <c r="EB25" s="679">
        <f t="shared" si="41"/>
        <v>1100</v>
      </c>
      <c r="EC25" s="679">
        <f t="shared" si="42"/>
        <v>1100</v>
      </c>
      <c r="ED25" s="679">
        <f t="shared" si="43"/>
        <v>1100</v>
      </c>
      <c r="EE25" s="679">
        <f t="shared" si="44"/>
        <v>1100</v>
      </c>
      <c r="EF25" s="679">
        <f t="shared" si="45"/>
        <v>1100</v>
      </c>
      <c r="EG25" s="679">
        <f t="shared" si="46"/>
        <v>1100</v>
      </c>
      <c r="EH25" s="679">
        <f t="shared" si="47"/>
        <v>1100</v>
      </c>
      <c r="EI25" s="679">
        <f t="shared" si="48"/>
        <v>1091</v>
      </c>
      <c r="EJ25" s="679">
        <f t="shared" si="49"/>
        <v>1101</v>
      </c>
      <c r="EK25" s="679">
        <f t="shared" si="50"/>
        <v>1101</v>
      </c>
      <c r="EL25" s="679">
        <f t="shared" si="51"/>
        <v>1101</v>
      </c>
      <c r="EM25" s="679">
        <f t="shared" si="52"/>
        <v>1101</v>
      </c>
      <c r="EN25" s="679">
        <f t="shared" si="53"/>
        <v>1101</v>
      </c>
      <c r="EO25" s="679">
        <f t="shared" si="54"/>
        <v>1101</v>
      </c>
      <c r="EP25" s="679">
        <f t="shared" si="55"/>
        <v>1101</v>
      </c>
      <c r="EQ25" s="679">
        <f t="shared" si="56"/>
        <v>1092</v>
      </c>
      <c r="ER25" s="679">
        <f t="shared" si="57"/>
        <v>1102</v>
      </c>
      <c r="ES25" s="679">
        <f t="shared" si="58"/>
        <v>1102</v>
      </c>
      <c r="ET25" s="679">
        <f t="shared" si="59"/>
        <v>1102</v>
      </c>
      <c r="EU25" s="679">
        <f t="shared" si="60"/>
        <v>1102</v>
      </c>
      <c r="EV25" s="679">
        <f t="shared" si="61"/>
        <v>1102</v>
      </c>
      <c r="EW25" s="679">
        <f t="shared" si="62"/>
        <v>1102</v>
      </c>
      <c r="EX25" s="679">
        <f t="shared" si="63"/>
        <v>1102</v>
      </c>
      <c r="EY25" s="679">
        <f t="shared" si="64"/>
        <v>1108</v>
      </c>
    </row>
    <row r="26" spans="2:155" ht="12.75" customHeight="1" x14ac:dyDescent="0.2">
      <c r="B26" s="700" t="str">
        <f>IF(COUNTIF($CK$10:CK26,TRUE)&gt;0,"",INDEX(C_InstallationDescription!$E$226:$E$242,ROWS($A$11:A26)))</f>
        <v/>
      </c>
      <c r="C26" s="581" t="str">
        <f>IF($E26="","",INDEX(C_InstallationDescription!F:F,MATCH($B26,C_InstallationDescription!$E:$E,0)))</f>
        <v/>
      </c>
      <c r="D26" s="581" t="str">
        <f>IF($E26="","",INDEX(C_InstallationDescription!I:I,MATCH($B26,C_InstallationDescription!$E:$E,0)))</f>
        <v/>
      </c>
      <c r="E26" s="581" t="str">
        <f>IF($B26="","",INDEX(C_InstallationDescription!F:F,MATCH($CJ26,C_InstallationDescription!$Q:$Q,0)))</f>
        <v/>
      </c>
      <c r="F26" s="706" t="str">
        <f>IF($E26="","",INDEX(C_InstallationDescription!L:L,MATCH($CJ26,C_InstallationDescription!$Q:$Q,0)))</f>
        <v/>
      </c>
      <c r="G26" s="581" t="str">
        <f>IF($E26="","",INDEX(C_InstallationDescription!M:M,MATCH($CJ26,C_InstallationDescription!$Q:$Q,0)))</f>
        <v/>
      </c>
      <c r="H26" s="581" t="str">
        <f>IF($E26="","",INDEX(C_InstallationDescription!N:N,MATCH($CJ26,C_InstallationDescription!$Q:$Q,0)))</f>
        <v/>
      </c>
      <c r="I26" s="703" t="str">
        <f>IF($E26="","",IF(INDEX(E_SourceStreams!$A:$N,CN26,I$7)="","",INDEX(E_SourceStreams!$A:$N,CN26,I$7)))</f>
        <v/>
      </c>
      <c r="J26" s="703" t="str">
        <f>IF($E26="","",IF(INDEX(E_SourceStreams!$A:$N,CO26,J$7)="","",INDEX(E_SourceStreams!$A:$N,CO26,J$7)))</f>
        <v/>
      </c>
      <c r="K26" s="703" t="str">
        <f>IF($E26="","",IF(INDEX(E_SourceStreams!$A:$N,CP26,K$7)="","",INDEX(E_SourceStreams!$A:$N,CP26,K$7)))</f>
        <v/>
      </c>
      <c r="L26" s="703" t="str">
        <f>IF($E26="","",IF(INDEX(E_SourceStreams!$A:$N,CQ26,L$7)="","",INDEX(E_SourceStreams!$A:$N,CQ26,L$7)))</f>
        <v/>
      </c>
      <c r="M26" s="703" t="str">
        <f>IF($E26="","",IF(INDEX(E_SourceStreams!$A:$N,CR26,M$7)="","",INDEX(E_SourceStreams!$A:$N,CR26,M$7)))</f>
        <v/>
      </c>
      <c r="N26" s="703" t="str">
        <f>IF($E26="","",IF(INDEX(E_SourceStreams!$A:$N,CS26,N$7)="","",INDEX(E_SourceStreams!$A:$N,CS26,N$7)))</f>
        <v/>
      </c>
      <c r="O26" s="703" t="str">
        <f>IF($E26="","",IF(INDEX(E_SourceStreams!$A:$N,CT26,O$7)="","",INDEX(E_SourceStreams!$A:$N,CT26,O$7)))</f>
        <v/>
      </c>
      <c r="P26" s="703" t="str">
        <f>IF($E26="","",IF(INDEX(E_SourceStreams!$A:$N,CU26,P$7)="","",INDEX(E_SourceStreams!$A:$N,CU26,P$7)))</f>
        <v/>
      </c>
      <c r="Q26" s="703" t="str">
        <f>IF($E26="","",IF(INDEX(E_SourceStreams!$A:$N,CV26,Q$7)="","",INDEX(E_SourceStreams!$A:$N,CV26,Q$7)))</f>
        <v/>
      </c>
      <c r="R26" s="703" t="str">
        <f>IF($E26="","",IF(INDEX(E_SourceStreams!$A:$N,CW26,R$7)="","",INDEX(E_SourceStreams!$A:$N,CW26,R$7)))</f>
        <v/>
      </c>
      <c r="S26" s="703" t="str">
        <f>IF($E26="","",IF(INDEX(E_SourceStreams!$A:$N,CX26,S$7)="","",INDEX(E_SourceStreams!$A:$N,CX26,S$7)))</f>
        <v/>
      </c>
      <c r="T26" s="703" t="str">
        <f>IF($E26="","",IF(INDEX(E_SourceStreams!$A:$N,CY26,T$7)="","",INDEX(E_SourceStreams!$A:$N,CY26,T$7)))</f>
        <v/>
      </c>
      <c r="U26" s="703" t="str">
        <f>IF($E26="","",IF(INDEX(E_SourceStreams!$A:$N,CZ26,U$7)="","",INDEX(E_SourceStreams!$A:$N,CZ26,U$7)))</f>
        <v/>
      </c>
      <c r="V26" s="703" t="str">
        <f>IF($E26="","",IF(INDEX(E_SourceStreams!$A:$N,DA26,V$7)="","",INDEX(E_SourceStreams!$A:$N,DA26,V$7)))</f>
        <v/>
      </c>
      <c r="W26" s="704" t="str">
        <f>IF($E26="","",IF(INDEX(E_SourceStreams!$A:$N,DB26,W$7)="","",INDEX(E_SourceStreams!$A:$N,DB26,W$7)))</f>
        <v/>
      </c>
      <c r="X26" s="703" t="str">
        <f>IF($E26="","",IF(INDEX(E_SourceStreams!$A:$N,DC26,X$7)="","",INDEX(E_SourceStreams!$A:$N,DC26,X$7)))</f>
        <v/>
      </c>
      <c r="Y26" s="703" t="str">
        <f>IF($E26="","",IF(INDEX(E_SourceStreams!$A:$N,DD26,Y$7)="","",INDEX(E_SourceStreams!$A:$N,DD26,Y$7)))</f>
        <v/>
      </c>
      <c r="Z26" s="703" t="str">
        <f>IF($E26="","",IF(INDEX(E_SourceStreams!$A:$N,DE26,Z$7)="","",INDEX(E_SourceStreams!$A:$N,DE26,Z$7)))</f>
        <v/>
      </c>
      <c r="AA26" s="703" t="str">
        <f>IF($E26="","",IF(INDEX(E_SourceStreams!$A:$N,DF26,AA$7)="","",INDEX(E_SourceStreams!$A:$N,DF26,AA$7)))</f>
        <v/>
      </c>
      <c r="AB26" s="703" t="str">
        <f>IF($E26="","",IF(INDEX(E_SourceStreams!$A:$N,DG26,AB$7)="","",INDEX(E_SourceStreams!$A:$N,DG26,AB$7)))</f>
        <v/>
      </c>
      <c r="AC26" s="703" t="str">
        <f>IF($E26="","",IF(INDEX(E_SourceStreams!$A:$N,DH26,AC$7)="","",INDEX(E_SourceStreams!$A:$N,DH26,AC$7)))</f>
        <v/>
      </c>
      <c r="AD26" s="703" t="str">
        <f>IF($E26="","",IF(INDEX(E_SourceStreams!$A:$N,DI26,AD$7)="","",INDEX(E_SourceStreams!$A:$N,DI26,AD$7)))</f>
        <v/>
      </c>
      <c r="AE26" s="703" t="str">
        <f>IF($E26="","",IF(INDEX(E_SourceStreams!$A:$N,DJ26,AE$7)="","",INDEX(E_SourceStreams!$A:$N,DJ26,AE$7)))</f>
        <v/>
      </c>
      <c r="AF26" s="703" t="str">
        <f>IF($E26="","",IF(INDEX(E_SourceStreams!$A:$N,DK26,AF$7)="","",INDEX(E_SourceStreams!$A:$N,DK26,AF$7)))</f>
        <v/>
      </c>
      <c r="AG26" s="703" t="str">
        <f>IF($E26="","",IF(INDEX(E_SourceStreams!$A:$N,DL26,AG$7)="","",INDEX(E_SourceStreams!$A:$N,DL26,AG$7)))</f>
        <v/>
      </c>
      <c r="AH26" s="703" t="str">
        <f>IF($E26="","",IF(INDEX(E_SourceStreams!$A:$N,DM26,AH$7)="","",INDEX(E_SourceStreams!$A:$N,DM26,AH$7)))</f>
        <v/>
      </c>
      <c r="AI26" s="703" t="str">
        <f>IF($E26="","",IF(INDEX(E_SourceStreams!$A:$N,DN26,AI$7)="","",INDEX(E_SourceStreams!$A:$N,DN26,AI$7)))</f>
        <v/>
      </c>
      <c r="AJ26" s="703" t="str">
        <f>IF($E26="","",IF(INDEX(E_SourceStreams!$A:$N,DO26,AJ$7)="","",INDEX(E_SourceStreams!$A:$N,DO26,AJ$7)))</f>
        <v/>
      </c>
      <c r="AK26" s="703" t="str">
        <f>IF($E26="","",IF(INDEX(E_SourceStreams!$A:$N,DP26,AK$7)="","",INDEX(E_SourceStreams!$A:$N,DP26,AK$7)))</f>
        <v/>
      </c>
      <c r="AL26" s="703" t="str">
        <f>IF($E26="","",IF(INDEX(E_SourceStreams!$A:$N,DQ26,AL$7)="","",INDEX(E_SourceStreams!$A:$N,DQ26,AL$7)))</f>
        <v/>
      </c>
      <c r="AM26" s="703" t="str">
        <f>IF($E26="","",IF(INDEX(E_SourceStreams!$A:$N,DR26,AM$7)="","",INDEX(E_SourceStreams!$A:$N,DR26,AM$7)))</f>
        <v/>
      </c>
      <c r="AN26" s="703" t="str">
        <f>IF($E26="","",IF(INDEX(E_SourceStreams!$A:$N,DS26,AN$7)="","",INDEX(E_SourceStreams!$A:$N,DS26,AN$7)))</f>
        <v/>
      </c>
      <c r="AO26" s="703" t="str">
        <f>IF($E26="","",IF(INDEX(E_SourceStreams!$A:$N,DT26,AO$7)="","",INDEX(E_SourceStreams!$A:$N,DT26,AO$7)))</f>
        <v/>
      </c>
      <c r="AP26" s="703" t="str">
        <f>IF($E26="","",IF(INDEX(E_SourceStreams!$A:$N,DU26,AP$7)="","",INDEX(E_SourceStreams!$A:$N,DU26,AP$7)))</f>
        <v/>
      </c>
      <c r="AQ26" s="703" t="str">
        <f>IF($E26="","",IF(INDEX(E_SourceStreams!$A:$N,DV26,AQ$7)="","",INDEX(E_SourceStreams!$A:$N,DV26,AQ$7)))</f>
        <v/>
      </c>
      <c r="AR26" s="703" t="str">
        <f>IF($E26="","",IF(INDEX(E_SourceStreams!$A:$N,DW26,AR$7)="","",INDEX(E_SourceStreams!$A:$N,DW26,AR$7)))</f>
        <v/>
      </c>
      <c r="AS26" s="703" t="str">
        <f>IF($E26="","",IF(INDEX(E_SourceStreams!$A:$N,DX26,AS$7)="","",INDEX(E_SourceStreams!$A:$N,DX26,AS$7)))</f>
        <v/>
      </c>
      <c r="AT26" s="703" t="str">
        <f>IF($E26="","",IF(INDEX(E_SourceStreams!$A:$N,DY26,AT$7)="","",INDEX(E_SourceStreams!$A:$N,DY26,AT$7)))</f>
        <v/>
      </c>
      <c r="AU26" s="703" t="str">
        <f>IF($E26="","",IF(INDEX(E_SourceStreams!$A:$N,DZ26,AU$7)="","",INDEX(E_SourceStreams!$A:$N,DZ26,AU$7)))</f>
        <v/>
      </c>
      <c r="AV26" s="703" t="str">
        <f>IF($E26="","",IF(INDEX(E_SourceStreams!$A:$N,EA26,AV$7)="","",INDEX(E_SourceStreams!$A:$N,EA26,AV$7)))</f>
        <v/>
      </c>
      <c r="AW26" s="703" t="str">
        <f>IF($E26="","",IF(INDEX(E_SourceStreams!$A:$N,EB26,AW$7)="","",INDEX(E_SourceStreams!$A:$N,EB26,AW$7)))</f>
        <v/>
      </c>
      <c r="AX26" s="703" t="str">
        <f>IF($E26="","",IF(INDEX(E_SourceStreams!$A:$N,EC26,AX$7)="","",INDEX(E_SourceStreams!$A:$N,EC26,AX$7)))</f>
        <v/>
      </c>
      <c r="AY26" s="703" t="str">
        <f>IF($E26="","",IF(INDEX(E_SourceStreams!$A:$N,ED26,AY$7)="","",INDEX(E_SourceStreams!$A:$N,ED26,AY$7)))</f>
        <v/>
      </c>
      <c r="AZ26" s="703" t="str">
        <f>IF($E26="","",IF(INDEX(E_SourceStreams!$A:$N,EE26,AZ$7)="","",INDEX(E_SourceStreams!$A:$N,EE26,AZ$7)))</f>
        <v/>
      </c>
      <c r="BA26" s="703" t="str">
        <f>IF($E26="","",IF(INDEX(E_SourceStreams!$A:$N,EF26,BA$7)="","",INDEX(E_SourceStreams!$A:$N,EF26,BA$7)))</f>
        <v/>
      </c>
      <c r="BB26" s="703" t="str">
        <f>IF($E26="","",IF(INDEX(E_SourceStreams!$A:$N,EG26,BB$7)="","",INDEX(E_SourceStreams!$A:$N,EG26,BB$7)))</f>
        <v/>
      </c>
      <c r="BC26" s="703" t="str">
        <f>IF($E26="","",IF(INDEX(E_SourceStreams!$A:$N,EH26,BC$7)="","",INDEX(E_SourceStreams!$A:$N,EH26,BC$7)))</f>
        <v/>
      </c>
      <c r="BD26" s="703" t="str">
        <f>IF($E26="","",IF(INDEX(E_SourceStreams!$A:$N,EI26,BD$7)="","",INDEX(E_SourceStreams!$A:$N,EI26,BD$7)))</f>
        <v/>
      </c>
      <c r="BE26" s="703" t="str">
        <f>IF($E26="","",IF(INDEX(E_SourceStreams!$A:$N,EJ26,BE$7)="","",INDEX(E_SourceStreams!$A:$N,EJ26,BE$7)))</f>
        <v/>
      </c>
      <c r="BF26" s="703" t="str">
        <f>IF($E26="","",IF(INDEX(E_SourceStreams!$A:$N,EK26,BF$7)="","",INDEX(E_SourceStreams!$A:$N,EK26,BF$7)))</f>
        <v/>
      </c>
      <c r="BG26" s="703" t="str">
        <f>IF($E26="","",IF(INDEX(E_SourceStreams!$A:$N,EL26,BG$7)="","",INDEX(E_SourceStreams!$A:$N,EL26,BG$7)))</f>
        <v/>
      </c>
      <c r="BH26" s="703" t="str">
        <f>IF($E26="","",IF(INDEX(E_SourceStreams!$A:$N,EM26,BH$7)="","",INDEX(E_SourceStreams!$A:$N,EM26,BH$7)))</f>
        <v/>
      </c>
      <c r="BI26" s="703" t="str">
        <f>IF($E26="","",IF(INDEX(E_SourceStreams!$A:$N,EN26,BI$7)="","",INDEX(E_SourceStreams!$A:$N,EN26,BI$7)))</f>
        <v/>
      </c>
      <c r="BJ26" s="703" t="str">
        <f>IF($E26="","",IF(INDEX(E_SourceStreams!$A:$N,EO26,BJ$7)="","",INDEX(E_SourceStreams!$A:$N,EO26,BJ$7)))</f>
        <v/>
      </c>
      <c r="BK26" s="703" t="str">
        <f>IF($E26="","",IF(INDEX(E_SourceStreams!$A:$N,EP26,BK$7)="","",INDEX(E_SourceStreams!$A:$N,EP26,BK$7)))</f>
        <v/>
      </c>
      <c r="BL26" s="703" t="str">
        <f>IF($E26="","",IF(INDEX(E_SourceStreams!$A:$N,EQ26,BL$7)="","",INDEX(E_SourceStreams!$A:$N,EQ26,BL$7)))</f>
        <v/>
      </c>
      <c r="BM26" s="703" t="str">
        <f>IF($E26="","",IF(INDEX(E_SourceStreams!$A:$N,ER26,BM$7)="","",INDEX(E_SourceStreams!$A:$N,ER26,BM$7)))</f>
        <v/>
      </c>
      <c r="BN26" s="703" t="str">
        <f>IF($E26="","",IF(INDEX(E_SourceStreams!$A:$N,ES26,BN$7)="","",INDEX(E_SourceStreams!$A:$N,ES26,BN$7)))</f>
        <v/>
      </c>
      <c r="BO26" s="703" t="str">
        <f>IF($E26="","",IF(INDEX(E_SourceStreams!$A:$N,ET26,BO$7)="","",INDEX(E_SourceStreams!$A:$N,ET26,BO$7)))</f>
        <v/>
      </c>
      <c r="BP26" s="703" t="str">
        <f>IF($E26="","",IF(INDEX(E_SourceStreams!$A:$N,EU26,BP$7)="","",INDEX(E_SourceStreams!$A:$N,EU26,BP$7)))</f>
        <v/>
      </c>
      <c r="BQ26" s="703" t="str">
        <f>IF($E26="","",IF(INDEX(E_SourceStreams!$A:$N,EV26,BQ$7)="","",INDEX(E_SourceStreams!$A:$N,EV26,BQ$7)))</f>
        <v/>
      </c>
      <c r="BR26" s="703" t="str">
        <f>IF($E26="","",IF(INDEX(E_SourceStreams!$A:$N,EW26,BR$7)="","",INDEX(E_SourceStreams!$A:$N,EW26,BR$7)))</f>
        <v/>
      </c>
      <c r="BS26" s="703" t="str">
        <f>IF($E26="","",IF(INDEX(E_SourceStreams!$A:$N,EX26,BS$7)="","",INDEX(E_SourceStreams!$A:$N,EX26,BS$7)))</f>
        <v/>
      </c>
      <c r="BT26" s="703" t="str">
        <f>IF($E26="","",IF(INDEX(E_SourceStreams!$A:$N,EY26,BT$7)="","",INDEX(E_SourceStreams!$A:$N,EY26,BT$7)))</f>
        <v/>
      </c>
      <c r="BU26" s="625"/>
      <c r="CJ26" s="679" t="str">
        <f t="shared" si="0"/>
        <v>SourceCategory_</v>
      </c>
      <c r="CK26" s="679" t="b">
        <f>INDEX(C_InstallationDescription!$A$226:$A$332,ROWS($CI$11:CI26))="ausblenden"</f>
        <v>0</v>
      </c>
      <c r="CL26" s="679" t="str">
        <f t="shared" si="1"/>
        <v>SourceStreamName_</v>
      </c>
      <c r="CN26" s="679">
        <f t="shared" si="65"/>
        <v>1125</v>
      </c>
      <c r="CO26" s="679">
        <f t="shared" si="2"/>
        <v>1127</v>
      </c>
      <c r="CP26" s="679">
        <f t="shared" si="3"/>
        <v>1129</v>
      </c>
      <c r="CQ26" s="679">
        <f t="shared" si="4"/>
        <v>1131</v>
      </c>
      <c r="CR26" s="679">
        <f t="shared" si="5"/>
        <v>1133</v>
      </c>
      <c r="CS26" s="679">
        <f t="shared" si="6"/>
        <v>1135</v>
      </c>
      <c r="CT26" s="679">
        <f t="shared" si="7"/>
        <v>1137</v>
      </c>
      <c r="CU26" s="679">
        <f t="shared" si="8"/>
        <v>1137</v>
      </c>
      <c r="CV26" s="679">
        <f t="shared" si="9"/>
        <v>1137</v>
      </c>
      <c r="CW26" s="679">
        <f t="shared" si="10"/>
        <v>1137</v>
      </c>
      <c r="CX26" s="679">
        <f t="shared" si="11"/>
        <v>1137</v>
      </c>
      <c r="CY26" s="679">
        <f t="shared" si="12"/>
        <v>1140</v>
      </c>
      <c r="CZ26" s="679">
        <f t="shared" si="13"/>
        <v>1144</v>
      </c>
      <c r="DA26" s="679">
        <f t="shared" si="14"/>
        <v>1145</v>
      </c>
      <c r="DB26" s="679">
        <f t="shared" si="15"/>
        <v>1146</v>
      </c>
      <c r="DC26" s="679">
        <f t="shared" si="16"/>
        <v>1153</v>
      </c>
      <c r="DD26" s="679">
        <f t="shared" si="17"/>
        <v>1163</v>
      </c>
      <c r="DE26" s="679">
        <f t="shared" si="18"/>
        <v>1163</v>
      </c>
      <c r="DF26" s="679">
        <f t="shared" si="19"/>
        <v>1163</v>
      </c>
      <c r="DG26" s="679">
        <f t="shared" si="20"/>
        <v>1163</v>
      </c>
      <c r="DH26" s="679">
        <f t="shared" si="21"/>
        <v>1163</v>
      </c>
      <c r="DI26" s="679">
        <f t="shared" si="22"/>
        <v>1163</v>
      </c>
      <c r="DJ26" s="679">
        <f t="shared" si="23"/>
        <v>1163</v>
      </c>
      <c r="DK26" s="679">
        <f t="shared" si="24"/>
        <v>1154</v>
      </c>
      <c r="DL26" s="679">
        <f t="shared" si="25"/>
        <v>1164</v>
      </c>
      <c r="DM26" s="679">
        <f t="shared" si="26"/>
        <v>1164</v>
      </c>
      <c r="DN26" s="679">
        <f t="shared" si="27"/>
        <v>1164</v>
      </c>
      <c r="DO26" s="679">
        <f t="shared" si="28"/>
        <v>1164</v>
      </c>
      <c r="DP26" s="679">
        <f t="shared" si="29"/>
        <v>1164</v>
      </c>
      <c r="DQ26" s="679">
        <f t="shared" si="30"/>
        <v>1164</v>
      </c>
      <c r="DR26" s="679">
        <f t="shared" si="31"/>
        <v>1164</v>
      </c>
      <c r="DS26" s="679">
        <f t="shared" si="32"/>
        <v>1155</v>
      </c>
      <c r="DT26" s="679">
        <f t="shared" si="33"/>
        <v>1165</v>
      </c>
      <c r="DU26" s="679">
        <f t="shared" si="34"/>
        <v>1165</v>
      </c>
      <c r="DV26" s="679">
        <f t="shared" si="35"/>
        <v>1165</v>
      </c>
      <c r="DW26" s="679">
        <f t="shared" si="36"/>
        <v>1165</v>
      </c>
      <c r="DX26" s="679">
        <f t="shared" si="37"/>
        <v>1165</v>
      </c>
      <c r="DY26" s="679">
        <f t="shared" si="38"/>
        <v>1165</v>
      </c>
      <c r="DZ26" s="679">
        <f t="shared" si="39"/>
        <v>1165</v>
      </c>
      <c r="EA26" s="679">
        <f t="shared" si="40"/>
        <v>1156</v>
      </c>
      <c r="EB26" s="679">
        <f t="shared" si="41"/>
        <v>1166</v>
      </c>
      <c r="EC26" s="679">
        <f t="shared" si="42"/>
        <v>1166</v>
      </c>
      <c r="ED26" s="679">
        <f t="shared" si="43"/>
        <v>1166</v>
      </c>
      <c r="EE26" s="679">
        <f t="shared" si="44"/>
        <v>1166</v>
      </c>
      <c r="EF26" s="679">
        <f t="shared" si="45"/>
        <v>1166</v>
      </c>
      <c r="EG26" s="679">
        <f t="shared" si="46"/>
        <v>1166</v>
      </c>
      <c r="EH26" s="679">
        <f t="shared" si="47"/>
        <v>1166</v>
      </c>
      <c r="EI26" s="679">
        <f t="shared" si="48"/>
        <v>1157</v>
      </c>
      <c r="EJ26" s="679">
        <f t="shared" si="49"/>
        <v>1167</v>
      </c>
      <c r="EK26" s="679">
        <f t="shared" si="50"/>
        <v>1167</v>
      </c>
      <c r="EL26" s="679">
        <f t="shared" si="51"/>
        <v>1167</v>
      </c>
      <c r="EM26" s="679">
        <f t="shared" si="52"/>
        <v>1167</v>
      </c>
      <c r="EN26" s="679">
        <f t="shared" si="53"/>
        <v>1167</v>
      </c>
      <c r="EO26" s="679">
        <f t="shared" si="54"/>
        <v>1167</v>
      </c>
      <c r="EP26" s="679">
        <f t="shared" si="55"/>
        <v>1167</v>
      </c>
      <c r="EQ26" s="679">
        <f t="shared" si="56"/>
        <v>1158</v>
      </c>
      <c r="ER26" s="679">
        <f t="shared" si="57"/>
        <v>1168</v>
      </c>
      <c r="ES26" s="679">
        <f t="shared" si="58"/>
        <v>1168</v>
      </c>
      <c r="ET26" s="679">
        <f t="shared" si="59"/>
        <v>1168</v>
      </c>
      <c r="EU26" s="679">
        <f t="shared" si="60"/>
        <v>1168</v>
      </c>
      <c r="EV26" s="679">
        <f t="shared" si="61"/>
        <v>1168</v>
      </c>
      <c r="EW26" s="679">
        <f t="shared" si="62"/>
        <v>1168</v>
      </c>
      <c r="EX26" s="679">
        <f t="shared" si="63"/>
        <v>1168</v>
      </c>
      <c r="EY26" s="679">
        <f t="shared" si="64"/>
        <v>1174</v>
      </c>
    </row>
    <row r="27" spans="2:155" ht="12.75" customHeight="1" x14ac:dyDescent="0.2">
      <c r="B27" s="700" t="str">
        <f>IF(COUNTIF($CK$10:CK27,TRUE)&gt;0,"",INDEX(C_InstallationDescription!$E$226:$E$242,ROWS($A$11:A27)))</f>
        <v/>
      </c>
      <c r="C27" s="581" t="str">
        <f>IF($E27="","",INDEX(C_InstallationDescription!F:F,MATCH($B27,C_InstallationDescription!$E:$E,0)))</f>
        <v/>
      </c>
      <c r="D27" s="581" t="str">
        <f>IF($E27="","",INDEX(C_InstallationDescription!I:I,MATCH($B27,C_InstallationDescription!$E:$E,0)))</f>
        <v/>
      </c>
      <c r="E27" s="581" t="str">
        <f>IF($B27="","",INDEX(C_InstallationDescription!F:F,MATCH($CJ27,C_InstallationDescription!$Q:$Q,0)))</f>
        <v/>
      </c>
      <c r="F27" s="706" t="str">
        <f>IF($E27="","",INDEX(C_InstallationDescription!L:L,MATCH($CJ27,C_InstallationDescription!$Q:$Q,0)))</f>
        <v/>
      </c>
      <c r="G27" s="581" t="str">
        <f>IF($E27="","",INDEX(C_InstallationDescription!M:M,MATCH($CJ27,C_InstallationDescription!$Q:$Q,0)))</f>
        <v/>
      </c>
      <c r="H27" s="581" t="str">
        <f>IF($E27="","",INDEX(C_InstallationDescription!N:N,MATCH($CJ27,C_InstallationDescription!$Q:$Q,0)))</f>
        <v/>
      </c>
      <c r="I27" s="703" t="str">
        <f>IF($E27="","",IF(INDEX(E_SourceStreams!$A:$N,CN27,I$7)="","",INDEX(E_SourceStreams!$A:$N,CN27,I$7)))</f>
        <v/>
      </c>
      <c r="J27" s="703" t="str">
        <f>IF($E27="","",IF(INDEX(E_SourceStreams!$A:$N,CO27,J$7)="","",INDEX(E_SourceStreams!$A:$N,CO27,J$7)))</f>
        <v/>
      </c>
      <c r="K27" s="703" t="str">
        <f>IF($E27="","",IF(INDEX(E_SourceStreams!$A:$N,CP27,K$7)="","",INDEX(E_SourceStreams!$A:$N,CP27,K$7)))</f>
        <v/>
      </c>
      <c r="L27" s="703" t="str">
        <f>IF($E27="","",IF(INDEX(E_SourceStreams!$A:$N,CQ27,L$7)="","",INDEX(E_SourceStreams!$A:$N,CQ27,L$7)))</f>
        <v/>
      </c>
      <c r="M27" s="703" t="str">
        <f>IF($E27="","",IF(INDEX(E_SourceStreams!$A:$N,CR27,M$7)="","",INDEX(E_SourceStreams!$A:$N,CR27,M$7)))</f>
        <v/>
      </c>
      <c r="N27" s="703" t="str">
        <f>IF($E27="","",IF(INDEX(E_SourceStreams!$A:$N,CS27,N$7)="","",INDEX(E_SourceStreams!$A:$N,CS27,N$7)))</f>
        <v/>
      </c>
      <c r="O27" s="703" t="str">
        <f>IF($E27="","",IF(INDEX(E_SourceStreams!$A:$N,CT27,O$7)="","",INDEX(E_SourceStreams!$A:$N,CT27,O$7)))</f>
        <v/>
      </c>
      <c r="P27" s="703" t="str">
        <f>IF($E27="","",IF(INDEX(E_SourceStreams!$A:$N,CU27,P$7)="","",INDEX(E_SourceStreams!$A:$N,CU27,P$7)))</f>
        <v/>
      </c>
      <c r="Q27" s="703" t="str">
        <f>IF($E27="","",IF(INDEX(E_SourceStreams!$A:$N,CV27,Q$7)="","",INDEX(E_SourceStreams!$A:$N,CV27,Q$7)))</f>
        <v/>
      </c>
      <c r="R27" s="703" t="str">
        <f>IF($E27="","",IF(INDEX(E_SourceStreams!$A:$N,CW27,R$7)="","",INDEX(E_SourceStreams!$A:$N,CW27,R$7)))</f>
        <v/>
      </c>
      <c r="S27" s="703" t="str">
        <f>IF($E27="","",IF(INDEX(E_SourceStreams!$A:$N,CX27,S$7)="","",INDEX(E_SourceStreams!$A:$N,CX27,S$7)))</f>
        <v/>
      </c>
      <c r="T27" s="703" t="str">
        <f>IF($E27="","",IF(INDEX(E_SourceStreams!$A:$N,CY27,T$7)="","",INDEX(E_SourceStreams!$A:$N,CY27,T$7)))</f>
        <v/>
      </c>
      <c r="U27" s="703" t="str">
        <f>IF($E27="","",IF(INDEX(E_SourceStreams!$A:$N,CZ27,U$7)="","",INDEX(E_SourceStreams!$A:$N,CZ27,U$7)))</f>
        <v/>
      </c>
      <c r="V27" s="703" t="str">
        <f>IF($E27="","",IF(INDEX(E_SourceStreams!$A:$N,DA27,V$7)="","",INDEX(E_SourceStreams!$A:$N,DA27,V$7)))</f>
        <v/>
      </c>
      <c r="W27" s="704" t="str">
        <f>IF($E27="","",IF(INDEX(E_SourceStreams!$A:$N,DB27,W$7)="","",INDEX(E_SourceStreams!$A:$N,DB27,W$7)))</f>
        <v/>
      </c>
      <c r="X27" s="703" t="str">
        <f>IF($E27="","",IF(INDEX(E_SourceStreams!$A:$N,DC27,X$7)="","",INDEX(E_SourceStreams!$A:$N,DC27,X$7)))</f>
        <v/>
      </c>
      <c r="Y27" s="703" t="str">
        <f>IF($E27="","",IF(INDEX(E_SourceStreams!$A:$N,DD27,Y$7)="","",INDEX(E_SourceStreams!$A:$N,DD27,Y$7)))</f>
        <v/>
      </c>
      <c r="Z27" s="703" t="str">
        <f>IF($E27="","",IF(INDEX(E_SourceStreams!$A:$N,DE27,Z$7)="","",INDEX(E_SourceStreams!$A:$N,DE27,Z$7)))</f>
        <v/>
      </c>
      <c r="AA27" s="703" t="str">
        <f>IF($E27="","",IF(INDEX(E_SourceStreams!$A:$N,DF27,AA$7)="","",INDEX(E_SourceStreams!$A:$N,DF27,AA$7)))</f>
        <v/>
      </c>
      <c r="AB27" s="703" t="str">
        <f>IF($E27="","",IF(INDEX(E_SourceStreams!$A:$N,DG27,AB$7)="","",INDEX(E_SourceStreams!$A:$N,DG27,AB$7)))</f>
        <v/>
      </c>
      <c r="AC27" s="703" t="str">
        <f>IF($E27="","",IF(INDEX(E_SourceStreams!$A:$N,DH27,AC$7)="","",INDEX(E_SourceStreams!$A:$N,DH27,AC$7)))</f>
        <v/>
      </c>
      <c r="AD27" s="703" t="str">
        <f>IF($E27="","",IF(INDEX(E_SourceStreams!$A:$N,DI27,AD$7)="","",INDEX(E_SourceStreams!$A:$N,DI27,AD$7)))</f>
        <v/>
      </c>
      <c r="AE27" s="703" t="str">
        <f>IF($E27="","",IF(INDEX(E_SourceStreams!$A:$N,DJ27,AE$7)="","",INDEX(E_SourceStreams!$A:$N,DJ27,AE$7)))</f>
        <v/>
      </c>
      <c r="AF27" s="703" t="str">
        <f>IF($E27="","",IF(INDEX(E_SourceStreams!$A:$N,DK27,AF$7)="","",INDEX(E_SourceStreams!$A:$N,DK27,AF$7)))</f>
        <v/>
      </c>
      <c r="AG27" s="703" t="str">
        <f>IF($E27="","",IF(INDEX(E_SourceStreams!$A:$N,DL27,AG$7)="","",INDEX(E_SourceStreams!$A:$N,DL27,AG$7)))</f>
        <v/>
      </c>
      <c r="AH27" s="703" t="str">
        <f>IF($E27="","",IF(INDEX(E_SourceStreams!$A:$N,DM27,AH$7)="","",INDEX(E_SourceStreams!$A:$N,DM27,AH$7)))</f>
        <v/>
      </c>
      <c r="AI27" s="703" t="str">
        <f>IF($E27="","",IF(INDEX(E_SourceStreams!$A:$N,DN27,AI$7)="","",INDEX(E_SourceStreams!$A:$N,DN27,AI$7)))</f>
        <v/>
      </c>
      <c r="AJ27" s="703" t="str">
        <f>IF($E27="","",IF(INDEX(E_SourceStreams!$A:$N,DO27,AJ$7)="","",INDEX(E_SourceStreams!$A:$N,DO27,AJ$7)))</f>
        <v/>
      </c>
      <c r="AK27" s="703" t="str">
        <f>IF($E27="","",IF(INDEX(E_SourceStreams!$A:$N,DP27,AK$7)="","",INDEX(E_SourceStreams!$A:$N,DP27,AK$7)))</f>
        <v/>
      </c>
      <c r="AL27" s="703" t="str">
        <f>IF($E27="","",IF(INDEX(E_SourceStreams!$A:$N,DQ27,AL$7)="","",INDEX(E_SourceStreams!$A:$N,DQ27,AL$7)))</f>
        <v/>
      </c>
      <c r="AM27" s="703" t="str">
        <f>IF($E27="","",IF(INDEX(E_SourceStreams!$A:$N,DR27,AM$7)="","",INDEX(E_SourceStreams!$A:$N,DR27,AM$7)))</f>
        <v/>
      </c>
      <c r="AN27" s="703" t="str">
        <f>IF($E27="","",IF(INDEX(E_SourceStreams!$A:$N,DS27,AN$7)="","",INDEX(E_SourceStreams!$A:$N,DS27,AN$7)))</f>
        <v/>
      </c>
      <c r="AO27" s="703" t="str">
        <f>IF($E27="","",IF(INDEX(E_SourceStreams!$A:$N,DT27,AO$7)="","",INDEX(E_SourceStreams!$A:$N,DT27,AO$7)))</f>
        <v/>
      </c>
      <c r="AP27" s="703" t="str">
        <f>IF($E27="","",IF(INDEX(E_SourceStreams!$A:$N,DU27,AP$7)="","",INDEX(E_SourceStreams!$A:$N,DU27,AP$7)))</f>
        <v/>
      </c>
      <c r="AQ27" s="703" t="str">
        <f>IF($E27="","",IF(INDEX(E_SourceStreams!$A:$N,DV27,AQ$7)="","",INDEX(E_SourceStreams!$A:$N,DV27,AQ$7)))</f>
        <v/>
      </c>
      <c r="AR27" s="703" t="str">
        <f>IF($E27="","",IF(INDEX(E_SourceStreams!$A:$N,DW27,AR$7)="","",INDEX(E_SourceStreams!$A:$N,DW27,AR$7)))</f>
        <v/>
      </c>
      <c r="AS27" s="703" t="str">
        <f>IF($E27="","",IF(INDEX(E_SourceStreams!$A:$N,DX27,AS$7)="","",INDEX(E_SourceStreams!$A:$N,DX27,AS$7)))</f>
        <v/>
      </c>
      <c r="AT27" s="703" t="str">
        <f>IF($E27="","",IF(INDEX(E_SourceStreams!$A:$N,DY27,AT$7)="","",INDEX(E_SourceStreams!$A:$N,DY27,AT$7)))</f>
        <v/>
      </c>
      <c r="AU27" s="703" t="str">
        <f>IF($E27="","",IF(INDEX(E_SourceStreams!$A:$N,DZ27,AU$7)="","",INDEX(E_SourceStreams!$A:$N,DZ27,AU$7)))</f>
        <v/>
      </c>
      <c r="AV27" s="703" t="str">
        <f>IF($E27="","",IF(INDEX(E_SourceStreams!$A:$N,EA27,AV$7)="","",INDEX(E_SourceStreams!$A:$N,EA27,AV$7)))</f>
        <v/>
      </c>
      <c r="AW27" s="703" t="str">
        <f>IF($E27="","",IF(INDEX(E_SourceStreams!$A:$N,EB27,AW$7)="","",INDEX(E_SourceStreams!$A:$N,EB27,AW$7)))</f>
        <v/>
      </c>
      <c r="AX27" s="703" t="str">
        <f>IF($E27="","",IF(INDEX(E_SourceStreams!$A:$N,EC27,AX$7)="","",INDEX(E_SourceStreams!$A:$N,EC27,AX$7)))</f>
        <v/>
      </c>
      <c r="AY27" s="703" t="str">
        <f>IF($E27="","",IF(INDEX(E_SourceStreams!$A:$N,ED27,AY$7)="","",INDEX(E_SourceStreams!$A:$N,ED27,AY$7)))</f>
        <v/>
      </c>
      <c r="AZ27" s="703" t="str">
        <f>IF($E27="","",IF(INDEX(E_SourceStreams!$A:$N,EE27,AZ$7)="","",INDEX(E_SourceStreams!$A:$N,EE27,AZ$7)))</f>
        <v/>
      </c>
      <c r="BA27" s="703" t="str">
        <f>IF($E27="","",IF(INDEX(E_SourceStreams!$A:$N,EF27,BA$7)="","",INDEX(E_SourceStreams!$A:$N,EF27,BA$7)))</f>
        <v/>
      </c>
      <c r="BB27" s="703" t="str">
        <f>IF($E27="","",IF(INDEX(E_SourceStreams!$A:$N,EG27,BB$7)="","",INDEX(E_SourceStreams!$A:$N,EG27,BB$7)))</f>
        <v/>
      </c>
      <c r="BC27" s="703" t="str">
        <f>IF($E27="","",IF(INDEX(E_SourceStreams!$A:$N,EH27,BC$7)="","",INDEX(E_SourceStreams!$A:$N,EH27,BC$7)))</f>
        <v/>
      </c>
      <c r="BD27" s="703" t="str">
        <f>IF($E27="","",IF(INDEX(E_SourceStreams!$A:$N,EI27,BD$7)="","",INDEX(E_SourceStreams!$A:$N,EI27,BD$7)))</f>
        <v/>
      </c>
      <c r="BE27" s="703" t="str">
        <f>IF($E27="","",IF(INDEX(E_SourceStreams!$A:$N,EJ27,BE$7)="","",INDEX(E_SourceStreams!$A:$N,EJ27,BE$7)))</f>
        <v/>
      </c>
      <c r="BF27" s="703" t="str">
        <f>IF($E27="","",IF(INDEX(E_SourceStreams!$A:$N,EK27,BF$7)="","",INDEX(E_SourceStreams!$A:$N,EK27,BF$7)))</f>
        <v/>
      </c>
      <c r="BG27" s="703" t="str">
        <f>IF($E27="","",IF(INDEX(E_SourceStreams!$A:$N,EL27,BG$7)="","",INDEX(E_SourceStreams!$A:$N,EL27,BG$7)))</f>
        <v/>
      </c>
      <c r="BH27" s="703" t="str">
        <f>IF($E27="","",IF(INDEX(E_SourceStreams!$A:$N,EM27,BH$7)="","",INDEX(E_SourceStreams!$A:$N,EM27,BH$7)))</f>
        <v/>
      </c>
      <c r="BI27" s="703" t="str">
        <f>IF($E27="","",IF(INDEX(E_SourceStreams!$A:$N,EN27,BI$7)="","",INDEX(E_SourceStreams!$A:$N,EN27,BI$7)))</f>
        <v/>
      </c>
      <c r="BJ27" s="703" t="str">
        <f>IF($E27="","",IF(INDEX(E_SourceStreams!$A:$N,EO27,BJ$7)="","",INDEX(E_SourceStreams!$A:$N,EO27,BJ$7)))</f>
        <v/>
      </c>
      <c r="BK27" s="703" t="str">
        <f>IF($E27="","",IF(INDEX(E_SourceStreams!$A:$N,EP27,BK$7)="","",INDEX(E_SourceStreams!$A:$N,EP27,BK$7)))</f>
        <v/>
      </c>
      <c r="BL27" s="703" t="str">
        <f>IF($E27="","",IF(INDEX(E_SourceStreams!$A:$N,EQ27,BL$7)="","",INDEX(E_SourceStreams!$A:$N,EQ27,BL$7)))</f>
        <v/>
      </c>
      <c r="BM27" s="703" t="str">
        <f>IF($E27="","",IF(INDEX(E_SourceStreams!$A:$N,ER27,BM$7)="","",INDEX(E_SourceStreams!$A:$N,ER27,BM$7)))</f>
        <v/>
      </c>
      <c r="BN27" s="703" t="str">
        <f>IF($E27="","",IF(INDEX(E_SourceStreams!$A:$N,ES27,BN$7)="","",INDEX(E_SourceStreams!$A:$N,ES27,BN$7)))</f>
        <v/>
      </c>
      <c r="BO27" s="703" t="str">
        <f>IF($E27="","",IF(INDEX(E_SourceStreams!$A:$N,ET27,BO$7)="","",INDEX(E_SourceStreams!$A:$N,ET27,BO$7)))</f>
        <v/>
      </c>
      <c r="BP27" s="703" t="str">
        <f>IF($E27="","",IF(INDEX(E_SourceStreams!$A:$N,EU27,BP$7)="","",INDEX(E_SourceStreams!$A:$N,EU27,BP$7)))</f>
        <v/>
      </c>
      <c r="BQ27" s="703" t="str">
        <f>IF($E27="","",IF(INDEX(E_SourceStreams!$A:$N,EV27,BQ$7)="","",INDEX(E_SourceStreams!$A:$N,EV27,BQ$7)))</f>
        <v/>
      </c>
      <c r="BR27" s="703" t="str">
        <f>IF($E27="","",IF(INDEX(E_SourceStreams!$A:$N,EW27,BR$7)="","",INDEX(E_SourceStreams!$A:$N,EW27,BR$7)))</f>
        <v/>
      </c>
      <c r="BS27" s="703" t="str">
        <f>IF($E27="","",IF(INDEX(E_SourceStreams!$A:$N,EX27,BS$7)="","",INDEX(E_SourceStreams!$A:$N,EX27,BS$7)))</f>
        <v/>
      </c>
      <c r="BT27" s="703" t="str">
        <f>IF($E27="","",IF(INDEX(E_SourceStreams!$A:$N,EY27,BT$7)="","",INDEX(E_SourceStreams!$A:$N,EY27,BT$7)))</f>
        <v/>
      </c>
      <c r="BU27" s="625"/>
      <c r="CJ27" s="679" t="str">
        <f t="shared" si="0"/>
        <v>SourceCategory_</v>
      </c>
      <c r="CK27" s="679" t="b">
        <f>INDEX(C_InstallationDescription!$A$226:$A$332,ROWS($CI$11:CI27))="ausblenden"</f>
        <v>0</v>
      </c>
      <c r="CL27" s="679" t="str">
        <f t="shared" si="1"/>
        <v>SourceStreamName_</v>
      </c>
      <c r="CN27" s="679">
        <f t="shared" si="65"/>
        <v>1191</v>
      </c>
      <c r="CO27" s="679">
        <f t="shared" si="2"/>
        <v>1193</v>
      </c>
      <c r="CP27" s="679">
        <f t="shared" si="3"/>
        <v>1195</v>
      </c>
      <c r="CQ27" s="679">
        <f t="shared" si="4"/>
        <v>1197</v>
      </c>
      <c r="CR27" s="679">
        <f t="shared" si="5"/>
        <v>1199</v>
      </c>
      <c r="CS27" s="679">
        <f t="shared" si="6"/>
        <v>1201</v>
      </c>
      <c r="CT27" s="679">
        <f t="shared" si="7"/>
        <v>1203</v>
      </c>
      <c r="CU27" s="679">
        <f t="shared" si="8"/>
        <v>1203</v>
      </c>
      <c r="CV27" s="679">
        <f t="shared" si="9"/>
        <v>1203</v>
      </c>
      <c r="CW27" s="679">
        <f t="shared" si="10"/>
        <v>1203</v>
      </c>
      <c r="CX27" s="679">
        <f t="shared" si="11"/>
        <v>1203</v>
      </c>
      <c r="CY27" s="679">
        <f t="shared" si="12"/>
        <v>1206</v>
      </c>
      <c r="CZ27" s="679">
        <f t="shared" si="13"/>
        <v>1210</v>
      </c>
      <c r="DA27" s="679">
        <f t="shared" si="14"/>
        <v>1211</v>
      </c>
      <c r="DB27" s="679">
        <f t="shared" si="15"/>
        <v>1212</v>
      </c>
      <c r="DC27" s="679">
        <f t="shared" si="16"/>
        <v>1219</v>
      </c>
      <c r="DD27" s="679">
        <f t="shared" si="17"/>
        <v>1229</v>
      </c>
      <c r="DE27" s="679">
        <f t="shared" si="18"/>
        <v>1229</v>
      </c>
      <c r="DF27" s="679">
        <f t="shared" si="19"/>
        <v>1229</v>
      </c>
      <c r="DG27" s="679">
        <f t="shared" si="20"/>
        <v>1229</v>
      </c>
      <c r="DH27" s="679">
        <f t="shared" si="21"/>
        <v>1229</v>
      </c>
      <c r="DI27" s="679">
        <f t="shared" si="22"/>
        <v>1229</v>
      </c>
      <c r="DJ27" s="679">
        <f t="shared" si="23"/>
        <v>1229</v>
      </c>
      <c r="DK27" s="679">
        <f t="shared" si="24"/>
        <v>1220</v>
      </c>
      <c r="DL27" s="679">
        <f t="shared" si="25"/>
        <v>1230</v>
      </c>
      <c r="DM27" s="679">
        <f t="shared" si="26"/>
        <v>1230</v>
      </c>
      <c r="DN27" s="679">
        <f t="shared" si="27"/>
        <v>1230</v>
      </c>
      <c r="DO27" s="679">
        <f t="shared" si="28"/>
        <v>1230</v>
      </c>
      <c r="DP27" s="679">
        <f t="shared" si="29"/>
        <v>1230</v>
      </c>
      <c r="DQ27" s="679">
        <f t="shared" si="30"/>
        <v>1230</v>
      </c>
      <c r="DR27" s="679">
        <f t="shared" si="31"/>
        <v>1230</v>
      </c>
      <c r="DS27" s="679">
        <f t="shared" si="32"/>
        <v>1221</v>
      </c>
      <c r="DT27" s="679">
        <f t="shared" si="33"/>
        <v>1231</v>
      </c>
      <c r="DU27" s="679">
        <f t="shared" si="34"/>
        <v>1231</v>
      </c>
      <c r="DV27" s="679">
        <f t="shared" si="35"/>
        <v>1231</v>
      </c>
      <c r="DW27" s="679">
        <f t="shared" si="36"/>
        <v>1231</v>
      </c>
      <c r="DX27" s="679">
        <f t="shared" si="37"/>
        <v>1231</v>
      </c>
      <c r="DY27" s="679">
        <f t="shared" si="38"/>
        <v>1231</v>
      </c>
      <c r="DZ27" s="679">
        <f t="shared" si="39"/>
        <v>1231</v>
      </c>
      <c r="EA27" s="679">
        <f t="shared" si="40"/>
        <v>1222</v>
      </c>
      <c r="EB27" s="679">
        <f t="shared" si="41"/>
        <v>1232</v>
      </c>
      <c r="EC27" s="679">
        <f t="shared" si="42"/>
        <v>1232</v>
      </c>
      <c r="ED27" s="679">
        <f t="shared" si="43"/>
        <v>1232</v>
      </c>
      <c r="EE27" s="679">
        <f t="shared" si="44"/>
        <v>1232</v>
      </c>
      <c r="EF27" s="679">
        <f t="shared" si="45"/>
        <v>1232</v>
      </c>
      <c r="EG27" s="679">
        <f t="shared" si="46"/>
        <v>1232</v>
      </c>
      <c r="EH27" s="679">
        <f t="shared" si="47"/>
        <v>1232</v>
      </c>
      <c r="EI27" s="679">
        <f t="shared" si="48"/>
        <v>1223</v>
      </c>
      <c r="EJ27" s="679">
        <f t="shared" si="49"/>
        <v>1233</v>
      </c>
      <c r="EK27" s="679">
        <f t="shared" si="50"/>
        <v>1233</v>
      </c>
      <c r="EL27" s="679">
        <f t="shared" si="51"/>
        <v>1233</v>
      </c>
      <c r="EM27" s="679">
        <f t="shared" si="52"/>
        <v>1233</v>
      </c>
      <c r="EN27" s="679">
        <f t="shared" si="53"/>
        <v>1233</v>
      </c>
      <c r="EO27" s="679">
        <f t="shared" si="54"/>
        <v>1233</v>
      </c>
      <c r="EP27" s="679">
        <f t="shared" si="55"/>
        <v>1233</v>
      </c>
      <c r="EQ27" s="679">
        <f t="shared" si="56"/>
        <v>1224</v>
      </c>
      <c r="ER27" s="679">
        <f t="shared" si="57"/>
        <v>1234</v>
      </c>
      <c r="ES27" s="679">
        <f t="shared" si="58"/>
        <v>1234</v>
      </c>
      <c r="ET27" s="679">
        <f t="shared" si="59"/>
        <v>1234</v>
      </c>
      <c r="EU27" s="679">
        <f t="shared" si="60"/>
        <v>1234</v>
      </c>
      <c r="EV27" s="679">
        <f t="shared" si="61"/>
        <v>1234</v>
      </c>
      <c r="EW27" s="679">
        <f t="shared" si="62"/>
        <v>1234</v>
      </c>
      <c r="EX27" s="679">
        <f t="shared" si="63"/>
        <v>1234</v>
      </c>
      <c r="EY27" s="679">
        <f t="shared" si="64"/>
        <v>1240</v>
      </c>
    </row>
    <row r="28" spans="2:155" ht="12.75" customHeight="1" x14ac:dyDescent="0.2">
      <c r="B28" s="700" t="str">
        <f>IF(COUNTIF($CK$10:CK28,TRUE)&gt;0,"",INDEX(C_InstallationDescription!$E$226:$E$242,ROWS($A$11:A28)))</f>
        <v/>
      </c>
      <c r="C28" s="581" t="str">
        <f>IF($E28="","",INDEX(C_InstallationDescription!F:F,MATCH($B28,C_InstallationDescription!$E:$E,0)))</f>
        <v/>
      </c>
      <c r="D28" s="581" t="str">
        <f>IF($E28="","",INDEX(C_InstallationDescription!I:I,MATCH($B28,C_InstallationDescription!$E:$E,0)))</f>
        <v/>
      </c>
      <c r="E28" s="581" t="str">
        <f>IF($B28="","",INDEX(C_InstallationDescription!F:F,MATCH($CJ28,C_InstallationDescription!$Q:$Q,0)))</f>
        <v/>
      </c>
      <c r="F28" s="706" t="str">
        <f>IF($E28="","",INDEX(C_InstallationDescription!L:L,MATCH($CJ28,C_InstallationDescription!$Q:$Q,0)))</f>
        <v/>
      </c>
      <c r="G28" s="581" t="str">
        <f>IF($E28="","",INDEX(C_InstallationDescription!M:M,MATCH($CJ28,C_InstallationDescription!$Q:$Q,0)))</f>
        <v/>
      </c>
      <c r="H28" s="581" t="str">
        <f>IF($E28="","",INDEX(C_InstallationDescription!N:N,MATCH($CJ28,C_InstallationDescription!$Q:$Q,0)))</f>
        <v/>
      </c>
      <c r="I28" s="703" t="str">
        <f>IF($E28="","",IF(INDEX(E_SourceStreams!$A:$N,CN28,I$7)="","",INDEX(E_SourceStreams!$A:$N,CN28,I$7)))</f>
        <v/>
      </c>
      <c r="J28" s="703" t="str">
        <f>IF($E28="","",IF(INDEX(E_SourceStreams!$A:$N,CO28,J$7)="","",INDEX(E_SourceStreams!$A:$N,CO28,J$7)))</f>
        <v/>
      </c>
      <c r="K28" s="703" t="str">
        <f>IF($E28="","",IF(INDEX(E_SourceStreams!$A:$N,CP28,K$7)="","",INDEX(E_SourceStreams!$A:$N,CP28,K$7)))</f>
        <v/>
      </c>
      <c r="L28" s="703" t="str">
        <f>IF($E28="","",IF(INDEX(E_SourceStreams!$A:$N,CQ28,L$7)="","",INDEX(E_SourceStreams!$A:$N,CQ28,L$7)))</f>
        <v/>
      </c>
      <c r="M28" s="703" t="str">
        <f>IF($E28="","",IF(INDEX(E_SourceStreams!$A:$N,CR28,M$7)="","",INDEX(E_SourceStreams!$A:$N,CR28,M$7)))</f>
        <v/>
      </c>
      <c r="N28" s="703" t="str">
        <f>IF($E28="","",IF(INDEX(E_SourceStreams!$A:$N,CS28,N$7)="","",INDEX(E_SourceStreams!$A:$N,CS28,N$7)))</f>
        <v/>
      </c>
      <c r="O28" s="703" t="str">
        <f>IF($E28="","",IF(INDEX(E_SourceStreams!$A:$N,CT28,O$7)="","",INDEX(E_SourceStreams!$A:$N,CT28,O$7)))</f>
        <v/>
      </c>
      <c r="P28" s="703" t="str">
        <f>IF($E28="","",IF(INDEX(E_SourceStreams!$A:$N,CU28,P$7)="","",INDEX(E_SourceStreams!$A:$N,CU28,P$7)))</f>
        <v/>
      </c>
      <c r="Q28" s="703" t="str">
        <f>IF($E28="","",IF(INDEX(E_SourceStreams!$A:$N,CV28,Q$7)="","",INDEX(E_SourceStreams!$A:$N,CV28,Q$7)))</f>
        <v/>
      </c>
      <c r="R28" s="703" t="str">
        <f>IF($E28="","",IF(INDEX(E_SourceStreams!$A:$N,CW28,R$7)="","",INDEX(E_SourceStreams!$A:$N,CW28,R$7)))</f>
        <v/>
      </c>
      <c r="S28" s="703" t="str">
        <f>IF($E28="","",IF(INDEX(E_SourceStreams!$A:$N,CX28,S$7)="","",INDEX(E_SourceStreams!$A:$N,CX28,S$7)))</f>
        <v/>
      </c>
      <c r="T28" s="703" t="str">
        <f>IF($E28="","",IF(INDEX(E_SourceStreams!$A:$N,CY28,T$7)="","",INDEX(E_SourceStreams!$A:$N,CY28,T$7)))</f>
        <v/>
      </c>
      <c r="U28" s="703" t="str">
        <f>IF($E28="","",IF(INDEX(E_SourceStreams!$A:$N,CZ28,U$7)="","",INDEX(E_SourceStreams!$A:$N,CZ28,U$7)))</f>
        <v/>
      </c>
      <c r="V28" s="703" t="str">
        <f>IF($E28="","",IF(INDEX(E_SourceStreams!$A:$N,DA28,V$7)="","",INDEX(E_SourceStreams!$A:$N,DA28,V$7)))</f>
        <v/>
      </c>
      <c r="W28" s="704" t="str">
        <f>IF($E28="","",IF(INDEX(E_SourceStreams!$A:$N,DB28,W$7)="","",INDEX(E_SourceStreams!$A:$N,DB28,W$7)))</f>
        <v/>
      </c>
      <c r="X28" s="703" t="str">
        <f>IF($E28="","",IF(INDEX(E_SourceStreams!$A:$N,DC28,X$7)="","",INDEX(E_SourceStreams!$A:$N,DC28,X$7)))</f>
        <v/>
      </c>
      <c r="Y28" s="703" t="str">
        <f>IF($E28="","",IF(INDEX(E_SourceStreams!$A:$N,DD28,Y$7)="","",INDEX(E_SourceStreams!$A:$N,DD28,Y$7)))</f>
        <v/>
      </c>
      <c r="Z28" s="703" t="str">
        <f>IF($E28="","",IF(INDEX(E_SourceStreams!$A:$N,DE28,Z$7)="","",INDEX(E_SourceStreams!$A:$N,DE28,Z$7)))</f>
        <v/>
      </c>
      <c r="AA28" s="703" t="str">
        <f>IF($E28="","",IF(INDEX(E_SourceStreams!$A:$N,DF28,AA$7)="","",INDEX(E_SourceStreams!$A:$N,DF28,AA$7)))</f>
        <v/>
      </c>
      <c r="AB28" s="703" t="str">
        <f>IF($E28="","",IF(INDEX(E_SourceStreams!$A:$N,DG28,AB$7)="","",INDEX(E_SourceStreams!$A:$N,DG28,AB$7)))</f>
        <v/>
      </c>
      <c r="AC28" s="703" t="str">
        <f>IF($E28="","",IF(INDEX(E_SourceStreams!$A:$N,DH28,AC$7)="","",INDEX(E_SourceStreams!$A:$N,DH28,AC$7)))</f>
        <v/>
      </c>
      <c r="AD28" s="703" t="str">
        <f>IF($E28="","",IF(INDEX(E_SourceStreams!$A:$N,DI28,AD$7)="","",INDEX(E_SourceStreams!$A:$N,DI28,AD$7)))</f>
        <v/>
      </c>
      <c r="AE28" s="703" t="str">
        <f>IF($E28="","",IF(INDEX(E_SourceStreams!$A:$N,DJ28,AE$7)="","",INDEX(E_SourceStreams!$A:$N,DJ28,AE$7)))</f>
        <v/>
      </c>
      <c r="AF28" s="703" t="str">
        <f>IF($E28="","",IF(INDEX(E_SourceStreams!$A:$N,DK28,AF$7)="","",INDEX(E_SourceStreams!$A:$N,DK28,AF$7)))</f>
        <v/>
      </c>
      <c r="AG28" s="703" t="str">
        <f>IF($E28="","",IF(INDEX(E_SourceStreams!$A:$N,DL28,AG$7)="","",INDEX(E_SourceStreams!$A:$N,DL28,AG$7)))</f>
        <v/>
      </c>
      <c r="AH28" s="703" t="str">
        <f>IF($E28="","",IF(INDEX(E_SourceStreams!$A:$N,DM28,AH$7)="","",INDEX(E_SourceStreams!$A:$N,DM28,AH$7)))</f>
        <v/>
      </c>
      <c r="AI28" s="703" t="str">
        <f>IF($E28="","",IF(INDEX(E_SourceStreams!$A:$N,DN28,AI$7)="","",INDEX(E_SourceStreams!$A:$N,DN28,AI$7)))</f>
        <v/>
      </c>
      <c r="AJ28" s="703" t="str">
        <f>IF($E28="","",IF(INDEX(E_SourceStreams!$A:$N,DO28,AJ$7)="","",INDEX(E_SourceStreams!$A:$N,DO28,AJ$7)))</f>
        <v/>
      </c>
      <c r="AK28" s="703" t="str">
        <f>IF($E28="","",IF(INDEX(E_SourceStreams!$A:$N,DP28,AK$7)="","",INDEX(E_SourceStreams!$A:$N,DP28,AK$7)))</f>
        <v/>
      </c>
      <c r="AL28" s="703" t="str">
        <f>IF($E28="","",IF(INDEX(E_SourceStreams!$A:$N,DQ28,AL$7)="","",INDEX(E_SourceStreams!$A:$N,DQ28,AL$7)))</f>
        <v/>
      </c>
      <c r="AM28" s="703" t="str">
        <f>IF($E28="","",IF(INDEX(E_SourceStreams!$A:$N,DR28,AM$7)="","",INDEX(E_SourceStreams!$A:$N,DR28,AM$7)))</f>
        <v/>
      </c>
      <c r="AN28" s="703" t="str">
        <f>IF($E28="","",IF(INDEX(E_SourceStreams!$A:$N,DS28,AN$7)="","",INDEX(E_SourceStreams!$A:$N,DS28,AN$7)))</f>
        <v/>
      </c>
      <c r="AO28" s="703" t="str">
        <f>IF($E28="","",IF(INDEX(E_SourceStreams!$A:$N,DT28,AO$7)="","",INDEX(E_SourceStreams!$A:$N,DT28,AO$7)))</f>
        <v/>
      </c>
      <c r="AP28" s="703" t="str">
        <f>IF($E28="","",IF(INDEX(E_SourceStreams!$A:$N,DU28,AP$7)="","",INDEX(E_SourceStreams!$A:$N,DU28,AP$7)))</f>
        <v/>
      </c>
      <c r="AQ28" s="703" t="str">
        <f>IF($E28="","",IF(INDEX(E_SourceStreams!$A:$N,DV28,AQ$7)="","",INDEX(E_SourceStreams!$A:$N,DV28,AQ$7)))</f>
        <v/>
      </c>
      <c r="AR28" s="703" t="str">
        <f>IF($E28="","",IF(INDEX(E_SourceStreams!$A:$N,DW28,AR$7)="","",INDEX(E_SourceStreams!$A:$N,DW28,AR$7)))</f>
        <v/>
      </c>
      <c r="AS28" s="703" t="str">
        <f>IF($E28="","",IF(INDEX(E_SourceStreams!$A:$N,DX28,AS$7)="","",INDEX(E_SourceStreams!$A:$N,DX28,AS$7)))</f>
        <v/>
      </c>
      <c r="AT28" s="703" t="str">
        <f>IF($E28="","",IF(INDEX(E_SourceStreams!$A:$N,DY28,AT$7)="","",INDEX(E_SourceStreams!$A:$N,DY28,AT$7)))</f>
        <v/>
      </c>
      <c r="AU28" s="703" t="str">
        <f>IF($E28="","",IF(INDEX(E_SourceStreams!$A:$N,DZ28,AU$7)="","",INDEX(E_SourceStreams!$A:$N,DZ28,AU$7)))</f>
        <v/>
      </c>
      <c r="AV28" s="703" t="str">
        <f>IF($E28="","",IF(INDEX(E_SourceStreams!$A:$N,EA28,AV$7)="","",INDEX(E_SourceStreams!$A:$N,EA28,AV$7)))</f>
        <v/>
      </c>
      <c r="AW28" s="703" t="str">
        <f>IF($E28="","",IF(INDEX(E_SourceStreams!$A:$N,EB28,AW$7)="","",INDEX(E_SourceStreams!$A:$N,EB28,AW$7)))</f>
        <v/>
      </c>
      <c r="AX28" s="703" t="str">
        <f>IF($E28="","",IF(INDEX(E_SourceStreams!$A:$N,EC28,AX$7)="","",INDEX(E_SourceStreams!$A:$N,EC28,AX$7)))</f>
        <v/>
      </c>
      <c r="AY28" s="703" t="str">
        <f>IF($E28="","",IF(INDEX(E_SourceStreams!$A:$N,ED28,AY$7)="","",INDEX(E_SourceStreams!$A:$N,ED28,AY$7)))</f>
        <v/>
      </c>
      <c r="AZ28" s="703" t="str">
        <f>IF($E28="","",IF(INDEX(E_SourceStreams!$A:$N,EE28,AZ$7)="","",INDEX(E_SourceStreams!$A:$N,EE28,AZ$7)))</f>
        <v/>
      </c>
      <c r="BA28" s="703" t="str">
        <f>IF($E28="","",IF(INDEX(E_SourceStreams!$A:$N,EF28,BA$7)="","",INDEX(E_SourceStreams!$A:$N,EF28,BA$7)))</f>
        <v/>
      </c>
      <c r="BB28" s="703" t="str">
        <f>IF($E28="","",IF(INDEX(E_SourceStreams!$A:$N,EG28,BB$7)="","",INDEX(E_SourceStreams!$A:$N,EG28,BB$7)))</f>
        <v/>
      </c>
      <c r="BC28" s="703" t="str">
        <f>IF($E28="","",IF(INDEX(E_SourceStreams!$A:$N,EH28,BC$7)="","",INDEX(E_SourceStreams!$A:$N,EH28,BC$7)))</f>
        <v/>
      </c>
      <c r="BD28" s="703" t="str">
        <f>IF($E28="","",IF(INDEX(E_SourceStreams!$A:$N,EI28,BD$7)="","",INDEX(E_SourceStreams!$A:$N,EI28,BD$7)))</f>
        <v/>
      </c>
      <c r="BE28" s="703" t="str">
        <f>IF($E28="","",IF(INDEX(E_SourceStreams!$A:$N,EJ28,BE$7)="","",INDEX(E_SourceStreams!$A:$N,EJ28,BE$7)))</f>
        <v/>
      </c>
      <c r="BF28" s="703" t="str">
        <f>IF($E28="","",IF(INDEX(E_SourceStreams!$A:$N,EK28,BF$7)="","",INDEX(E_SourceStreams!$A:$N,EK28,BF$7)))</f>
        <v/>
      </c>
      <c r="BG28" s="703" t="str">
        <f>IF($E28="","",IF(INDEX(E_SourceStreams!$A:$N,EL28,BG$7)="","",INDEX(E_SourceStreams!$A:$N,EL28,BG$7)))</f>
        <v/>
      </c>
      <c r="BH28" s="703" t="str">
        <f>IF($E28="","",IF(INDEX(E_SourceStreams!$A:$N,EM28,BH$7)="","",INDEX(E_SourceStreams!$A:$N,EM28,BH$7)))</f>
        <v/>
      </c>
      <c r="BI28" s="703" t="str">
        <f>IF($E28="","",IF(INDEX(E_SourceStreams!$A:$N,EN28,BI$7)="","",INDEX(E_SourceStreams!$A:$N,EN28,BI$7)))</f>
        <v/>
      </c>
      <c r="BJ28" s="703" t="str">
        <f>IF($E28="","",IF(INDEX(E_SourceStreams!$A:$N,EO28,BJ$7)="","",INDEX(E_SourceStreams!$A:$N,EO28,BJ$7)))</f>
        <v/>
      </c>
      <c r="BK28" s="703" t="str">
        <f>IF($E28="","",IF(INDEX(E_SourceStreams!$A:$N,EP28,BK$7)="","",INDEX(E_SourceStreams!$A:$N,EP28,BK$7)))</f>
        <v/>
      </c>
      <c r="BL28" s="703" t="str">
        <f>IF($E28="","",IF(INDEX(E_SourceStreams!$A:$N,EQ28,BL$7)="","",INDEX(E_SourceStreams!$A:$N,EQ28,BL$7)))</f>
        <v/>
      </c>
      <c r="BM28" s="703" t="str">
        <f>IF($E28="","",IF(INDEX(E_SourceStreams!$A:$N,ER28,BM$7)="","",INDEX(E_SourceStreams!$A:$N,ER28,BM$7)))</f>
        <v/>
      </c>
      <c r="BN28" s="703" t="str">
        <f>IF($E28="","",IF(INDEX(E_SourceStreams!$A:$N,ES28,BN$7)="","",INDEX(E_SourceStreams!$A:$N,ES28,BN$7)))</f>
        <v/>
      </c>
      <c r="BO28" s="703" t="str">
        <f>IF($E28="","",IF(INDEX(E_SourceStreams!$A:$N,ET28,BO$7)="","",INDEX(E_SourceStreams!$A:$N,ET28,BO$7)))</f>
        <v/>
      </c>
      <c r="BP28" s="703" t="str">
        <f>IF($E28="","",IF(INDEX(E_SourceStreams!$A:$N,EU28,BP$7)="","",INDEX(E_SourceStreams!$A:$N,EU28,BP$7)))</f>
        <v/>
      </c>
      <c r="BQ28" s="703" t="str">
        <f>IF($E28="","",IF(INDEX(E_SourceStreams!$A:$N,EV28,BQ$7)="","",INDEX(E_SourceStreams!$A:$N,EV28,BQ$7)))</f>
        <v/>
      </c>
      <c r="BR28" s="703" t="str">
        <f>IF($E28="","",IF(INDEX(E_SourceStreams!$A:$N,EW28,BR$7)="","",INDEX(E_SourceStreams!$A:$N,EW28,BR$7)))</f>
        <v/>
      </c>
      <c r="BS28" s="703" t="str">
        <f>IF($E28="","",IF(INDEX(E_SourceStreams!$A:$N,EX28,BS$7)="","",INDEX(E_SourceStreams!$A:$N,EX28,BS$7)))</f>
        <v/>
      </c>
      <c r="BT28" s="703" t="str">
        <f>IF($E28="","",IF(INDEX(E_SourceStreams!$A:$N,EY28,BT$7)="","",INDEX(E_SourceStreams!$A:$N,EY28,BT$7)))</f>
        <v/>
      </c>
      <c r="BU28" s="625"/>
      <c r="CJ28" s="679" t="str">
        <f t="shared" si="0"/>
        <v>SourceCategory_</v>
      </c>
      <c r="CK28" s="679" t="b">
        <f>INDEX(C_InstallationDescription!$A$226:$A$332,ROWS($CI$11:CI28))="ausblenden"</f>
        <v>0</v>
      </c>
      <c r="CL28" s="679" t="str">
        <f t="shared" si="1"/>
        <v>SourceStreamName_</v>
      </c>
      <c r="CN28" s="679">
        <f t="shared" si="65"/>
        <v>1257</v>
      </c>
      <c r="CO28" s="679">
        <f t="shared" si="2"/>
        <v>1259</v>
      </c>
      <c r="CP28" s="679">
        <f t="shared" si="3"/>
        <v>1261</v>
      </c>
      <c r="CQ28" s="679">
        <f t="shared" si="4"/>
        <v>1263</v>
      </c>
      <c r="CR28" s="679">
        <f t="shared" si="5"/>
        <v>1265</v>
      </c>
      <c r="CS28" s="679">
        <f t="shared" si="6"/>
        <v>1267</v>
      </c>
      <c r="CT28" s="679">
        <f t="shared" si="7"/>
        <v>1269</v>
      </c>
      <c r="CU28" s="679">
        <f t="shared" si="8"/>
        <v>1269</v>
      </c>
      <c r="CV28" s="679">
        <f t="shared" si="9"/>
        <v>1269</v>
      </c>
      <c r="CW28" s="679">
        <f t="shared" si="10"/>
        <v>1269</v>
      </c>
      <c r="CX28" s="679">
        <f t="shared" si="11"/>
        <v>1269</v>
      </c>
      <c r="CY28" s="679">
        <f t="shared" si="12"/>
        <v>1272</v>
      </c>
      <c r="CZ28" s="679">
        <f t="shared" si="13"/>
        <v>1276</v>
      </c>
      <c r="DA28" s="679">
        <f t="shared" si="14"/>
        <v>1277</v>
      </c>
      <c r="DB28" s="679">
        <f t="shared" si="15"/>
        <v>1278</v>
      </c>
      <c r="DC28" s="679">
        <f t="shared" si="16"/>
        <v>1285</v>
      </c>
      <c r="DD28" s="679">
        <f t="shared" si="17"/>
        <v>1295</v>
      </c>
      <c r="DE28" s="679">
        <f t="shared" si="18"/>
        <v>1295</v>
      </c>
      <c r="DF28" s="679">
        <f t="shared" si="19"/>
        <v>1295</v>
      </c>
      <c r="DG28" s="679">
        <f t="shared" si="20"/>
        <v>1295</v>
      </c>
      <c r="DH28" s="679">
        <f t="shared" si="21"/>
        <v>1295</v>
      </c>
      <c r="DI28" s="679">
        <f t="shared" si="22"/>
        <v>1295</v>
      </c>
      <c r="DJ28" s="679">
        <f t="shared" si="23"/>
        <v>1295</v>
      </c>
      <c r="DK28" s="679">
        <f t="shared" si="24"/>
        <v>1286</v>
      </c>
      <c r="DL28" s="679">
        <f t="shared" si="25"/>
        <v>1296</v>
      </c>
      <c r="DM28" s="679">
        <f t="shared" si="26"/>
        <v>1296</v>
      </c>
      <c r="DN28" s="679">
        <f t="shared" si="27"/>
        <v>1296</v>
      </c>
      <c r="DO28" s="679">
        <f t="shared" si="28"/>
        <v>1296</v>
      </c>
      <c r="DP28" s="679">
        <f t="shared" si="29"/>
        <v>1296</v>
      </c>
      <c r="DQ28" s="679">
        <f t="shared" si="30"/>
        <v>1296</v>
      </c>
      <c r="DR28" s="679">
        <f t="shared" si="31"/>
        <v>1296</v>
      </c>
      <c r="DS28" s="679">
        <f t="shared" si="32"/>
        <v>1287</v>
      </c>
      <c r="DT28" s="679">
        <f t="shared" si="33"/>
        <v>1297</v>
      </c>
      <c r="DU28" s="679">
        <f t="shared" si="34"/>
        <v>1297</v>
      </c>
      <c r="DV28" s="679">
        <f t="shared" si="35"/>
        <v>1297</v>
      </c>
      <c r="DW28" s="679">
        <f t="shared" si="36"/>
        <v>1297</v>
      </c>
      <c r="DX28" s="679">
        <f t="shared" si="37"/>
        <v>1297</v>
      </c>
      <c r="DY28" s="679">
        <f t="shared" si="38"/>
        <v>1297</v>
      </c>
      <c r="DZ28" s="679">
        <f t="shared" si="39"/>
        <v>1297</v>
      </c>
      <c r="EA28" s="679">
        <f t="shared" si="40"/>
        <v>1288</v>
      </c>
      <c r="EB28" s="679">
        <f t="shared" si="41"/>
        <v>1298</v>
      </c>
      <c r="EC28" s="679">
        <f t="shared" si="42"/>
        <v>1298</v>
      </c>
      <c r="ED28" s="679">
        <f t="shared" si="43"/>
        <v>1298</v>
      </c>
      <c r="EE28" s="679">
        <f t="shared" si="44"/>
        <v>1298</v>
      </c>
      <c r="EF28" s="679">
        <f t="shared" si="45"/>
        <v>1298</v>
      </c>
      <c r="EG28" s="679">
        <f t="shared" si="46"/>
        <v>1298</v>
      </c>
      <c r="EH28" s="679">
        <f t="shared" si="47"/>
        <v>1298</v>
      </c>
      <c r="EI28" s="679">
        <f t="shared" si="48"/>
        <v>1289</v>
      </c>
      <c r="EJ28" s="679">
        <f t="shared" si="49"/>
        <v>1299</v>
      </c>
      <c r="EK28" s="679">
        <f t="shared" si="50"/>
        <v>1299</v>
      </c>
      <c r="EL28" s="679">
        <f t="shared" si="51"/>
        <v>1299</v>
      </c>
      <c r="EM28" s="679">
        <f t="shared" si="52"/>
        <v>1299</v>
      </c>
      <c r="EN28" s="679">
        <f t="shared" si="53"/>
        <v>1299</v>
      </c>
      <c r="EO28" s="679">
        <f t="shared" si="54"/>
        <v>1299</v>
      </c>
      <c r="EP28" s="679">
        <f t="shared" si="55"/>
        <v>1299</v>
      </c>
      <c r="EQ28" s="679">
        <f t="shared" si="56"/>
        <v>1290</v>
      </c>
      <c r="ER28" s="679">
        <f t="shared" si="57"/>
        <v>1300</v>
      </c>
      <c r="ES28" s="679">
        <f t="shared" si="58"/>
        <v>1300</v>
      </c>
      <c r="ET28" s="679">
        <f t="shared" si="59"/>
        <v>1300</v>
      </c>
      <c r="EU28" s="679">
        <f t="shared" si="60"/>
        <v>1300</v>
      </c>
      <c r="EV28" s="679">
        <f t="shared" si="61"/>
        <v>1300</v>
      </c>
      <c r="EW28" s="679">
        <f t="shared" si="62"/>
        <v>1300</v>
      </c>
      <c r="EX28" s="679">
        <f t="shared" si="63"/>
        <v>1300</v>
      </c>
      <c r="EY28" s="679">
        <f t="shared" si="64"/>
        <v>1306</v>
      </c>
    </row>
    <row r="29" spans="2:155" ht="12.75" customHeight="1" x14ac:dyDescent="0.2">
      <c r="B29" s="700" t="str">
        <f>IF(COUNTIF($CK$10:CK29,TRUE)&gt;0,"",INDEX(C_InstallationDescription!$E$226:$E$242,ROWS($A$11:A29)))</f>
        <v/>
      </c>
      <c r="C29" s="581" t="str">
        <f>IF($E29="","",INDEX(C_InstallationDescription!F:F,MATCH($B29,C_InstallationDescription!$E:$E,0)))</f>
        <v/>
      </c>
      <c r="D29" s="581" t="str">
        <f>IF($E29="","",INDEX(C_InstallationDescription!I:I,MATCH($B29,C_InstallationDescription!$E:$E,0)))</f>
        <v/>
      </c>
      <c r="E29" s="581" t="str">
        <f>IF($B29="","",INDEX(C_InstallationDescription!F:F,MATCH($CJ29,C_InstallationDescription!$Q:$Q,0)))</f>
        <v/>
      </c>
      <c r="F29" s="706" t="str">
        <f>IF($E29="","",INDEX(C_InstallationDescription!L:L,MATCH($CJ29,C_InstallationDescription!$Q:$Q,0)))</f>
        <v/>
      </c>
      <c r="G29" s="581" t="str">
        <f>IF($E29="","",INDEX(C_InstallationDescription!M:M,MATCH($CJ29,C_InstallationDescription!$Q:$Q,0)))</f>
        <v/>
      </c>
      <c r="H29" s="581" t="str">
        <f>IF($E29="","",INDEX(C_InstallationDescription!N:N,MATCH($CJ29,C_InstallationDescription!$Q:$Q,0)))</f>
        <v/>
      </c>
      <c r="I29" s="703" t="str">
        <f>IF($E29="","",IF(INDEX(E_SourceStreams!$A:$N,CN29,I$7)="","",INDEX(E_SourceStreams!$A:$N,CN29,I$7)))</f>
        <v/>
      </c>
      <c r="J29" s="703" t="str">
        <f>IF($E29="","",IF(INDEX(E_SourceStreams!$A:$N,CO29,J$7)="","",INDEX(E_SourceStreams!$A:$N,CO29,J$7)))</f>
        <v/>
      </c>
      <c r="K29" s="703" t="str">
        <f>IF($E29="","",IF(INDEX(E_SourceStreams!$A:$N,CP29,K$7)="","",INDEX(E_SourceStreams!$A:$N,CP29,K$7)))</f>
        <v/>
      </c>
      <c r="L29" s="703" t="str">
        <f>IF($E29="","",IF(INDEX(E_SourceStreams!$A:$N,CQ29,L$7)="","",INDEX(E_SourceStreams!$A:$N,CQ29,L$7)))</f>
        <v/>
      </c>
      <c r="M29" s="703" t="str">
        <f>IF($E29="","",IF(INDEX(E_SourceStreams!$A:$N,CR29,M$7)="","",INDEX(E_SourceStreams!$A:$N,CR29,M$7)))</f>
        <v/>
      </c>
      <c r="N29" s="703" t="str">
        <f>IF($E29="","",IF(INDEX(E_SourceStreams!$A:$N,CS29,N$7)="","",INDEX(E_SourceStreams!$A:$N,CS29,N$7)))</f>
        <v/>
      </c>
      <c r="O29" s="703" t="str">
        <f>IF($E29="","",IF(INDEX(E_SourceStreams!$A:$N,CT29,O$7)="","",INDEX(E_SourceStreams!$A:$N,CT29,O$7)))</f>
        <v/>
      </c>
      <c r="P29" s="703" t="str">
        <f>IF($E29="","",IF(INDEX(E_SourceStreams!$A:$N,CU29,P$7)="","",INDEX(E_SourceStreams!$A:$N,CU29,P$7)))</f>
        <v/>
      </c>
      <c r="Q29" s="703" t="str">
        <f>IF($E29="","",IF(INDEX(E_SourceStreams!$A:$N,CV29,Q$7)="","",INDEX(E_SourceStreams!$A:$N,CV29,Q$7)))</f>
        <v/>
      </c>
      <c r="R29" s="703" t="str">
        <f>IF($E29="","",IF(INDEX(E_SourceStreams!$A:$N,CW29,R$7)="","",INDEX(E_SourceStreams!$A:$N,CW29,R$7)))</f>
        <v/>
      </c>
      <c r="S29" s="703" t="str">
        <f>IF($E29="","",IF(INDEX(E_SourceStreams!$A:$N,CX29,S$7)="","",INDEX(E_SourceStreams!$A:$N,CX29,S$7)))</f>
        <v/>
      </c>
      <c r="T29" s="703" t="str">
        <f>IF($E29="","",IF(INDEX(E_SourceStreams!$A:$N,CY29,T$7)="","",INDEX(E_SourceStreams!$A:$N,CY29,T$7)))</f>
        <v/>
      </c>
      <c r="U29" s="703" t="str">
        <f>IF($E29="","",IF(INDEX(E_SourceStreams!$A:$N,CZ29,U$7)="","",INDEX(E_SourceStreams!$A:$N,CZ29,U$7)))</f>
        <v/>
      </c>
      <c r="V29" s="703" t="str">
        <f>IF($E29="","",IF(INDEX(E_SourceStreams!$A:$N,DA29,V$7)="","",INDEX(E_SourceStreams!$A:$N,DA29,V$7)))</f>
        <v/>
      </c>
      <c r="W29" s="704" t="str">
        <f>IF($E29="","",IF(INDEX(E_SourceStreams!$A:$N,DB29,W$7)="","",INDEX(E_SourceStreams!$A:$N,DB29,W$7)))</f>
        <v/>
      </c>
      <c r="X29" s="703" t="str">
        <f>IF($E29="","",IF(INDEX(E_SourceStreams!$A:$N,DC29,X$7)="","",INDEX(E_SourceStreams!$A:$N,DC29,X$7)))</f>
        <v/>
      </c>
      <c r="Y29" s="703" t="str">
        <f>IF($E29="","",IF(INDEX(E_SourceStreams!$A:$N,DD29,Y$7)="","",INDEX(E_SourceStreams!$A:$N,DD29,Y$7)))</f>
        <v/>
      </c>
      <c r="Z29" s="703" t="str">
        <f>IF($E29="","",IF(INDEX(E_SourceStreams!$A:$N,DE29,Z$7)="","",INDEX(E_SourceStreams!$A:$N,DE29,Z$7)))</f>
        <v/>
      </c>
      <c r="AA29" s="703" t="str">
        <f>IF($E29="","",IF(INDEX(E_SourceStreams!$A:$N,DF29,AA$7)="","",INDEX(E_SourceStreams!$A:$N,DF29,AA$7)))</f>
        <v/>
      </c>
      <c r="AB29" s="703" t="str">
        <f>IF($E29="","",IF(INDEX(E_SourceStreams!$A:$N,DG29,AB$7)="","",INDEX(E_SourceStreams!$A:$N,DG29,AB$7)))</f>
        <v/>
      </c>
      <c r="AC29" s="703" t="str">
        <f>IF($E29="","",IF(INDEX(E_SourceStreams!$A:$N,DH29,AC$7)="","",INDEX(E_SourceStreams!$A:$N,DH29,AC$7)))</f>
        <v/>
      </c>
      <c r="AD29" s="703" t="str">
        <f>IF($E29="","",IF(INDEX(E_SourceStreams!$A:$N,DI29,AD$7)="","",INDEX(E_SourceStreams!$A:$N,DI29,AD$7)))</f>
        <v/>
      </c>
      <c r="AE29" s="703" t="str">
        <f>IF($E29="","",IF(INDEX(E_SourceStreams!$A:$N,DJ29,AE$7)="","",INDEX(E_SourceStreams!$A:$N,DJ29,AE$7)))</f>
        <v/>
      </c>
      <c r="AF29" s="703" t="str">
        <f>IF($E29="","",IF(INDEX(E_SourceStreams!$A:$N,DK29,AF$7)="","",INDEX(E_SourceStreams!$A:$N,DK29,AF$7)))</f>
        <v/>
      </c>
      <c r="AG29" s="703" t="str">
        <f>IF($E29="","",IF(INDEX(E_SourceStreams!$A:$N,DL29,AG$7)="","",INDEX(E_SourceStreams!$A:$N,DL29,AG$7)))</f>
        <v/>
      </c>
      <c r="AH29" s="703" t="str">
        <f>IF($E29="","",IF(INDEX(E_SourceStreams!$A:$N,DM29,AH$7)="","",INDEX(E_SourceStreams!$A:$N,DM29,AH$7)))</f>
        <v/>
      </c>
      <c r="AI29" s="703" t="str">
        <f>IF($E29="","",IF(INDEX(E_SourceStreams!$A:$N,DN29,AI$7)="","",INDEX(E_SourceStreams!$A:$N,DN29,AI$7)))</f>
        <v/>
      </c>
      <c r="AJ29" s="703" t="str">
        <f>IF($E29="","",IF(INDEX(E_SourceStreams!$A:$N,DO29,AJ$7)="","",INDEX(E_SourceStreams!$A:$N,DO29,AJ$7)))</f>
        <v/>
      </c>
      <c r="AK29" s="703" t="str">
        <f>IF($E29="","",IF(INDEX(E_SourceStreams!$A:$N,DP29,AK$7)="","",INDEX(E_SourceStreams!$A:$N,DP29,AK$7)))</f>
        <v/>
      </c>
      <c r="AL29" s="703" t="str">
        <f>IF($E29="","",IF(INDEX(E_SourceStreams!$A:$N,DQ29,AL$7)="","",INDEX(E_SourceStreams!$A:$N,DQ29,AL$7)))</f>
        <v/>
      </c>
      <c r="AM29" s="703" t="str">
        <f>IF($E29="","",IF(INDEX(E_SourceStreams!$A:$N,DR29,AM$7)="","",INDEX(E_SourceStreams!$A:$N,DR29,AM$7)))</f>
        <v/>
      </c>
      <c r="AN29" s="703" t="str">
        <f>IF($E29="","",IF(INDEX(E_SourceStreams!$A:$N,DS29,AN$7)="","",INDEX(E_SourceStreams!$A:$N,DS29,AN$7)))</f>
        <v/>
      </c>
      <c r="AO29" s="703" t="str">
        <f>IF($E29="","",IF(INDEX(E_SourceStreams!$A:$N,DT29,AO$7)="","",INDEX(E_SourceStreams!$A:$N,DT29,AO$7)))</f>
        <v/>
      </c>
      <c r="AP29" s="703" t="str">
        <f>IF($E29="","",IF(INDEX(E_SourceStreams!$A:$N,DU29,AP$7)="","",INDEX(E_SourceStreams!$A:$N,DU29,AP$7)))</f>
        <v/>
      </c>
      <c r="AQ29" s="703" t="str">
        <f>IF($E29="","",IF(INDEX(E_SourceStreams!$A:$N,DV29,AQ$7)="","",INDEX(E_SourceStreams!$A:$N,DV29,AQ$7)))</f>
        <v/>
      </c>
      <c r="AR29" s="703" t="str">
        <f>IF($E29="","",IF(INDEX(E_SourceStreams!$A:$N,DW29,AR$7)="","",INDEX(E_SourceStreams!$A:$N,DW29,AR$7)))</f>
        <v/>
      </c>
      <c r="AS29" s="703" t="str">
        <f>IF($E29="","",IF(INDEX(E_SourceStreams!$A:$N,DX29,AS$7)="","",INDEX(E_SourceStreams!$A:$N,DX29,AS$7)))</f>
        <v/>
      </c>
      <c r="AT29" s="703" t="str">
        <f>IF($E29="","",IF(INDEX(E_SourceStreams!$A:$N,DY29,AT$7)="","",INDEX(E_SourceStreams!$A:$N,DY29,AT$7)))</f>
        <v/>
      </c>
      <c r="AU29" s="703" t="str">
        <f>IF($E29="","",IF(INDEX(E_SourceStreams!$A:$N,DZ29,AU$7)="","",INDEX(E_SourceStreams!$A:$N,DZ29,AU$7)))</f>
        <v/>
      </c>
      <c r="AV29" s="703" t="str">
        <f>IF($E29="","",IF(INDEX(E_SourceStreams!$A:$N,EA29,AV$7)="","",INDEX(E_SourceStreams!$A:$N,EA29,AV$7)))</f>
        <v/>
      </c>
      <c r="AW29" s="703" t="str">
        <f>IF($E29="","",IF(INDEX(E_SourceStreams!$A:$N,EB29,AW$7)="","",INDEX(E_SourceStreams!$A:$N,EB29,AW$7)))</f>
        <v/>
      </c>
      <c r="AX29" s="703" t="str">
        <f>IF($E29="","",IF(INDEX(E_SourceStreams!$A:$N,EC29,AX$7)="","",INDEX(E_SourceStreams!$A:$N,EC29,AX$7)))</f>
        <v/>
      </c>
      <c r="AY29" s="703" t="str">
        <f>IF($E29="","",IF(INDEX(E_SourceStreams!$A:$N,ED29,AY$7)="","",INDEX(E_SourceStreams!$A:$N,ED29,AY$7)))</f>
        <v/>
      </c>
      <c r="AZ29" s="703" t="str">
        <f>IF($E29="","",IF(INDEX(E_SourceStreams!$A:$N,EE29,AZ$7)="","",INDEX(E_SourceStreams!$A:$N,EE29,AZ$7)))</f>
        <v/>
      </c>
      <c r="BA29" s="703" t="str">
        <f>IF($E29="","",IF(INDEX(E_SourceStreams!$A:$N,EF29,BA$7)="","",INDEX(E_SourceStreams!$A:$N,EF29,BA$7)))</f>
        <v/>
      </c>
      <c r="BB29" s="703" t="str">
        <f>IF($E29="","",IF(INDEX(E_SourceStreams!$A:$N,EG29,BB$7)="","",INDEX(E_SourceStreams!$A:$N,EG29,BB$7)))</f>
        <v/>
      </c>
      <c r="BC29" s="703" t="str">
        <f>IF($E29="","",IF(INDEX(E_SourceStreams!$A:$N,EH29,BC$7)="","",INDEX(E_SourceStreams!$A:$N,EH29,BC$7)))</f>
        <v/>
      </c>
      <c r="BD29" s="703" t="str">
        <f>IF($E29="","",IF(INDEX(E_SourceStreams!$A:$N,EI29,BD$7)="","",INDEX(E_SourceStreams!$A:$N,EI29,BD$7)))</f>
        <v/>
      </c>
      <c r="BE29" s="703" t="str">
        <f>IF($E29="","",IF(INDEX(E_SourceStreams!$A:$N,EJ29,BE$7)="","",INDEX(E_SourceStreams!$A:$N,EJ29,BE$7)))</f>
        <v/>
      </c>
      <c r="BF29" s="703" t="str">
        <f>IF($E29="","",IF(INDEX(E_SourceStreams!$A:$N,EK29,BF$7)="","",INDEX(E_SourceStreams!$A:$N,EK29,BF$7)))</f>
        <v/>
      </c>
      <c r="BG29" s="703" t="str">
        <f>IF($E29="","",IF(INDEX(E_SourceStreams!$A:$N,EL29,BG$7)="","",INDEX(E_SourceStreams!$A:$N,EL29,BG$7)))</f>
        <v/>
      </c>
      <c r="BH29" s="703" t="str">
        <f>IF($E29="","",IF(INDEX(E_SourceStreams!$A:$N,EM29,BH$7)="","",INDEX(E_SourceStreams!$A:$N,EM29,BH$7)))</f>
        <v/>
      </c>
      <c r="BI29" s="703" t="str">
        <f>IF($E29="","",IF(INDEX(E_SourceStreams!$A:$N,EN29,BI$7)="","",INDEX(E_SourceStreams!$A:$N,EN29,BI$7)))</f>
        <v/>
      </c>
      <c r="BJ29" s="703" t="str">
        <f>IF($E29="","",IF(INDEX(E_SourceStreams!$A:$N,EO29,BJ$7)="","",INDEX(E_SourceStreams!$A:$N,EO29,BJ$7)))</f>
        <v/>
      </c>
      <c r="BK29" s="703" t="str">
        <f>IF($E29="","",IF(INDEX(E_SourceStreams!$A:$N,EP29,BK$7)="","",INDEX(E_SourceStreams!$A:$N,EP29,BK$7)))</f>
        <v/>
      </c>
      <c r="BL29" s="703" t="str">
        <f>IF($E29="","",IF(INDEX(E_SourceStreams!$A:$N,EQ29,BL$7)="","",INDEX(E_SourceStreams!$A:$N,EQ29,BL$7)))</f>
        <v/>
      </c>
      <c r="BM29" s="703" t="str">
        <f>IF($E29="","",IF(INDEX(E_SourceStreams!$A:$N,ER29,BM$7)="","",INDEX(E_SourceStreams!$A:$N,ER29,BM$7)))</f>
        <v/>
      </c>
      <c r="BN29" s="703" t="str">
        <f>IF($E29="","",IF(INDEX(E_SourceStreams!$A:$N,ES29,BN$7)="","",INDEX(E_SourceStreams!$A:$N,ES29,BN$7)))</f>
        <v/>
      </c>
      <c r="BO29" s="703" t="str">
        <f>IF($E29="","",IF(INDEX(E_SourceStreams!$A:$N,ET29,BO$7)="","",INDEX(E_SourceStreams!$A:$N,ET29,BO$7)))</f>
        <v/>
      </c>
      <c r="BP29" s="703" t="str">
        <f>IF($E29="","",IF(INDEX(E_SourceStreams!$A:$N,EU29,BP$7)="","",INDEX(E_SourceStreams!$A:$N,EU29,BP$7)))</f>
        <v/>
      </c>
      <c r="BQ29" s="703" t="str">
        <f>IF($E29="","",IF(INDEX(E_SourceStreams!$A:$N,EV29,BQ$7)="","",INDEX(E_SourceStreams!$A:$N,EV29,BQ$7)))</f>
        <v/>
      </c>
      <c r="BR29" s="703" t="str">
        <f>IF($E29="","",IF(INDEX(E_SourceStreams!$A:$N,EW29,BR$7)="","",INDEX(E_SourceStreams!$A:$N,EW29,BR$7)))</f>
        <v/>
      </c>
      <c r="BS29" s="703" t="str">
        <f>IF($E29="","",IF(INDEX(E_SourceStreams!$A:$N,EX29,BS$7)="","",INDEX(E_SourceStreams!$A:$N,EX29,BS$7)))</f>
        <v/>
      </c>
      <c r="BT29" s="703" t="str">
        <f>IF($E29="","",IF(INDEX(E_SourceStreams!$A:$N,EY29,BT$7)="","",INDEX(E_SourceStreams!$A:$N,EY29,BT$7)))</f>
        <v/>
      </c>
      <c r="BU29" s="625"/>
      <c r="CJ29" s="679" t="str">
        <f t="shared" si="0"/>
        <v>SourceCategory_</v>
      </c>
      <c r="CK29" s="679" t="b">
        <f>INDEX(C_InstallationDescription!$A$226:$A$332,ROWS($CI$11:CI29))="ausblenden"</f>
        <v>0</v>
      </c>
      <c r="CL29" s="679" t="str">
        <f t="shared" si="1"/>
        <v>SourceStreamName_</v>
      </c>
      <c r="CN29" s="679">
        <f t="shared" si="65"/>
        <v>1323</v>
      </c>
      <c r="CO29" s="679">
        <f t="shared" si="2"/>
        <v>1325</v>
      </c>
      <c r="CP29" s="679">
        <f t="shared" si="3"/>
        <v>1327</v>
      </c>
      <c r="CQ29" s="679">
        <f t="shared" si="4"/>
        <v>1329</v>
      </c>
      <c r="CR29" s="679">
        <f t="shared" si="5"/>
        <v>1331</v>
      </c>
      <c r="CS29" s="679">
        <f t="shared" si="6"/>
        <v>1333</v>
      </c>
      <c r="CT29" s="679">
        <f t="shared" si="7"/>
        <v>1335</v>
      </c>
      <c r="CU29" s="679">
        <f t="shared" si="8"/>
        <v>1335</v>
      </c>
      <c r="CV29" s="679">
        <f t="shared" si="9"/>
        <v>1335</v>
      </c>
      <c r="CW29" s="679">
        <f t="shared" si="10"/>
        <v>1335</v>
      </c>
      <c r="CX29" s="679">
        <f t="shared" si="11"/>
        <v>1335</v>
      </c>
      <c r="CY29" s="679">
        <f t="shared" si="12"/>
        <v>1338</v>
      </c>
      <c r="CZ29" s="679">
        <f t="shared" si="13"/>
        <v>1342</v>
      </c>
      <c r="DA29" s="679">
        <f t="shared" si="14"/>
        <v>1343</v>
      </c>
      <c r="DB29" s="679">
        <f t="shared" si="15"/>
        <v>1344</v>
      </c>
      <c r="DC29" s="679">
        <f t="shared" si="16"/>
        <v>1351</v>
      </c>
      <c r="DD29" s="679">
        <f t="shared" si="17"/>
        <v>1361</v>
      </c>
      <c r="DE29" s="679">
        <f t="shared" si="18"/>
        <v>1361</v>
      </c>
      <c r="DF29" s="679">
        <f t="shared" si="19"/>
        <v>1361</v>
      </c>
      <c r="DG29" s="679">
        <f t="shared" si="20"/>
        <v>1361</v>
      </c>
      <c r="DH29" s="679">
        <f t="shared" si="21"/>
        <v>1361</v>
      </c>
      <c r="DI29" s="679">
        <f t="shared" si="22"/>
        <v>1361</v>
      </c>
      <c r="DJ29" s="679">
        <f t="shared" si="23"/>
        <v>1361</v>
      </c>
      <c r="DK29" s="679">
        <f t="shared" si="24"/>
        <v>1352</v>
      </c>
      <c r="DL29" s="679">
        <f t="shared" si="25"/>
        <v>1362</v>
      </c>
      <c r="DM29" s="679">
        <f t="shared" si="26"/>
        <v>1362</v>
      </c>
      <c r="DN29" s="679">
        <f t="shared" si="27"/>
        <v>1362</v>
      </c>
      <c r="DO29" s="679">
        <f t="shared" si="28"/>
        <v>1362</v>
      </c>
      <c r="DP29" s="679">
        <f t="shared" si="29"/>
        <v>1362</v>
      </c>
      <c r="DQ29" s="679">
        <f t="shared" si="30"/>
        <v>1362</v>
      </c>
      <c r="DR29" s="679">
        <f t="shared" si="31"/>
        <v>1362</v>
      </c>
      <c r="DS29" s="679">
        <f t="shared" si="32"/>
        <v>1353</v>
      </c>
      <c r="DT29" s="679">
        <f t="shared" si="33"/>
        <v>1363</v>
      </c>
      <c r="DU29" s="679">
        <f t="shared" si="34"/>
        <v>1363</v>
      </c>
      <c r="DV29" s="679">
        <f t="shared" si="35"/>
        <v>1363</v>
      </c>
      <c r="DW29" s="679">
        <f t="shared" si="36"/>
        <v>1363</v>
      </c>
      <c r="DX29" s="679">
        <f t="shared" si="37"/>
        <v>1363</v>
      </c>
      <c r="DY29" s="679">
        <f t="shared" si="38"/>
        <v>1363</v>
      </c>
      <c r="DZ29" s="679">
        <f t="shared" si="39"/>
        <v>1363</v>
      </c>
      <c r="EA29" s="679">
        <f t="shared" si="40"/>
        <v>1354</v>
      </c>
      <c r="EB29" s="679">
        <f t="shared" si="41"/>
        <v>1364</v>
      </c>
      <c r="EC29" s="679">
        <f t="shared" si="42"/>
        <v>1364</v>
      </c>
      <c r="ED29" s="679">
        <f t="shared" si="43"/>
        <v>1364</v>
      </c>
      <c r="EE29" s="679">
        <f t="shared" si="44"/>
        <v>1364</v>
      </c>
      <c r="EF29" s="679">
        <f t="shared" si="45"/>
        <v>1364</v>
      </c>
      <c r="EG29" s="679">
        <f t="shared" si="46"/>
        <v>1364</v>
      </c>
      <c r="EH29" s="679">
        <f t="shared" si="47"/>
        <v>1364</v>
      </c>
      <c r="EI29" s="679">
        <f t="shared" si="48"/>
        <v>1355</v>
      </c>
      <c r="EJ29" s="679">
        <f t="shared" si="49"/>
        <v>1365</v>
      </c>
      <c r="EK29" s="679">
        <f t="shared" si="50"/>
        <v>1365</v>
      </c>
      <c r="EL29" s="679">
        <f t="shared" si="51"/>
        <v>1365</v>
      </c>
      <c r="EM29" s="679">
        <f t="shared" si="52"/>
        <v>1365</v>
      </c>
      <c r="EN29" s="679">
        <f t="shared" si="53"/>
        <v>1365</v>
      </c>
      <c r="EO29" s="679">
        <f t="shared" si="54"/>
        <v>1365</v>
      </c>
      <c r="EP29" s="679">
        <f t="shared" si="55"/>
        <v>1365</v>
      </c>
      <c r="EQ29" s="679">
        <f t="shared" si="56"/>
        <v>1356</v>
      </c>
      <c r="ER29" s="679">
        <f t="shared" si="57"/>
        <v>1366</v>
      </c>
      <c r="ES29" s="679">
        <f t="shared" si="58"/>
        <v>1366</v>
      </c>
      <c r="ET29" s="679">
        <f t="shared" si="59"/>
        <v>1366</v>
      </c>
      <c r="EU29" s="679">
        <f t="shared" si="60"/>
        <v>1366</v>
      </c>
      <c r="EV29" s="679">
        <f t="shared" si="61"/>
        <v>1366</v>
      </c>
      <c r="EW29" s="679">
        <f t="shared" si="62"/>
        <v>1366</v>
      </c>
      <c r="EX29" s="679">
        <f t="shared" si="63"/>
        <v>1366</v>
      </c>
      <c r="EY29" s="679">
        <f t="shared" si="64"/>
        <v>1372</v>
      </c>
    </row>
    <row r="30" spans="2:155" ht="12.75" customHeight="1" x14ac:dyDescent="0.2">
      <c r="B30" s="700" t="str">
        <f>IF(COUNTIF($CK$10:CK30,TRUE)&gt;0,"",INDEX(C_InstallationDescription!$E$226:$E$242,ROWS($A$11:A30)))</f>
        <v/>
      </c>
      <c r="C30" s="581" t="str">
        <f>IF($E30="","",INDEX(C_InstallationDescription!F:F,MATCH($B30,C_InstallationDescription!$E:$E,0)))</f>
        <v/>
      </c>
      <c r="D30" s="581" t="str">
        <f>IF($E30="","",INDEX(C_InstallationDescription!I:I,MATCH($B30,C_InstallationDescription!$E:$E,0)))</f>
        <v/>
      </c>
      <c r="E30" s="581" t="str">
        <f>IF($B30="","",INDEX(C_InstallationDescription!F:F,MATCH($CJ30,C_InstallationDescription!$Q:$Q,0)))</f>
        <v/>
      </c>
      <c r="F30" s="706" t="str">
        <f>IF($E30="","",INDEX(C_InstallationDescription!L:L,MATCH($CJ30,C_InstallationDescription!$Q:$Q,0)))</f>
        <v/>
      </c>
      <c r="G30" s="581" t="str">
        <f>IF($E30="","",INDEX(C_InstallationDescription!M:M,MATCH($CJ30,C_InstallationDescription!$Q:$Q,0)))</f>
        <v/>
      </c>
      <c r="H30" s="581" t="str">
        <f>IF($E30="","",INDEX(C_InstallationDescription!N:N,MATCH($CJ30,C_InstallationDescription!$Q:$Q,0)))</f>
        <v/>
      </c>
      <c r="I30" s="703" t="str">
        <f>IF($E30="","",IF(INDEX(E_SourceStreams!$A:$N,CN30,I$7)="","",INDEX(E_SourceStreams!$A:$N,CN30,I$7)))</f>
        <v/>
      </c>
      <c r="J30" s="703" t="str">
        <f>IF($E30="","",IF(INDEX(E_SourceStreams!$A:$N,CO30,J$7)="","",INDEX(E_SourceStreams!$A:$N,CO30,J$7)))</f>
        <v/>
      </c>
      <c r="K30" s="703" t="str">
        <f>IF($E30="","",IF(INDEX(E_SourceStreams!$A:$N,CP30,K$7)="","",INDEX(E_SourceStreams!$A:$N,CP30,K$7)))</f>
        <v/>
      </c>
      <c r="L30" s="703" t="str">
        <f>IF($E30="","",IF(INDEX(E_SourceStreams!$A:$N,CQ30,L$7)="","",INDEX(E_SourceStreams!$A:$N,CQ30,L$7)))</f>
        <v/>
      </c>
      <c r="M30" s="703" t="str">
        <f>IF($E30="","",IF(INDEX(E_SourceStreams!$A:$N,CR30,M$7)="","",INDEX(E_SourceStreams!$A:$N,CR30,M$7)))</f>
        <v/>
      </c>
      <c r="N30" s="703" t="str">
        <f>IF($E30="","",IF(INDEX(E_SourceStreams!$A:$N,CS30,N$7)="","",INDEX(E_SourceStreams!$A:$N,CS30,N$7)))</f>
        <v/>
      </c>
      <c r="O30" s="703" t="str">
        <f>IF($E30="","",IF(INDEX(E_SourceStreams!$A:$N,CT30,O$7)="","",INDEX(E_SourceStreams!$A:$N,CT30,O$7)))</f>
        <v/>
      </c>
      <c r="P30" s="703" t="str">
        <f>IF($E30="","",IF(INDEX(E_SourceStreams!$A:$N,CU30,P$7)="","",INDEX(E_SourceStreams!$A:$N,CU30,P$7)))</f>
        <v/>
      </c>
      <c r="Q30" s="703" t="str">
        <f>IF($E30="","",IF(INDEX(E_SourceStreams!$A:$N,CV30,Q$7)="","",INDEX(E_SourceStreams!$A:$N,CV30,Q$7)))</f>
        <v/>
      </c>
      <c r="R30" s="703" t="str">
        <f>IF($E30="","",IF(INDEX(E_SourceStreams!$A:$N,CW30,R$7)="","",INDEX(E_SourceStreams!$A:$N,CW30,R$7)))</f>
        <v/>
      </c>
      <c r="S30" s="703" t="str">
        <f>IF($E30="","",IF(INDEX(E_SourceStreams!$A:$N,CX30,S$7)="","",INDEX(E_SourceStreams!$A:$N,CX30,S$7)))</f>
        <v/>
      </c>
      <c r="T30" s="703" t="str">
        <f>IF($E30="","",IF(INDEX(E_SourceStreams!$A:$N,CY30,T$7)="","",INDEX(E_SourceStreams!$A:$N,CY30,T$7)))</f>
        <v/>
      </c>
      <c r="U30" s="703" t="str">
        <f>IF($E30="","",IF(INDEX(E_SourceStreams!$A:$N,CZ30,U$7)="","",INDEX(E_SourceStreams!$A:$N,CZ30,U$7)))</f>
        <v/>
      </c>
      <c r="V30" s="703" t="str">
        <f>IF($E30="","",IF(INDEX(E_SourceStreams!$A:$N,DA30,V$7)="","",INDEX(E_SourceStreams!$A:$N,DA30,V$7)))</f>
        <v/>
      </c>
      <c r="W30" s="704" t="str">
        <f>IF($E30="","",IF(INDEX(E_SourceStreams!$A:$N,DB30,W$7)="","",INDEX(E_SourceStreams!$A:$N,DB30,W$7)))</f>
        <v/>
      </c>
      <c r="X30" s="703" t="str">
        <f>IF($E30="","",IF(INDEX(E_SourceStreams!$A:$N,DC30,X$7)="","",INDEX(E_SourceStreams!$A:$N,DC30,X$7)))</f>
        <v/>
      </c>
      <c r="Y30" s="703" t="str">
        <f>IF($E30="","",IF(INDEX(E_SourceStreams!$A:$N,DD30,Y$7)="","",INDEX(E_SourceStreams!$A:$N,DD30,Y$7)))</f>
        <v/>
      </c>
      <c r="Z30" s="703" t="str">
        <f>IF($E30="","",IF(INDEX(E_SourceStreams!$A:$N,DE30,Z$7)="","",INDEX(E_SourceStreams!$A:$N,DE30,Z$7)))</f>
        <v/>
      </c>
      <c r="AA30" s="703" t="str">
        <f>IF($E30="","",IF(INDEX(E_SourceStreams!$A:$N,DF30,AA$7)="","",INDEX(E_SourceStreams!$A:$N,DF30,AA$7)))</f>
        <v/>
      </c>
      <c r="AB30" s="703" t="str">
        <f>IF($E30="","",IF(INDEX(E_SourceStreams!$A:$N,DG30,AB$7)="","",INDEX(E_SourceStreams!$A:$N,DG30,AB$7)))</f>
        <v/>
      </c>
      <c r="AC30" s="703" t="str">
        <f>IF($E30="","",IF(INDEX(E_SourceStreams!$A:$N,DH30,AC$7)="","",INDEX(E_SourceStreams!$A:$N,DH30,AC$7)))</f>
        <v/>
      </c>
      <c r="AD30" s="703" t="str">
        <f>IF($E30="","",IF(INDEX(E_SourceStreams!$A:$N,DI30,AD$7)="","",INDEX(E_SourceStreams!$A:$N,DI30,AD$7)))</f>
        <v/>
      </c>
      <c r="AE30" s="703" t="str">
        <f>IF($E30="","",IF(INDEX(E_SourceStreams!$A:$N,DJ30,AE$7)="","",INDEX(E_SourceStreams!$A:$N,DJ30,AE$7)))</f>
        <v/>
      </c>
      <c r="AF30" s="703" t="str">
        <f>IF($E30="","",IF(INDEX(E_SourceStreams!$A:$N,DK30,AF$7)="","",INDEX(E_SourceStreams!$A:$N,DK30,AF$7)))</f>
        <v/>
      </c>
      <c r="AG30" s="703" t="str">
        <f>IF($E30="","",IF(INDEX(E_SourceStreams!$A:$N,DL30,AG$7)="","",INDEX(E_SourceStreams!$A:$N,DL30,AG$7)))</f>
        <v/>
      </c>
      <c r="AH30" s="703" t="str">
        <f>IF($E30="","",IF(INDEX(E_SourceStreams!$A:$N,DM30,AH$7)="","",INDEX(E_SourceStreams!$A:$N,DM30,AH$7)))</f>
        <v/>
      </c>
      <c r="AI30" s="703" t="str">
        <f>IF($E30="","",IF(INDEX(E_SourceStreams!$A:$N,DN30,AI$7)="","",INDEX(E_SourceStreams!$A:$N,DN30,AI$7)))</f>
        <v/>
      </c>
      <c r="AJ30" s="703" t="str">
        <f>IF($E30="","",IF(INDEX(E_SourceStreams!$A:$N,DO30,AJ$7)="","",INDEX(E_SourceStreams!$A:$N,DO30,AJ$7)))</f>
        <v/>
      </c>
      <c r="AK30" s="703" t="str">
        <f>IF($E30="","",IF(INDEX(E_SourceStreams!$A:$N,DP30,AK$7)="","",INDEX(E_SourceStreams!$A:$N,DP30,AK$7)))</f>
        <v/>
      </c>
      <c r="AL30" s="703" t="str">
        <f>IF($E30="","",IF(INDEX(E_SourceStreams!$A:$N,DQ30,AL$7)="","",INDEX(E_SourceStreams!$A:$N,DQ30,AL$7)))</f>
        <v/>
      </c>
      <c r="AM30" s="703" t="str">
        <f>IF($E30="","",IF(INDEX(E_SourceStreams!$A:$N,DR30,AM$7)="","",INDEX(E_SourceStreams!$A:$N,DR30,AM$7)))</f>
        <v/>
      </c>
      <c r="AN30" s="703" t="str">
        <f>IF($E30="","",IF(INDEX(E_SourceStreams!$A:$N,DS30,AN$7)="","",INDEX(E_SourceStreams!$A:$N,DS30,AN$7)))</f>
        <v/>
      </c>
      <c r="AO30" s="703" t="str">
        <f>IF($E30="","",IF(INDEX(E_SourceStreams!$A:$N,DT30,AO$7)="","",INDEX(E_SourceStreams!$A:$N,DT30,AO$7)))</f>
        <v/>
      </c>
      <c r="AP30" s="703" t="str">
        <f>IF($E30="","",IF(INDEX(E_SourceStreams!$A:$N,DU30,AP$7)="","",INDEX(E_SourceStreams!$A:$N,DU30,AP$7)))</f>
        <v/>
      </c>
      <c r="AQ30" s="703" t="str">
        <f>IF($E30="","",IF(INDEX(E_SourceStreams!$A:$N,DV30,AQ$7)="","",INDEX(E_SourceStreams!$A:$N,DV30,AQ$7)))</f>
        <v/>
      </c>
      <c r="AR30" s="703" t="str">
        <f>IF($E30="","",IF(INDEX(E_SourceStreams!$A:$N,DW30,AR$7)="","",INDEX(E_SourceStreams!$A:$N,DW30,AR$7)))</f>
        <v/>
      </c>
      <c r="AS30" s="703" t="str">
        <f>IF($E30="","",IF(INDEX(E_SourceStreams!$A:$N,DX30,AS$7)="","",INDEX(E_SourceStreams!$A:$N,DX30,AS$7)))</f>
        <v/>
      </c>
      <c r="AT30" s="703" t="str">
        <f>IF($E30="","",IF(INDEX(E_SourceStreams!$A:$N,DY30,AT$7)="","",INDEX(E_SourceStreams!$A:$N,DY30,AT$7)))</f>
        <v/>
      </c>
      <c r="AU30" s="703" t="str">
        <f>IF($E30="","",IF(INDEX(E_SourceStreams!$A:$N,DZ30,AU$7)="","",INDEX(E_SourceStreams!$A:$N,DZ30,AU$7)))</f>
        <v/>
      </c>
      <c r="AV30" s="703" t="str">
        <f>IF($E30="","",IF(INDEX(E_SourceStreams!$A:$N,EA30,AV$7)="","",INDEX(E_SourceStreams!$A:$N,EA30,AV$7)))</f>
        <v/>
      </c>
      <c r="AW30" s="703" t="str">
        <f>IF($E30="","",IF(INDEX(E_SourceStreams!$A:$N,EB30,AW$7)="","",INDEX(E_SourceStreams!$A:$N,EB30,AW$7)))</f>
        <v/>
      </c>
      <c r="AX30" s="703" t="str">
        <f>IF($E30="","",IF(INDEX(E_SourceStreams!$A:$N,EC30,AX$7)="","",INDEX(E_SourceStreams!$A:$N,EC30,AX$7)))</f>
        <v/>
      </c>
      <c r="AY30" s="703" t="str">
        <f>IF($E30="","",IF(INDEX(E_SourceStreams!$A:$N,ED30,AY$7)="","",INDEX(E_SourceStreams!$A:$N,ED30,AY$7)))</f>
        <v/>
      </c>
      <c r="AZ30" s="703" t="str">
        <f>IF($E30="","",IF(INDEX(E_SourceStreams!$A:$N,EE30,AZ$7)="","",INDEX(E_SourceStreams!$A:$N,EE30,AZ$7)))</f>
        <v/>
      </c>
      <c r="BA30" s="703" t="str">
        <f>IF($E30="","",IF(INDEX(E_SourceStreams!$A:$N,EF30,BA$7)="","",INDEX(E_SourceStreams!$A:$N,EF30,BA$7)))</f>
        <v/>
      </c>
      <c r="BB30" s="703" t="str">
        <f>IF($E30="","",IF(INDEX(E_SourceStreams!$A:$N,EG30,BB$7)="","",INDEX(E_SourceStreams!$A:$N,EG30,BB$7)))</f>
        <v/>
      </c>
      <c r="BC30" s="703" t="str">
        <f>IF($E30="","",IF(INDEX(E_SourceStreams!$A:$N,EH30,BC$7)="","",INDEX(E_SourceStreams!$A:$N,EH30,BC$7)))</f>
        <v/>
      </c>
      <c r="BD30" s="703" t="str">
        <f>IF($E30="","",IF(INDEX(E_SourceStreams!$A:$N,EI30,BD$7)="","",INDEX(E_SourceStreams!$A:$N,EI30,BD$7)))</f>
        <v/>
      </c>
      <c r="BE30" s="703" t="str">
        <f>IF($E30="","",IF(INDEX(E_SourceStreams!$A:$N,EJ30,BE$7)="","",INDEX(E_SourceStreams!$A:$N,EJ30,BE$7)))</f>
        <v/>
      </c>
      <c r="BF30" s="703" t="str">
        <f>IF($E30="","",IF(INDEX(E_SourceStreams!$A:$N,EK30,BF$7)="","",INDEX(E_SourceStreams!$A:$N,EK30,BF$7)))</f>
        <v/>
      </c>
      <c r="BG30" s="703" t="str">
        <f>IF($E30="","",IF(INDEX(E_SourceStreams!$A:$N,EL30,BG$7)="","",INDEX(E_SourceStreams!$A:$N,EL30,BG$7)))</f>
        <v/>
      </c>
      <c r="BH30" s="703" t="str">
        <f>IF($E30="","",IF(INDEX(E_SourceStreams!$A:$N,EM30,BH$7)="","",INDEX(E_SourceStreams!$A:$N,EM30,BH$7)))</f>
        <v/>
      </c>
      <c r="BI30" s="703" t="str">
        <f>IF($E30="","",IF(INDEX(E_SourceStreams!$A:$N,EN30,BI$7)="","",INDEX(E_SourceStreams!$A:$N,EN30,BI$7)))</f>
        <v/>
      </c>
      <c r="BJ30" s="703" t="str">
        <f>IF($E30="","",IF(INDEX(E_SourceStreams!$A:$N,EO30,BJ$7)="","",INDEX(E_SourceStreams!$A:$N,EO30,BJ$7)))</f>
        <v/>
      </c>
      <c r="BK30" s="703" t="str">
        <f>IF($E30="","",IF(INDEX(E_SourceStreams!$A:$N,EP30,BK$7)="","",INDEX(E_SourceStreams!$A:$N,EP30,BK$7)))</f>
        <v/>
      </c>
      <c r="BL30" s="703" t="str">
        <f>IF($E30="","",IF(INDEX(E_SourceStreams!$A:$N,EQ30,BL$7)="","",INDEX(E_SourceStreams!$A:$N,EQ30,BL$7)))</f>
        <v/>
      </c>
      <c r="BM30" s="703" t="str">
        <f>IF($E30="","",IF(INDEX(E_SourceStreams!$A:$N,ER30,BM$7)="","",INDEX(E_SourceStreams!$A:$N,ER30,BM$7)))</f>
        <v/>
      </c>
      <c r="BN30" s="703" t="str">
        <f>IF($E30="","",IF(INDEX(E_SourceStreams!$A:$N,ES30,BN$7)="","",INDEX(E_SourceStreams!$A:$N,ES30,BN$7)))</f>
        <v/>
      </c>
      <c r="BO30" s="703" t="str">
        <f>IF($E30="","",IF(INDEX(E_SourceStreams!$A:$N,ET30,BO$7)="","",INDEX(E_SourceStreams!$A:$N,ET30,BO$7)))</f>
        <v/>
      </c>
      <c r="BP30" s="703" t="str">
        <f>IF($E30="","",IF(INDEX(E_SourceStreams!$A:$N,EU30,BP$7)="","",INDEX(E_SourceStreams!$A:$N,EU30,BP$7)))</f>
        <v/>
      </c>
      <c r="BQ30" s="703" t="str">
        <f>IF($E30="","",IF(INDEX(E_SourceStreams!$A:$N,EV30,BQ$7)="","",INDEX(E_SourceStreams!$A:$N,EV30,BQ$7)))</f>
        <v/>
      </c>
      <c r="BR30" s="703" t="str">
        <f>IF($E30="","",IF(INDEX(E_SourceStreams!$A:$N,EW30,BR$7)="","",INDEX(E_SourceStreams!$A:$N,EW30,BR$7)))</f>
        <v/>
      </c>
      <c r="BS30" s="703" t="str">
        <f>IF($E30="","",IF(INDEX(E_SourceStreams!$A:$N,EX30,BS$7)="","",INDEX(E_SourceStreams!$A:$N,EX30,BS$7)))</f>
        <v/>
      </c>
      <c r="BT30" s="703" t="str">
        <f>IF($E30="","",IF(INDEX(E_SourceStreams!$A:$N,EY30,BT$7)="","",INDEX(E_SourceStreams!$A:$N,EY30,BT$7)))</f>
        <v/>
      </c>
      <c r="BU30" s="625"/>
      <c r="CJ30" s="679" t="str">
        <f t="shared" si="0"/>
        <v>SourceCategory_</v>
      </c>
      <c r="CK30" s="679" t="b">
        <f>INDEX(C_InstallationDescription!$A$226:$A$332,ROWS($CI$11:CI30))="ausblenden"</f>
        <v>0</v>
      </c>
      <c r="CL30" s="679" t="str">
        <f t="shared" si="1"/>
        <v>SourceStreamName_</v>
      </c>
      <c r="CN30" s="679">
        <f t="shared" si="65"/>
        <v>1389</v>
      </c>
      <c r="CO30" s="679">
        <f t="shared" si="2"/>
        <v>1391</v>
      </c>
      <c r="CP30" s="679">
        <f t="shared" si="3"/>
        <v>1393</v>
      </c>
      <c r="CQ30" s="679">
        <f t="shared" si="4"/>
        <v>1395</v>
      </c>
      <c r="CR30" s="679">
        <f t="shared" si="5"/>
        <v>1397</v>
      </c>
      <c r="CS30" s="679">
        <f t="shared" si="6"/>
        <v>1399</v>
      </c>
      <c r="CT30" s="679">
        <f t="shared" si="7"/>
        <v>1401</v>
      </c>
      <c r="CU30" s="679">
        <f t="shared" si="8"/>
        <v>1401</v>
      </c>
      <c r="CV30" s="679">
        <f t="shared" si="9"/>
        <v>1401</v>
      </c>
      <c r="CW30" s="679">
        <f t="shared" si="10"/>
        <v>1401</v>
      </c>
      <c r="CX30" s="679">
        <f t="shared" si="11"/>
        <v>1401</v>
      </c>
      <c r="CY30" s="679">
        <f t="shared" si="12"/>
        <v>1404</v>
      </c>
      <c r="CZ30" s="679">
        <f t="shared" si="13"/>
        <v>1408</v>
      </c>
      <c r="DA30" s="679">
        <f t="shared" si="14"/>
        <v>1409</v>
      </c>
      <c r="DB30" s="679">
        <f t="shared" si="15"/>
        <v>1410</v>
      </c>
      <c r="DC30" s="679">
        <f t="shared" si="16"/>
        <v>1417</v>
      </c>
      <c r="DD30" s="679">
        <f t="shared" si="17"/>
        <v>1427</v>
      </c>
      <c r="DE30" s="679">
        <f t="shared" si="18"/>
        <v>1427</v>
      </c>
      <c r="DF30" s="679">
        <f t="shared" si="19"/>
        <v>1427</v>
      </c>
      <c r="DG30" s="679">
        <f t="shared" si="20"/>
        <v>1427</v>
      </c>
      <c r="DH30" s="679">
        <f t="shared" si="21"/>
        <v>1427</v>
      </c>
      <c r="DI30" s="679">
        <f t="shared" si="22"/>
        <v>1427</v>
      </c>
      <c r="DJ30" s="679">
        <f t="shared" si="23"/>
        <v>1427</v>
      </c>
      <c r="DK30" s="679">
        <f t="shared" si="24"/>
        <v>1418</v>
      </c>
      <c r="DL30" s="679">
        <f t="shared" si="25"/>
        <v>1428</v>
      </c>
      <c r="DM30" s="679">
        <f t="shared" si="26"/>
        <v>1428</v>
      </c>
      <c r="DN30" s="679">
        <f t="shared" si="27"/>
        <v>1428</v>
      </c>
      <c r="DO30" s="679">
        <f t="shared" si="28"/>
        <v>1428</v>
      </c>
      <c r="DP30" s="679">
        <f t="shared" si="29"/>
        <v>1428</v>
      </c>
      <c r="DQ30" s="679">
        <f t="shared" si="30"/>
        <v>1428</v>
      </c>
      <c r="DR30" s="679">
        <f t="shared" si="31"/>
        <v>1428</v>
      </c>
      <c r="DS30" s="679">
        <f t="shared" si="32"/>
        <v>1419</v>
      </c>
      <c r="DT30" s="679">
        <f t="shared" si="33"/>
        <v>1429</v>
      </c>
      <c r="DU30" s="679">
        <f t="shared" si="34"/>
        <v>1429</v>
      </c>
      <c r="DV30" s="679">
        <f t="shared" si="35"/>
        <v>1429</v>
      </c>
      <c r="DW30" s="679">
        <f t="shared" si="36"/>
        <v>1429</v>
      </c>
      <c r="DX30" s="679">
        <f t="shared" si="37"/>
        <v>1429</v>
      </c>
      <c r="DY30" s="679">
        <f t="shared" si="38"/>
        <v>1429</v>
      </c>
      <c r="DZ30" s="679">
        <f t="shared" si="39"/>
        <v>1429</v>
      </c>
      <c r="EA30" s="679">
        <f t="shared" si="40"/>
        <v>1420</v>
      </c>
      <c r="EB30" s="679">
        <f t="shared" si="41"/>
        <v>1430</v>
      </c>
      <c r="EC30" s="679">
        <f t="shared" si="42"/>
        <v>1430</v>
      </c>
      <c r="ED30" s="679">
        <f t="shared" si="43"/>
        <v>1430</v>
      </c>
      <c r="EE30" s="679">
        <f t="shared" si="44"/>
        <v>1430</v>
      </c>
      <c r="EF30" s="679">
        <f t="shared" si="45"/>
        <v>1430</v>
      </c>
      <c r="EG30" s="679">
        <f t="shared" si="46"/>
        <v>1430</v>
      </c>
      <c r="EH30" s="679">
        <f t="shared" si="47"/>
        <v>1430</v>
      </c>
      <c r="EI30" s="679">
        <f t="shared" si="48"/>
        <v>1421</v>
      </c>
      <c r="EJ30" s="679">
        <f t="shared" si="49"/>
        <v>1431</v>
      </c>
      <c r="EK30" s="679">
        <f t="shared" si="50"/>
        <v>1431</v>
      </c>
      <c r="EL30" s="679">
        <f t="shared" si="51"/>
        <v>1431</v>
      </c>
      <c r="EM30" s="679">
        <f t="shared" si="52"/>
        <v>1431</v>
      </c>
      <c r="EN30" s="679">
        <f t="shared" si="53"/>
        <v>1431</v>
      </c>
      <c r="EO30" s="679">
        <f t="shared" si="54"/>
        <v>1431</v>
      </c>
      <c r="EP30" s="679">
        <f t="shared" si="55"/>
        <v>1431</v>
      </c>
      <c r="EQ30" s="679">
        <f t="shared" si="56"/>
        <v>1422</v>
      </c>
      <c r="ER30" s="679">
        <f t="shared" si="57"/>
        <v>1432</v>
      </c>
      <c r="ES30" s="679">
        <f t="shared" si="58"/>
        <v>1432</v>
      </c>
      <c r="ET30" s="679">
        <f t="shared" si="59"/>
        <v>1432</v>
      </c>
      <c r="EU30" s="679">
        <f t="shared" si="60"/>
        <v>1432</v>
      </c>
      <c r="EV30" s="679">
        <f t="shared" si="61"/>
        <v>1432</v>
      </c>
      <c r="EW30" s="679">
        <f t="shared" si="62"/>
        <v>1432</v>
      </c>
      <c r="EX30" s="679">
        <f t="shared" si="63"/>
        <v>1432</v>
      </c>
      <c r="EY30" s="679">
        <f t="shared" si="64"/>
        <v>1438</v>
      </c>
    </row>
    <row r="31" spans="2:155" ht="12.75" customHeight="1" x14ac:dyDescent="0.2">
      <c r="B31" s="700" t="str">
        <f>IF(COUNTIF($CK$10:CK31,TRUE)&gt;0,"",INDEX(C_InstallationDescription!$E$226:$E$242,ROWS($A$11:A31)))</f>
        <v/>
      </c>
      <c r="C31" s="581" t="str">
        <f>IF($E31="","",INDEX(C_InstallationDescription!F:F,MATCH($B31,C_InstallationDescription!$E:$E,0)))</f>
        <v/>
      </c>
      <c r="D31" s="581" t="str">
        <f>IF($E31="","",INDEX(C_InstallationDescription!I:I,MATCH($B31,C_InstallationDescription!$E:$E,0)))</f>
        <v/>
      </c>
      <c r="E31" s="581" t="str">
        <f>IF($B31="","",INDEX(C_InstallationDescription!F:F,MATCH($CJ31,C_InstallationDescription!$Q:$Q,0)))</f>
        <v/>
      </c>
      <c r="F31" s="706" t="str">
        <f>IF($E31="","",INDEX(C_InstallationDescription!L:L,MATCH($CJ31,C_InstallationDescription!$Q:$Q,0)))</f>
        <v/>
      </c>
      <c r="G31" s="581" t="str">
        <f>IF($E31="","",INDEX(C_InstallationDescription!M:M,MATCH($CJ31,C_InstallationDescription!$Q:$Q,0)))</f>
        <v/>
      </c>
      <c r="H31" s="581" t="str">
        <f>IF($E31="","",INDEX(C_InstallationDescription!N:N,MATCH($CJ31,C_InstallationDescription!$Q:$Q,0)))</f>
        <v/>
      </c>
      <c r="I31" s="703" t="str">
        <f>IF($E31="","",IF(INDEX(E_SourceStreams!$A:$N,CN31,I$7)="","",INDEX(E_SourceStreams!$A:$N,CN31,I$7)))</f>
        <v/>
      </c>
      <c r="J31" s="703" t="str">
        <f>IF($E31="","",IF(INDEX(E_SourceStreams!$A:$N,CO31,J$7)="","",INDEX(E_SourceStreams!$A:$N,CO31,J$7)))</f>
        <v/>
      </c>
      <c r="K31" s="703" t="str">
        <f>IF($E31="","",IF(INDEX(E_SourceStreams!$A:$N,CP31,K$7)="","",INDEX(E_SourceStreams!$A:$N,CP31,K$7)))</f>
        <v/>
      </c>
      <c r="L31" s="703" t="str">
        <f>IF($E31="","",IF(INDEX(E_SourceStreams!$A:$N,CQ31,L$7)="","",INDEX(E_SourceStreams!$A:$N,CQ31,L$7)))</f>
        <v/>
      </c>
      <c r="M31" s="703" t="str">
        <f>IF($E31="","",IF(INDEX(E_SourceStreams!$A:$N,CR31,M$7)="","",INDEX(E_SourceStreams!$A:$N,CR31,M$7)))</f>
        <v/>
      </c>
      <c r="N31" s="703" t="str">
        <f>IF($E31="","",IF(INDEX(E_SourceStreams!$A:$N,CS31,N$7)="","",INDEX(E_SourceStreams!$A:$N,CS31,N$7)))</f>
        <v/>
      </c>
      <c r="O31" s="703" t="str">
        <f>IF($E31="","",IF(INDEX(E_SourceStreams!$A:$N,CT31,O$7)="","",INDEX(E_SourceStreams!$A:$N,CT31,O$7)))</f>
        <v/>
      </c>
      <c r="P31" s="703" t="str">
        <f>IF($E31="","",IF(INDEX(E_SourceStreams!$A:$N,CU31,P$7)="","",INDEX(E_SourceStreams!$A:$N,CU31,P$7)))</f>
        <v/>
      </c>
      <c r="Q31" s="703" t="str">
        <f>IF($E31="","",IF(INDEX(E_SourceStreams!$A:$N,CV31,Q$7)="","",INDEX(E_SourceStreams!$A:$N,CV31,Q$7)))</f>
        <v/>
      </c>
      <c r="R31" s="703" t="str">
        <f>IF($E31="","",IF(INDEX(E_SourceStreams!$A:$N,CW31,R$7)="","",INDEX(E_SourceStreams!$A:$N,CW31,R$7)))</f>
        <v/>
      </c>
      <c r="S31" s="703" t="str">
        <f>IF($E31="","",IF(INDEX(E_SourceStreams!$A:$N,CX31,S$7)="","",INDEX(E_SourceStreams!$A:$N,CX31,S$7)))</f>
        <v/>
      </c>
      <c r="T31" s="703" t="str">
        <f>IF($E31="","",IF(INDEX(E_SourceStreams!$A:$N,CY31,T$7)="","",INDEX(E_SourceStreams!$A:$N,CY31,T$7)))</f>
        <v/>
      </c>
      <c r="U31" s="703" t="str">
        <f>IF($E31="","",IF(INDEX(E_SourceStreams!$A:$N,CZ31,U$7)="","",INDEX(E_SourceStreams!$A:$N,CZ31,U$7)))</f>
        <v/>
      </c>
      <c r="V31" s="703" t="str">
        <f>IF($E31="","",IF(INDEX(E_SourceStreams!$A:$N,DA31,V$7)="","",INDEX(E_SourceStreams!$A:$N,DA31,V$7)))</f>
        <v/>
      </c>
      <c r="W31" s="704" t="str">
        <f>IF($E31="","",IF(INDEX(E_SourceStreams!$A:$N,DB31,W$7)="","",INDEX(E_SourceStreams!$A:$N,DB31,W$7)))</f>
        <v/>
      </c>
      <c r="X31" s="703" t="str">
        <f>IF($E31="","",IF(INDEX(E_SourceStreams!$A:$N,DC31,X$7)="","",INDEX(E_SourceStreams!$A:$N,DC31,X$7)))</f>
        <v/>
      </c>
      <c r="Y31" s="703" t="str">
        <f>IF($E31="","",IF(INDEX(E_SourceStreams!$A:$N,DD31,Y$7)="","",INDEX(E_SourceStreams!$A:$N,DD31,Y$7)))</f>
        <v/>
      </c>
      <c r="Z31" s="703" t="str">
        <f>IF($E31="","",IF(INDEX(E_SourceStreams!$A:$N,DE31,Z$7)="","",INDEX(E_SourceStreams!$A:$N,DE31,Z$7)))</f>
        <v/>
      </c>
      <c r="AA31" s="703" t="str">
        <f>IF($E31="","",IF(INDEX(E_SourceStreams!$A:$N,DF31,AA$7)="","",INDEX(E_SourceStreams!$A:$N,DF31,AA$7)))</f>
        <v/>
      </c>
      <c r="AB31" s="703" t="str">
        <f>IF($E31="","",IF(INDEX(E_SourceStreams!$A:$N,DG31,AB$7)="","",INDEX(E_SourceStreams!$A:$N,DG31,AB$7)))</f>
        <v/>
      </c>
      <c r="AC31" s="703" t="str">
        <f>IF($E31="","",IF(INDEX(E_SourceStreams!$A:$N,DH31,AC$7)="","",INDEX(E_SourceStreams!$A:$N,DH31,AC$7)))</f>
        <v/>
      </c>
      <c r="AD31" s="703" t="str">
        <f>IF($E31="","",IF(INDEX(E_SourceStreams!$A:$N,DI31,AD$7)="","",INDEX(E_SourceStreams!$A:$N,DI31,AD$7)))</f>
        <v/>
      </c>
      <c r="AE31" s="703" t="str">
        <f>IF($E31="","",IF(INDEX(E_SourceStreams!$A:$N,DJ31,AE$7)="","",INDEX(E_SourceStreams!$A:$N,DJ31,AE$7)))</f>
        <v/>
      </c>
      <c r="AF31" s="703" t="str">
        <f>IF($E31="","",IF(INDEX(E_SourceStreams!$A:$N,DK31,AF$7)="","",INDEX(E_SourceStreams!$A:$N,DK31,AF$7)))</f>
        <v/>
      </c>
      <c r="AG31" s="703" t="str">
        <f>IF($E31="","",IF(INDEX(E_SourceStreams!$A:$N,DL31,AG$7)="","",INDEX(E_SourceStreams!$A:$N,DL31,AG$7)))</f>
        <v/>
      </c>
      <c r="AH31" s="703" t="str">
        <f>IF($E31="","",IF(INDEX(E_SourceStreams!$A:$N,DM31,AH$7)="","",INDEX(E_SourceStreams!$A:$N,DM31,AH$7)))</f>
        <v/>
      </c>
      <c r="AI31" s="703" t="str">
        <f>IF($E31="","",IF(INDEX(E_SourceStreams!$A:$N,DN31,AI$7)="","",INDEX(E_SourceStreams!$A:$N,DN31,AI$7)))</f>
        <v/>
      </c>
      <c r="AJ31" s="703" t="str">
        <f>IF($E31="","",IF(INDEX(E_SourceStreams!$A:$N,DO31,AJ$7)="","",INDEX(E_SourceStreams!$A:$N,DO31,AJ$7)))</f>
        <v/>
      </c>
      <c r="AK31" s="703" t="str">
        <f>IF($E31="","",IF(INDEX(E_SourceStreams!$A:$N,DP31,AK$7)="","",INDEX(E_SourceStreams!$A:$N,DP31,AK$7)))</f>
        <v/>
      </c>
      <c r="AL31" s="703" t="str">
        <f>IF($E31="","",IF(INDEX(E_SourceStreams!$A:$N,DQ31,AL$7)="","",INDEX(E_SourceStreams!$A:$N,DQ31,AL$7)))</f>
        <v/>
      </c>
      <c r="AM31" s="703" t="str">
        <f>IF($E31="","",IF(INDEX(E_SourceStreams!$A:$N,DR31,AM$7)="","",INDEX(E_SourceStreams!$A:$N,DR31,AM$7)))</f>
        <v/>
      </c>
      <c r="AN31" s="703" t="str">
        <f>IF($E31="","",IF(INDEX(E_SourceStreams!$A:$N,DS31,AN$7)="","",INDEX(E_SourceStreams!$A:$N,DS31,AN$7)))</f>
        <v/>
      </c>
      <c r="AO31" s="703" t="str">
        <f>IF($E31="","",IF(INDEX(E_SourceStreams!$A:$N,DT31,AO$7)="","",INDEX(E_SourceStreams!$A:$N,DT31,AO$7)))</f>
        <v/>
      </c>
      <c r="AP31" s="703" t="str">
        <f>IF($E31="","",IF(INDEX(E_SourceStreams!$A:$N,DU31,AP$7)="","",INDEX(E_SourceStreams!$A:$N,DU31,AP$7)))</f>
        <v/>
      </c>
      <c r="AQ31" s="703" t="str">
        <f>IF($E31="","",IF(INDEX(E_SourceStreams!$A:$N,DV31,AQ$7)="","",INDEX(E_SourceStreams!$A:$N,DV31,AQ$7)))</f>
        <v/>
      </c>
      <c r="AR31" s="703" t="str">
        <f>IF($E31="","",IF(INDEX(E_SourceStreams!$A:$N,DW31,AR$7)="","",INDEX(E_SourceStreams!$A:$N,DW31,AR$7)))</f>
        <v/>
      </c>
      <c r="AS31" s="703" t="str">
        <f>IF($E31="","",IF(INDEX(E_SourceStreams!$A:$N,DX31,AS$7)="","",INDEX(E_SourceStreams!$A:$N,DX31,AS$7)))</f>
        <v/>
      </c>
      <c r="AT31" s="703" t="str">
        <f>IF($E31="","",IF(INDEX(E_SourceStreams!$A:$N,DY31,AT$7)="","",INDEX(E_SourceStreams!$A:$N,DY31,AT$7)))</f>
        <v/>
      </c>
      <c r="AU31" s="703" t="str">
        <f>IF($E31="","",IF(INDEX(E_SourceStreams!$A:$N,DZ31,AU$7)="","",INDEX(E_SourceStreams!$A:$N,DZ31,AU$7)))</f>
        <v/>
      </c>
      <c r="AV31" s="703" t="str">
        <f>IF($E31="","",IF(INDEX(E_SourceStreams!$A:$N,EA31,AV$7)="","",INDEX(E_SourceStreams!$A:$N,EA31,AV$7)))</f>
        <v/>
      </c>
      <c r="AW31" s="703" t="str">
        <f>IF($E31="","",IF(INDEX(E_SourceStreams!$A:$N,EB31,AW$7)="","",INDEX(E_SourceStreams!$A:$N,EB31,AW$7)))</f>
        <v/>
      </c>
      <c r="AX31" s="703" t="str">
        <f>IF($E31="","",IF(INDEX(E_SourceStreams!$A:$N,EC31,AX$7)="","",INDEX(E_SourceStreams!$A:$N,EC31,AX$7)))</f>
        <v/>
      </c>
      <c r="AY31" s="703" t="str">
        <f>IF($E31="","",IF(INDEX(E_SourceStreams!$A:$N,ED31,AY$7)="","",INDEX(E_SourceStreams!$A:$N,ED31,AY$7)))</f>
        <v/>
      </c>
      <c r="AZ31" s="703" t="str">
        <f>IF($E31="","",IF(INDEX(E_SourceStreams!$A:$N,EE31,AZ$7)="","",INDEX(E_SourceStreams!$A:$N,EE31,AZ$7)))</f>
        <v/>
      </c>
      <c r="BA31" s="703" t="str">
        <f>IF($E31="","",IF(INDEX(E_SourceStreams!$A:$N,EF31,BA$7)="","",INDEX(E_SourceStreams!$A:$N,EF31,BA$7)))</f>
        <v/>
      </c>
      <c r="BB31" s="703" t="str">
        <f>IF($E31="","",IF(INDEX(E_SourceStreams!$A:$N,EG31,BB$7)="","",INDEX(E_SourceStreams!$A:$N,EG31,BB$7)))</f>
        <v/>
      </c>
      <c r="BC31" s="703" t="str">
        <f>IF($E31="","",IF(INDEX(E_SourceStreams!$A:$N,EH31,BC$7)="","",INDEX(E_SourceStreams!$A:$N,EH31,BC$7)))</f>
        <v/>
      </c>
      <c r="BD31" s="703" t="str">
        <f>IF($E31="","",IF(INDEX(E_SourceStreams!$A:$N,EI31,BD$7)="","",INDEX(E_SourceStreams!$A:$N,EI31,BD$7)))</f>
        <v/>
      </c>
      <c r="BE31" s="703" t="str">
        <f>IF($E31="","",IF(INDEX(E_SourceStreams!$A:$N,EJ31,BE$7)="","",INDEX(E_SourceStreams!$A:$N,EJ31,BE$7)))</f>
        <v/>
      </c>
      <c r="BF31" s="703" t="str">
        <f>IF($E31="","",IF(INDEX(E_SourceStreams!$A:$N,EK31,BF$7)="","",INDEX(E_SourceStreams!$A:$N,EK31,BF$7)))</f>
        <v/>
      </c>
      <c r="BG31" s="703" t="str">
        <f>IF($E31="","",IF(INDEX(E_SourceStreams!$A:$N,EL31,BG$7)="","",INDEX(E_SourceStreams!$A:$N,EL31,BG$7)))</f>
        <v/>
      </c>
      <c r="BH31" s="703" t="str">
        <f>IF($E31="","",IF(INDEX(E_SourceStreams!$A:$N,EM31,BH$7)="","",INDEX(E_SourceStreams!$A:$N,EM31,BH$7)))</f>
        <v/>
      </c>
      <c r="BI31" s="703" t="str">
        <f>IF($E31="","",IF(INDEX(E_SourceStreams!$A:$N,EN31,BI$7)="","",INDEX(E_SourceStreams!$A:$N,EN31,BI$7)))</f>
        <v/>
      </c>
      <c r="BJ31" s="703" t="str">
        <f>IF($E31="","",IF(INDEX(E_SourceStreams!$A:$N,EO31,BJ$7)="","",INDEX(E_SourceStreams!$A:$N,EO31,BJ$7)))</f>
        <v/>
      </c>
      <c r="BK31" s="703" t="str">
        <f>IF($E31="","",IF(INDEX(E_SourceStreams!$A:$N,EP31,BK$7)="","",INDEX(E_SourceStreams!$A:$N,EP31,BK$7)))</f>
        <v/>
      </c>
      <c r="BL31" s="703" t="str">
        <f>IF($E31="","",IF(INDEX(E_SourceStreams!$A:$N,EQ31,BL$7)="","",INDEX(E_SourceStreams!$A:$N,EQ31,BL$7)))</f>
        <v/>
      </c>
      <c r="BM31" s="703" t="str">
        <f>IF($E31="","",IF(INDEX(E_SourceStreams!$A:$N,ER31,BM$7)="","",INDEX(E_SourceStreams!$A:$N,ER31,BM$7)))</f>
        <v/>
      </c>
      <c r="BN31" s="703" t="str">
        <f>IF($E31="","",IF(INDEX(E_SourceStreams!$A:$N,ES31,BN$7)="","",INDEX(E_SourceStreams!$A:$N,ES31,BN$7)))</f>
        <v/>
      </c>
      <c r="BO31" s="703" t="str">
        <f>IF($E31="","",IF(INDEX(E_SourceStreams!$A:$N,ET31,BO$7)="","",INDEX(E_SourceStreams!$A:$N,ET31,BO$7)))</f>
        <v/>
      </c>
      <c r="BP31" s="703" t="str">
        <f>IF($E31="","",IF(INDEX(E_SourceStreams!$A:$N,EU31,BP$7)="","",INDEX(E_SourceStreams!$A:$N,EU31,BP$7)))</f>
        <v/>
      </c>
      <c r="BQ31" s="703" t="str">
        <f>IF($E31="","",IF(INDEX(E_SourceStreams!$A:$N,EV31,BQ$7)="","",INDEX(E_SourceStreams!$A:$N,EV31,BQ$7)))</f>
        <v/>
      </c>
      <c r="BR31" s="703" t="str">
        <f>IF($E31="","",IF(INDEX(E_SourceStreams!$A:$N,EW31,BR$7)="","",INDEX(E_SourceStreams!$A:$N,EW31,BR$7)))</f>
        <v/>
      </c>
      <c r="BS31" s="703" t="str">
        <f>IF($E31="","",IF(INDEX(E_SourceStreams!$A:$N,EX31,BS$7)="","",INDEX(E_SourceStreams!$A:$N,EX31,BS$7)))</f>
        <v/>
      </c>
      <c r="BT31" s="703" t="str">
        <f>IF($E31="","",IF(INDEX(E_SourceStreams!$A:$N,EY31,BT$7)="","",INDEX(E_SourceStreams!$A:$N,EY31,BT$7)))</f>
        <v/>
      </c>
      <c r="BU31" s="625"/>
      <c r="CJ31" s="679" t="str">
        <f t="shared" si="0"/>
        <v>SourceCategory_</v>
      </c>
      <c r="CK31" s="679" t="b">
        <f>INDEX(C_InstallationDescription!$A$226:$A$332,ROWS($CI$11:CI31))="ausblenden"</f>
        <v>0</v>
      </c>
      <c r="CL31" s="679" t="str">
        <f t="shared" si="1"/>
        <v>SourceStreamName_</v>
      </c>
      <c r="CN31" s="679">
        <f t="shared" si="65"/>
        <v>1455</v>
      </c>
      <c r="CO31" s="679">
        <f t="shared" si="2"/>
        <v>1457</v>
      </c>
      <c r="CP31" s="679">
        <f t="shared" si="3"/>
        <v>1459</v>
      </c>
      <c r="CQ31" s="679">
        <f t="shared" si="4"/>
        <v>1461</v>
      </c>
      <c r="CR31" s="679">
        <f t="shared" si="5"/>
        <v>1463</v>
      </c>
      <c r="CS31" s="679">
        <f t="shared" si="6"/>
        <v>1465</v>
      </c>
      <c r="CT31" s="679">
        <f t="shared" si="7"/>
        <v>1467</v>
      </c>
      <c r="CU31" s="679">
        <f t="shared" si="8"/>
        <v>1467</v>
      </c>
      <c r="CV31" s="679">
        <f t="shared" si="9"/>
        <v>1467</v>
      </c>
      <c r="CW31" s="679">
        <f t="shared" si="10"/>
        <v>1467</v>
      </c>
      <c r="CX31" s="679">
        <f t="shared" si="11"/>
        <v>1467</v>
      </c>
      <c r="CY31" s="679">
        <f t="shared" si="12"/>
        <v>1470</v>
      </c>
      <c r="CZ31" s="679">
        <f t="shared" si="13"/>
        <v>1474</v>
      </c>
      <c r="DA31" s="679">
        <f t="shared" si="14"/>
        <v>1475</v>
      </c>
      <c r="DB31" s="679">
        <f t="shared" si="15"/>
        <v>1476</v>
      </c>
      <c r="DC31" s="679">
        <f t="shared" si="16"/>
        <v>1483</v>
      </c>
      <c r="DD31" s="679">
        <f t="shared" si="17"/>
        <v>1493</v>
      </c>
      <c r="DE31" s="679">
        <f t="shared" si="18"/>
        <v>1493</v>
      </c>
      <c r="DF31" s="679">
        <f t="shared" si="19"/>
        <v>1493</v>
      </c>
      <c r="DG31" s="679">
        <f t="shared" si="20"/>
        <v>1493</v>
      </c>
      <c r="DH31" s="679">
        <f t="shared" si="21"/>
        <v>1493</v>
      </c>
      <c r="DI31" s="679">
        <f t="shared" si="22"/>
        <v>1493</v>
      </c>
      <c r="DJ31" s="679">
        <f t="shared" si="23"/>
        <v>1493</v>
      </c>
      <c r="DK31" s="679">
        <f t="shared" si="24"/>
        <v>1484</v>
      </c>
      <c r="DL31" s="679">
        <f t="shared" si="25"/>
        <v>1494</v>
      </c>
      <c r="DM31" s="679">
        <f t="shared" si="26"/>
        <v>1494</v>
      </c>
      <c r="DN31" s="679">
        <f t="shared" si="27"/>
        <v>1494</v>
      </c>
      <c r="DO31" s="679">
        <f t="shared" si="28"/>
        <v>1494</v>
      </c>
      <c r="DP31" s="679">
        <f t="shared" si="29"/>
        <v>1494</v>
      </c>
      <c r="DQ31" s="679">
        <f t="shared" si="30"/>
        <v>1494</v>
      </c>
      <c r="DR31" s="679">
        <f t="shared" si="31"/>
        <v>1494</v>
      </c>
      <c r="DS31" s="679">
        <f t="shared" si="32"/>
        <v>1485</v>
      </c>
      <c r="DT31" s="679">
        <f t="shared" si="33"/>
        <v>1495</v>
      </c>
      <c r="DU31" s="679">
        <f t="shared" si="34"/>
        <v>1495</v>
      </c>
      <c r="DV31" s="679">
        <f t="shared" si="35"/>
        <v>1495</v>
      </c>
      <c r="DW31" s="679">
        <f t="shared" si="36"/>
        <v>1495</v>
      </c>
      <c r="DX31" s="679">
        <f t="shared" si="37"/>
        <v>1495</v>
      </c>
      <c r="DY31" s="679">
        <f t="shared" si="38"/>
        <v>1495</v>
      </c>
      <c r="DZ31" s="679">
        <f t="shared" si="39"/>
        <v>1495</v>
      </c>
      <c r="EA31" s="679">
        <f t="shared" si="40"/>
        <v>1486</v>
      </c>
      <c r="EB31" s="679">
        <f t="shared" si="41"/>
        <v>1496</v>
      </c>
      <c r="EC31" s="679">
        <f t="shared" si="42"/>
        <v>1496</v>
      </c>
      <c r="ED31" s="679">
        <f t="shared" si="43"/>
        <v>1496</v>
      </c>
      <c r="EE31" s="679">
        <f t="shared" si="44"/>
        <v>1496</v>
      </c>
      <c r="EF31" s="679">
        <f t="shared" si="45"/>
        <v>1496</v>
      </c>
      <c r="EG31" s="679">
        <f t="shared" si="46"/>
        <v>1496</v>
      </c>
      <c r="EH31" s="679">
        <f t="shared" si="47"/>
        <v>1496</v>
      </c>
      <c r="EI31" s="679">
        <f t="shared" si="48"/>
        <v>1487</v>
      </c>
      <c r="EJ31" s="679">
        <f t="shared" si="49"/>
        <v>1497</v>
      </c>
      <c r="EK31" s="679">
        <f t="shared" si="50"/>
        <v>1497</v>
      </c>
      <c r="EL31" s="679">
        <f t="shared" si="51"/>
        <v>1497</v>
      </c>
      <c r="EM31" s="679">
        <f t="shared" si="52"/>
        <v>1497</v>
      </c>
      <c r="EN31" s="679">
        <f t="shared" si="53"/>
        <v>1497</v>
      </c>
      <c r="EO31" s="679">
        <f t="shared" si="54"/>
        <v>1497</v>
      </c>
      <c r="EP31" s="679">
        <f t="shared" si="55"/>
        <v>1497</v>
      </c>
      <c r="EQ31" s="679">
        <f t="shared" si="56"/>
        <v>1488</v>
      </c>
      <c r="ER31" s="679">
        <f t="shared" si="57"/>
        <v>1498</v>
      </c>
      <c r="ES31" s="679">
        <f t="shared" si="58"/>
        <v>1498</v>
      </c>
      <c r="ET31" s="679">
        <f t="shared" si="59"/>
        <v>1498</v>
      </c>
      <c r="EU31" s="679">
        <f t="shared" si="60"/>
        <v>1498</v>
      </c>
      <c r="EV31" s="679">
        <f t="shared" si="61"/>
        <v>1498</v>
      </c>
      <c r="EW31" s="679">
        <f t="shared" si="62"/>
        <v>1498</v>
      </c>
      <c r="EX31" s="679">
        <f t="shared" si="63"/>
        <v>1498</v>
      </c>
      <c r="EY31" s="679">
        <f t="shared" si="64"/>
        <v>1504</v>
      </c>
    </row>
    <row r="32" spans="2:155" ht="12.75" customHeight="1" x14ac:dyDescent="0.2">
      <c r="B32" s="700" t="str">
        <f>IF(COUNTIF($CK$10:CK32,TRUE)&gt;0,"",INDEX(C_InstallationDescription!$E$226:$E$242,ROWS($A$11:A32)))</f>
        <v/>
      </c>
      <c r="C32" s="581" t="str">
        <f>IF($E32="","",INDEX(C_InstallationDescription!F:F,MATCH($B32,C_InstallationDescription!$E:$E,0)))</f>
        <v/>
      </c>
      <c r="D32" s="581" t="str">
        <f>IF($E32="","",INDEX(C_InstallationDescription!I:I,MATCH($B32,C_InstallationDescription!$E:$E,0)))</f>
        <v/>
      </c>
      <c r="E32" s="581" t="str">
        <f>IF($B32="","",INDEX(C_InstallationDescription!F:F,MATCH($CJ32,C_InstallationDescription!$Q:$Q,0)))</f>
        <v/>
      </c>
      <c r="F32" s="706" t="str">
        <f>IF($E32="","",INDEX(C_InstallationDescription!L:L,MATCH($CJ32,C_InstallationDescription!$Q:$Q,0)))</f>
        <v/>
      </c>
      <c r="G32" s="581" t="str">
        <f>IF($E32="","",INDEX(C_InstallationDescription!M:M,MATCH($CJ32,C_InstallationDescription!$Q:$Q,0)))</f>
        <v/>
      </c>
      <c r="H32" s="581" t="str">
        <f>IF($E32="","",INDEX(C_InstallationDescription!N:N,MATCH($CJ32,C_InstallationDescription!$Q:$Q,0)))</f>
        <v/>
      </c>
      <c r="I32" s="703" t="str">
        <f>IF($E32="","",IF(INDEX(E_SourceStreams!$A:$N,CN32,I$7)="","",INDEX(E_SourceStreams!$A:$N,CN32,I$7)))</f>
        <v/>
      </c>
      <c r="J32" s="703" t="str">
        <f>IF($E32="","",IF(INDEX(E_SourceStreams!$A:$N,CO32,J$7)="","",INDEX(E_SourceStreams!$A:$N,CO32,J$7)))</f>
        <v/>
      </c>
      <c r="K32" s="703" t="str">
        <f>IF($E32="","",IF(INDEX(E_SourceStreams!$A:$N,CP32,K$7)="","",INDEX(E_SourceStreams!$A:$N,CP32,K$7)))</f>
        <v/>
      </c>
      <c r="L32" s="703" t="str">
        <f>IF($E32="","",IF(INDEX(E_SourceStreams!$A:$N,CQ32,L$7)="","",INDEX(E_SourceStreams!$A:$N,CQ32,L$7)))</f>
        <v/>
      </c>
      <c r="M32" s="703" t="str">
        <f>IF($E32="","",IF(INDEX(E_SourceStreams!$A:$N,CR32,M$7)="","",INDEX(E_SourceStreams!$A:$N,CR32,M$7)))</f>
        <v/>
      </c>
      <c r="N32" s="703" t="str">
        <f>IF($E32="","",IF(INDEX(E_SourceStreams!$A:$N,CS32,N$7)="","",INDEX(E_SourceStreams!$A:$N,CS32,N$7)))</f>
        <v/>
      </c>
      <c r="O32" s="703" t="str">
        <f>IF($E32="","",IF(INDEX(E_SourceStreams!$A:$N,CT32,O$7)="","",INDEX(E_SourceStreams!$A:$N,CT32,O$7)))</f>
        <v/>
      </c>
      <c r="P32" s="703" t="str">
        <f>IF($E32="","",IF(INDEX(E_SourceStreams!$A:$N,CU32,P$7)="","",INDEX(E_SourceStreams!$A:$N,CU32,P$7)))</f>
        <v/>
      </c>
      <c r="Q32" s="703" t="str">
        <f>IF($E32="","",IF(INDEX(E_SourceStreams!$A:$N,CV32,Q$7)="","",INDEX(E_SourceStreams!$A:$N,CV32,Q$7)))</f>
        <v/>
      </c>
      <c r="R32" s="703" t="str">
        <f>IF($E32="","",IF(INDEX(E_SourceStreams!$A:$N,CW32,R$7)="","",INDEX(E_SourceStreams!$A:$N,CW32,R$7)))</f>
        <v/>
      </c>
      <c r="S32" s="703" t="str">
        <f>IF($E32="","",IF(INDEX(E_SourceStreams!$A:$N,CX32,S$7)="","",INDEX(E_SourceStreams!$A:$N,CX32,S$7)))</f>
        <v/>
      </c>
      <c r="T32" s="703" t="str">
        <f>IF($E32="","",IF(INDEX(E_SourceStreams!$A:$N,CY32,T$7)="","",INDEX(E_SourceStreams!$A:$N,CY32,T$7)))</f>
        <v/>
      </c>
      <c r="U32" s="703" t="str">
        <f>IF($E32="","",IF(INDEX(E_SourceStreams!$A:$N,CZ32,U$7)="","",INDEX(E_SourceStreams!$A:$N,CZ32,U$7)))</f>
        <v/>
      </c>
      <c r="V32" s="703" t="str">
        <f>IF($E32="","",IF(INDEX(E_SourceStreams!$A:$N,DA32,V$7)="","",INDEX(E_SourceStreams!$A:$N,DA32,V$7)))</f>
        <v/>
      </c>
      <c r="W32" s="704" t="str">
        <f>IF($E32="","",IF(INDEX(E_SourceStreams!$A:$N,DB32,W$7)="","",INDEX(E_SourceStreams!$A:$N,DB32,W$7)))</f>
        <v/>
      </c>
      <c r="X32" s="703" t="str">
        <f>IF($E32="","",IF(INDEX(E_SourceStreams!$A:$N,DC32,X$7)="","",INDEX(E_SourceStreams!$A:$N,DC32,X$7)))</f>
        <v/>
      </c>
      <c r="Y32" s="703" t="str">
        <f>IF($E32="","",IF(INDEX(E_SourceStreams!$A:$N,DD32,Y$7)="","",INDEX(E_SourceStreams!$A:$N,DD32,Y$7)))</f>
        <v/>
      </c>
      <c r="Z32" s="703" t="str">
        <f>IF($E32="","",IF(INDEX(E_SourceStreams!$A:$N,DE32,Z$7)="","",INDEX(E_SourceStreams!$A:$N,DE32,Z$7)))</f>
        <v/>
      </c>
      <c r="AA32" s="703" t="str">
        <f>IF($E32="","",IF(INDEX(E_SourceStreams!$A:$N,DF32,AA$7)="","",INDEX(E_SourceStreams!$A:$N,DF32,AA$7)))</f>
        <v/>
      </c>
      <c r="AB32" s="703" t="str">
        <f>IF($E32="","",IF(INDEX(E_SourceStreams!$A:$N,DG32,AB$7)="","",INDEX(E_SourceStreams!$A:$N,DG32,AB$7)))</f>
        <v/>
      </c>
      <c r="AC32" s="703" t="str">
        <f>IF($E32="","",IF(INDEX(E_SourceStreams!$A:$N,DH32,AC$7)="","",INDEX(E_SourceStreams!$A:$N,DH32,AC$7)))</f>
        <v/>
      </c>
      <c r="AD32" s="703" t="str">
        <f>IF($E32="","",IF(INDEX(E_SourceStreams!$A:$N,DI32,AD$7)="","",INDEX(E_SourceStreams!$A:$N,DI32,AD$7)))</f>
        <v/>
      </c>
      <c r="AE32" s="703" t="str">
        <f>IF($E32="","",IF(INDEX(E_SourceStreams!$A:$N,DJ32,AE$7)="","",INDEX(E_SourceStreams!$A:$N,DJ32,AE$7)))</f>
        <v/>
      </c>
      <c r="AF32" s="703" t="str">
        <f>IF($E32="","",IF(INDEX(E_SourceStreams!$A:$N,DK32,AF$7)="","",INDEX(E_SourceStreams!$A:$N,DK32,AF$7)))</f>
        <v/>
      </c>
      <c r="AG32" s="703" t="str">
        <f>IF($E32="","",IF(INDEX(E_SourceStreams!$A:$N,DL32,AG$7)="","",INDEX(E_SourceStreams!$A:$N,DL32,AG$7)))</f>
        <v/>
      </c>
      <c r="AH32" s="703" t="str">
        <f>IF($E32="","",IF(INDEX(E_SourceStreams!$A:$N,DM32,AH$7)="","",INDEX(E_SourceStreams!$A:$N,DM32,AH$7)))</f>
        <v/>
      </c>
      <c r="AI32" s="703" t="str">
        <f>IF($E32="","",IF(INDEX(E_SourceStreams!$A:$N,DN32,AI$7)="","",INDEX(E_SourceStreams!$A:$N,DN32,AI$7)))</f>
        <v/>
      </c>
      <c r="AJ32" s="703" t="str">
        <f>IF($E32="","",IF(INDEX(E_SourceStreams!$A:$N,DO32,AJ$7)="","",INDEX(E_SourceStreams!$A:$N,DO32,AJ$7)))</f>
        <v/>
      </c>
      <c r="AK32" s="703" t="str">
        <f>IF($E32="","",IF(INDEX(E_SourceStreams!$A:$N,DP32,AK$7)="","",INDEX(E_SourceStreams!$A:$N,DP32,AK$7)))</f>
        <v/>
      </c>
      <c r="AL32" s="703" t="str">
        <f>IF($E32="","",IF(INDEX(E_SourceStreams!$A:$N,DQ32,AL$7)="","",INDEX(E_SourceStreams!$A:$N,DQ32,AL$7)))</f>
        <v/>
      </c>
      <c r="AM32" s="703" t="str">
        <f>IF($E32="","",IF(INDEX(E_SourceStreams!$A:$N,DR32,AM$7)="","",INDEX(E_SourceStreams!$A:$N,DR32,AM$7)))</f>
        <v/>
      </c>
      <c r="AN32" s="703" t="str">
        <f>IF($E32="","",IF(INDEX(E_SourceStreams!$A:$N,DS32,AN$7)="","",INDEX(E_SourceStreams!$A:$N,DS32,AN$7)))</f>
        <v/>
      </c>
      <c r="AO32" s="703" t="str">
        <f>IF($E32="","",IF(INDEX(E_SourceStreams!$A:$N,DT32,AO$7)="","",INDEX(E_SourceStreams!$A:$N,DT32,AO$7)))</f>
        <v/>
      </c>
      <c r="AP32" s="703" t="str">
        <f>IF($E32="","",IF(INDEX(E_SourceStreams!$A:$N,DU32,AP$7)="","",INDEX(E_SourceStreams!$A:$N,DU32,AP$7)))</f>
        <v/>
      </c>
      <c r="AQ32" s="703" t="str">
        <f>IF($E32="","",IF(INDEX(E_SourceStreams!$A:$N,DV32,AQ$7)="","",INDEX(E_SourceStreams!$A:$N,DV32,AQ$7)))</f>
        <v/>
      </c>
      <c r="AR32" s="703" t="str">
        <f>IF($E32="","",IF(INDEX(E_SourceStreams!$A:$N,DW32,AR$7)="","",INDEX(E_SourceStreams!$A:$N,DW32,AR$7)))</f>
        <v/>
      </c>
      <c r="AS32" s="703" t="str">
        <f>IF($E32="","",IF(INDEX(E_SourceStreams!$A:$N,DX32,AS$7)="","",INDEX(E_SourceStreams!$A:$N,DX32,AS$7)))</f>
        <v/>
      </c>
      <c r="AT32" s="703" t="str">
        <f>IF($E32="","",IF(INDEX(E_SourceStreams!$A:$N,DY32,AT$7)="","",INDEX(E_SourceStreams!$A:$N,DY32,AT$7)))</f>
        <v/>
      </c>
      <c r="AU32" s="703" t="str">
        <f>IF($E32="","",IF(INDEX(E_SourceStreams!$A:$N,DZ32,AU$7)="","",INDEX(E_SourceStreams!$A:$N,DZ32,AU$7)))</f>
        <v/>
      </c>
      <c r="AV32" s="703" t="str">
        <f>IF($E32="","",IF(INDEX(E_SourceStreams!$A:$N,EA32,AV$7)="","",INDEX(E_SourceStreams!$A:$N,EA32,AV$7)))</f>
        <v/>
      </c>
      <c r="AW32" s="703" t="str">
        <f>IF($E32="","",IF(INDEX(E_SourceStreams!$A:$N,EB32,AW$7)="","",INDEX(E_SourceStreams!$A:$N,EB32,AW$7)))</f>
        <v/>
      </c>
      <c r="AX32" s="703" t="str">
        <f>IF($E32="","",IF(INDEX(E_SourceStreams!$A:$N,EC32,AX$7)="","",INDEX(E_SourceStreams!$A:$N,EC32,AX$7)))</f>
        <v/>
      </c>
      <c r="AY32" s="703" t="str">
        <f>IF($E32="","",IF(INDEX(E_SourceStreams!$A:$N,ED32,AY$7)="","",INDEX(E_SourceStreams!$A:$N,ED32,AY$7)))</f>
        <v/>
      </c>
      <c r="AZ32" s="703" t="str">
        <f>IF($E32="","",IF(INDEX(E_SourceStreams!$A:$N,EE32,AZ$7)="","",INDEX(E_SourceStreams!$A:$N,EE32,AZ$7)))</f>
        <v/>
      </c>
      <c r="BA32" s="703" t="str">
        <f>IF($E32="","",IF(INDEX(E_SourceStreams!$A:$N,EF32,BA$7)="","",INDEX(E_SourceStreams!$A:$N,EF32,BA$7)))</f>
        <v/>
      </c>
      <c r="BB32" s="703" t="str">
        <f>IF($E32="","",IF(INDEX(E_SourceStreams!$A:$N,EG32,BB$7)="","",INDEX(E_SourceStreams!$A:$N,EG32,BB$7)))</f>
        <v/>
      </c>
      <c r="BC32" s="703" t="str">
        <f>IF($E32="","",IF(INDEX(E_SourceStreams!$A:$N,EH32,BC$7)="","",INDEX(E_SourceStreams!$A:$N,EH32,BC$7)))</f>
        <v/>
      </c>
      <c r="BD32" s="703" t="str">
        <f>IF($E32="","",IF(INDEX(E_SourceStreams!$A:$N,EI32,BD$7)="","",INDEX(E_SourceStreams!$A:$N,EI32,BD$7)))</f>
        <v/>
      </c>
      <c r="BE32" s="703" t="str">
        <f>IF($E32="","",IF(INDEX(E_SourceStreams!$A:$N,EJ32,BE$7)="","",INDEX(E_SourceStreams!$A:$N,EJ32,BE$7)))</f>
        <v/>
      </c>
      <c r="BF32" s="703" t="str">
        <f>IF($E32="","",IF(INDEX(E_SourceStreams!$A:$N,EK32,BF$7)="","",INDEX(E_SourceStreams!$A:$N,EK32,BF$7)))</f>
        <v/>
      </c>
      <c r="BG32" s="703" t="str">
        <f>IF($E32="","",IF(INDEX(E_SourceStreams!$A:$N,EL32,BG$7)="","",INDEX(E_SourceStreams!$A:$N,EL32,BG$7)))</f>
        <v/>
      </c>
      <c r="BH32" s="703" t="str">
        <f>IF($E32="","",IF(INDEX(E_SourceStreams!$A:$N,EM32,BH$7)="","",INDEX(E_SourceStreams!$A:$N,EM32,BH$7)))</f>
        <v/>
      </c>
      <c r="BI32" s="703" t="str">
        <f>IF($E32="","",IF(INDEX(E_SourceStreams!$A:$N,EN32,BI$7)="","",INDEX(E_SourceStreams!$A:$N,EN32,BI$7)))</f>
        <v/>
      </c>
      <c r="BJ32" s="703" t="str">
        <f>IF($E32="","",IF(INDEX(E_SourceStreams!$A:$N,EO32,BJ$7)="","",INDEX(E_SourceStreams!$A:$N,EO32,BJ$7)))</f>
        <v/>
      </c>
      <c r="BK32" s="703" t="str">
        <f>IF($E32="","",IF(INDEX(E_SourceStreams!$A:$N,EP32,BK$7)="","",INDEX(E_SourceStreams!$A:$N,EP32,BK$7)))</f>
        <v/>
      </c>
      <c r="BL32" s="703" t="str">
        <f>IF($E32="","",IF(INDEX(E_SourceStreams!$A:$N,EQ32,BL$7)="","",INDEX(E_SourceStreams!$A:$N,EQ32,BL$7)))</f>
        <v/>
      </c>
      <c r="BM32" s="703" t="str">
        <f>IF($E32="","",IF(INDEX(E_SourceStreams!$A:$N,ER32,BM$7)="","",INDEX(E_SourceStreams!$A:$N,ER32,BM$7)))</f>
        <v/>
      </c>
      <c r="BN32" s="703" t="str">
        <f>IF($E32="","",IF(INDEX(E_SourceStreams!$A:$N,ES32,BN$7)="","",INDEX(E_SourceStreams!$A:$N,ES32,BN$7)))</f>
        <v/>
      </c>
      <c r="BO32" s="703" t="str">
        <f>IF($E32="","",IF(INDEX(E_SourceStreams!$A:$N,ET32,BO$7)="","",INDEX(E_SourceStreams!$A:$N,ET32,BO$7)))</f>
        <v/>
      </c>
      <c r="BP32" s="703" t="str">
        <f>IF($E32="","",IF(INDEX(E_SourceStreams!$A:$N,EU32,BP$7)="","",INDEX(E_SourceStreams!$A:$N,EU32,BP$7)))</f>
        <v/>
      </c>
      <c r="BQ32" s="703" t="str">
        <f>IF($E32="","",IF(INDEX(E_SourceStreams!$A:$N,EV32,BQ$7)="","",INDEX(E_SourceStreams!$A:$N,EV32,BQ$7)))</f>
        <v/>
      </c>
      <c r="BR32" s="703" t="str">
        <f>IF($E32="","",IF(INDEX(E_SourceStreams!$A:$N,EW32,BR$7)="","",INDEX(E_SourceStreams!$A:$N,EW32,BR$7)))</f>
        <v/>
      </c>
      <c r="BS32" s="703" t="str">
        <f>IF($E32="","",IF(INDEX(E_SourceStreams!$A:$N,EX32,BS$7)="","",INDEX(E_SourceStreams!$A:$N,EX32,BS$7)))</f>
        <v/>
      </c>
      <c r="BT32" s="703" t="str">
        <f>IF($E32="","",IF(INDEX(E_SourceStreams!$A:$N,EY32,BT$7)="","",INDEX(E_SourceStreams!$A:$N,EY32,BT$7)))</f>
        <v/>
      </c>
      <c r="BU32" s="625"/>
      <c r="CJ32" s="679" t="str">
        <f t="shared" si="0"/>
        <v>SourceCategory_</v>
      </c>
      <c r="CK32" s="679" t="b">
        <f>INDEX(C_InstallationDescription!$A$226:$A$332,ROWS($CI$11:CI32))="ausblenden"</f>
        <v>0</v>
      </c>
      <c r="CL32" s="679" t="str">
        <f t="shared" si="1"/>
        <v>SourceStreamName_</v>
      </c>
      <c r="CN32" s="679">
        <f t="shared" si="65"/>
        <v>1521</v>
      </c>
      <c r="CO32" s="679">
        <f t="shared" si="2"/>
        <v>1523</v>
      </c>
      <c r="CP32" s="679">
        <f t="shared" si="3"/>
        <v>1525</v>
      </c>
      <c r="CQ32" s="679">
        <f t="shared" si="4"/>
        <v>1527</v>
      </c>
      <c r="CR32" s="679">
        <f t="shared" si="5"/>
        <v>1529</v>
      </c>
      <c r="CS32" s="679">
        <f t="shared" si="6"/>
        <v>1531</v>
      </c>
      <c r="CT32" s="679">
        <f t="shared" si="7"/>
        <v>1533</v>
      </c>
      <c r="CU32" s="679">
        <f t="shared" si="8"/>
        <v>1533</v>
      </c>
      <c r="CV32" s="679">
        <f t="shared" si="9"/>
        <v>1533</v>
      </c>
      <c r="CW32" s="679">
        <f t="shared" si="10"/>
        <v>1533</v>
      </c>
      <c r="CX32" s="679">
        <f t="shared" si="11"/>
        <v>1533</v>
      </c>
      <c r="CY32" s="679">
        <f t="shared" si="12"/>
        <v>1536</v>
      </c>
      <c r="CZ32" s="679">
        <f t="shared" si="13"/>
        <v>1540</v>
      </c>
      <c r="DA32" s="679">
        <f t="shared" si="14"/>
        <v>1541</v>
      </c>
      <c r="DB32" s="679">
        <f t="shared" si="15"/>
        <v>1542</v>
      </c>
      <c r="DC32" s="679">
        <f t="shared" si="16"/>
        <v>1549</v>
      </c>
      <c r="DD32" s="679">
        <f t="shared" si="17"/>
        <v>1559</v>
      </c>
      <c r="DE32" s="679">
        <f t="shared" si="18"/>
        <v>1559</v>
      </c>
      <c r="DF32" s="679">
        <f t="shared" si="19"/>
        <v>1559</v>
      </c>
      <c r="DG32" s="679">
        <f t="shared" si="20"/>
        <v>1559</v>
      </c>
      <c r="DH32" s="679">
        <f t="shared" si="21"/>
        <v>1559</v>
      </c>
      <c r="DI32" s="679">
        <f t="shared" si="22"/>
        <v>1559</v>
      </c>
      <c r="DJ32" s="679">
        <f t="shared" si="23"/>
        <v>1559</v>
      </c>
      <c r="DK32" s="679">
        <f t="shared" si="24"/>
        <v>1550</v>
      </c>
      <c r="DL32" s="679">
        <f t="shared" si="25"/>
        <v>1560</v>
      </c>
      <c r="DM32" s="679">
        <f t="shared" si="26"/>
        <v>1560</v>
      </c>
      <c r="DN32" s="679">
        <f t="shared" si="27"/>
        <v>1560</v>
      </c>
      <c r="DO32" s="679">
        <f t="shared" si="28"/>
        <v>1560</v>
      </c>
      <c r="DP32" s="679">
        <f t="shared" si="29"/>
        <v>1560</v>
      </c>
      <c r="DQ32" s="679">
        <f t="shared" si="30"/>
        <v>1560</v>
      </c>
      <c r="DR32" s="679">
        <f t="shared" si="31"/>
        <v>1560</v>
      </c>
      <c r="DS32" s="679">
        <f t="shared" si="32"/>
        <v>1551</v>
      </c>
      <c r="DT32" s="679">
        <f t="shared" si="33"/>
        <v>1561</v>
      </c>
      <c r="DU32" s="679">
        <f t="shared" si="34"/>
        <v>1561</v>
      </c>
      <c r="DV32" s="679">
        <f t="shared" si="35"/>
        <v>1561</v>
      </c>
      <c r="DW32" s="679">
        <f t="shared" si="36"/>
        <v>1561</v>
      </c>
      <c r="DX32" s="679">
        <f t="shared" si="37"/>
        <v>1561</v>
      </c>
      <c r="DY32" s="679">
        <f t="shared" si="38"/>
        <v>1561</v>
      </c>
      <c r="DZ32" s="679">
        <f t="shared" si="39"/>
        <v>1561</v>
      </c>
      <c r="EA32" s="679">
        <f t="shared" si="40"/>
        <v>1552</v>
      </c>
      <c r="EB32" s="679">
        <f t="shared" si="41"/>
        <v>1562</v>
      </c>
      <c r="EC32" s="679">
        <f t="shared" si="42"/>
        <v>1562</v>
      </c>
      <c r="ED32" s="679">
        <f t="shared" si="43"/>
        <v>1562</v>
      </c>
      <c r="EE32" s="679">
        <f t="shared" si="44"/>
        <v>1562</v>
      </c>
      <c r="EF32" s="679">
        <f t="shared" si="45"/>
        <v>1562</v>
      </c>
      <c r="EG32" s="679">
        <f t="shared" si="46"/>
        <v>1562</v>
      </c>
      <c r="EH32" s="679">
        <f t="shared" si="47"/>
        <v>1562</v>
      </c>
      <c r="EI32" s="679">
        <f t="shared" si="48"/>
        <v>1553</v>
      </c>
      <c r="EJ32" s="679">
        <f t="shared" si="49"/>
        <v>1563</v>
      </c>
      <c r="EK32" s="679">
        <f t="shared" si="50"/>
        <v>1563</v>
      </c>
      <c r="EL32" s="679">
        <f t="shared" si="51"/>
        <v>1563</v>
      </c>
      <c r="EM32" s="679">
        <f t="shared" si="52"/>
        <v>1563</v>
      </c>
      <c r="EN32" s="679">
        <f t="shared" si="53"/>
        <v>1563</v>
      </c>
      <c r="EO32" s="679">
        <f t="shared" si="54"/>
        <v>1563</v>
      </c>
      <c r="EP32" s="679">
        <f t="shared" si="55"/>
        <v>1563</v>
      </c>
      <c r="EQ32" s="679">
        <f t="shared" si="56"/>
        <v>1554</v>
      </c>
      <c r="ER32" s="679">
        <f t="shared" si="57"/>
        <v>1564</v>
      </c>
      <c r="ES32" s="679">
        <f t="shared" si="58"/>
        <v>1564</v>
      </c>
      <c r="ET32" s="679">
        <f t="shared" si="59"/>
        <v>1564</v>
      </c>
      <c r="EU32" s="679">
        <f t="shared" si="60"/>
        <v>1564</v>
      </c>
      <c r="EV32" s="679">
        <f t="shared" si="61"/>
        <v>1564</v>
      </c>
      <c r="EW32" s="679">
        <f t="shared" si="62"/>
        <v>1564</v>
      </c>
      <c r="EX32" s="679">
        <f t="shared" si="63"/>
        <v>1564</v>
      </c>
      <c r="EY32" s="679">
        <f t="shared" si="64"/>
        <v>1570</v>
      </c>
    </row>
    <row r="33" spans="2:155" ht="12.75" customHeight="1" x14ac:dyDescent="0.2">
      <c r="B33" s="700" t="str">
        <f>IF(COUNTIF($CK$10:CK33,TRUE)&gt;0,"",INDEX(C_InstallationDescription!$E$226:$E$242,ROWS($A$11:A33)))</f>
        <v/>
      </c>
      <c r="C33" s="581" t="str">
        <f>IF($E33="","",INDEX(C_InstallationDescription!F:F,MATCH($B33,C_InstallationDescription!$E:$E,0)))</f>
        <v/>
      </c>
      <c r="D33" s="581" t="str">
        <f>IF($E33="","",INDEX(C_InstallationDescription!I:I,MATCH($B33,C_InstallationDescription!$E:$E,0)))</f>
        <v/>
      </c>
      <c r="E33" s="581" t="str">
        <f>IF($B33="","",INDEX(C_InstallationDescription!F:F,MATCH($CJ33,C_InstallationDescription!$Q:$Q,0)))</f>
        <v/>
      </c>
      <c r="F33" s="706" t="str">
        <f>IF($E33="","",INDEX(C_InstallationDescription!L:L,MATCH($CJ33,C_InstallationDescription!$Q:$Q,0)))</f>
        <v/>
      </c>
      <c r="G33" s="581" t="str">
        <f>IF($E33="","",INDEX(C_InstallationDescription!M:M,MATCH($CJ33,C_InstallationDescription!$Q:$Q,0)))</f>
        <v/>
      </c>
      <c r="H33" s="581" t="str">
        <f>IF($E33="","",INDEX(C_InstallationDescription!N:N,MATCH($CJ33,C_InstallationDescription!$Q:$Q,0)))</f>
        <v/>
      </c>
      <c r="I33" s="703" t="str">
        <f>IF($E33="","",IF(INDEX(E_SourceStreams!$A:$N,CN33,I$7)="","",INDEX(E_SourceStreams!$A:$N,CN33,I$7)))</f>
        <v/>
      </c>
      <c r="J33" s="703" t="str">
        <f>IF($E33="","",IF(INDEX(E_SourceStreams!$A:$N,CO33,J$7)="","",INDEX(E_SourceStreams!$A:$N,CO33,J$7)))</f>
        <v/>
      </c>
      <c r="K33" s="703" t="str">
        <f>IF($E33="","",IF(INDEX(E_SourceStreams!$A:$N,CP33,K$7)="","",INDEX(E_SourceStreams!$A:$N,CP33,K$7)))</f>
        <v/>
      </c>
      <c r="L33" s="703" t="str">
        <f>IF($E33="","",IF(INDEX(E_SourceStreams!$A:$N,CQ33,L$7)="","",INDEX(E_SourceStreams!$A:$N,CQ33,L$7)))</f>
        <v/>
      </c>
      <c r="M33" s="703" t="str">
        <f>IF($E33="","",IF(INDEX(E_SourceStreams!$A:$N,CR33,M$7)="","",INDEX(E_SourceStreams!$A:$N,CR33,M$7)))</f>
        <v/>
      </c>
      <c r="N33" s="703" t="str">
        <f>IF($E33="","",IF(INDEX(E_SourceStreams!$A:$N,CS33,N$7)="","",INDEX(E_SourceStreams!$A:$N,CS33,N$7)))</f>
        <v/>
      </c>
      <c r="O33" s="703" t="str">
        <f>IF($E33="","",IF(INDEX(E_SourceStreams!$A:$N,CT33,O$7)="","",INDEX(E_SourceStreams!$A:$N,CT33,O$7)))</f>
        <v/>
      </c>
      <c r="P33" s="703" t="str">
        <f>IF($E33="","",IF(INDEX(E_SourceStreams!$A:$N,CU33,P$7)="","",INDEX(E_SourceStreams!$A:$N,CU33,P$7)))</f>
        <v/>
      </c>
      <c r="Q33" s="703" t="str">
        <f>IF($E33="","",IF(INDEX(E_SourceStreams!$A:$N,CV33,Q$7)="","",INDEX(E_SourceStreams!$A:$N,CV33,Q$7)))</f>
        <v/>
      </c>
      <c r="R33" s="703" t="str">
        <f>IF($E33="","",IF(INDEX(E_SourceStreams!$A:$N,CW33,R$7)="","",INDEX(E_SourceStreams!$A:$N,CW33,R$7)))</f>
        <v/>
      </c>
      <c r="S33" s="703" t="str">
        <f>IF($E33="","",IF(INDEX(E_SourceStreams!$A:$N,CX33,S$7)="","",INDEX(E_SourceStreams!$A:$N,CX33,S$7)))</f>
        <v/>
      </c>
      <c r="T33" s="703" t="str">
        <f>IF($E33="","",IF(INDEX(E_SourceStreams!$A:$N,CY33,T$7)="","",INDEX(E_SourceStreams!$A:$N,CY33,T$7)))</f>
        <v/>
      </c>
      <c r="U33" s="703" t="str">
        <f>IF($E33="","",IF(INDEX(E_SourceStreams!$A:$N,CZ33,U$7)="","",INDEX(E_SourceStreams!$A:$N,CZ33,U$7)))</f>
        <v/>
      </c>
      <c r="V33" s="703" t="str">
        <f>IF($E33="","",IF(INDEX(E_SourceStreams!$A:$N,DA33,V$7)="","",INDEX(E_SourceStreams!$A:$N,DA33,V$7)))</f>
        <v/>
      </c>
      <c r="W33" s="704" t="str">
        <f>IF($E33="","",IF(INDEX(E_SourceStreams!$A:$N,DB33,W$7)="","",INDEX(E_SourceStreams!$A:$N,DB33,W$7)))</f>
        <v/>
      </c>
      <c r="X33" s="703" t="str">
        <f>IF($E33="","",IF(INDEX(E_SourceStreams!$A:$N,DC33,X$7)="","",INDEX(E_SourceStreams!$A:$N,DC33,X$7)))</f>
        <v/>
      </c>
      <c r="Y33" s="703" t="str">
        <f>IF($E33="","",IF(INDEX(E_SourceStreams!$A:$N,DD33,Y$7)="","",INDEX(E_SourceStreams!$A:$N,DD33,Y$7)))</f>
        <v/>
      </c>
      <c r="Z33" s="703" t="str">
        <f>IF($E33="","",IF(INDEX(E_SourceStreams!$A:$N,DE33,Z$7)="","",INDEX(E_SourceStreams!$A:$N,DE33,Z$7)))</f>
        <v/>
      </c>
      <c r="AA33" s="703" t="str">
        <f>IF($E33="","",IF(INDEX(E_SourceStreams!$A:$N,DF33,AA$7)="","",INDEX(E_SourceStreams!$A:$N,DF33,AA$7)))</f>
        <v/>
      </c>
      <c r="AB33" s="703" t="str">
        <f>IF($E33="","",IF(INDEX(E_SourceStreams!$A:$N,DG33,AB$7)="","",INDEX(E_SourceStreams!$A:$N,DG33,AB$7)))</f>
        <v/>
      </c>
      <c r="AC33" s="703" t="str">
        <f>IF($E33="","",IF(INDEX(E_SourceStreams!$A:$N,DH33,AC$7)="","",INDEX(E_SourceStreams!$A:$N,DH33,AC$7)))</f>
        <v/>
      </c>
      <c r="AD33" s="703" t="str">
        <f>IF($E33="","",IF(INDEX(E_SourceStreams!$A:$N,DI33,AD$7)="","",INDEX(E_SourceStreams!$A:$N,DI33,AD$7)))</f>
        <v/>
      </c>
      <c r="AE33" s="703" t="str">
        <f>IF($E33="","",IF(INDEX(E_SourceStreams!$A:$N,DJ33,AE$7)="","",INDEX(E_SourceStreams!$A:$N,DJ33,AE$7)))</f>
        <v/>
      </c>
      <c r="AF33" s="703" t="str">
        <f>IF($E33="","",IF(INDEX(E_SourceStreams!$A:$N,DK33,AF$7)="","",INDEX(E_SourceStreams!$A:$N,DK33,AF$7)))</f>
        <v/>
      </c>
      <c r="AG33" s="703" t="str">
        <f>IF($E33="","",IF(INDEX(E_SourceStreams!$A:$N,DL33,AG$7)="","",INDEX(E_SourceStreams!$A:$N,DL33,AG$7)))</f>
        <v/>
      </c>
      <c r="AH33" s="703" t="str">
        <f>IF($E33="","",IF(INDEX(E_SourceStreams!$A:$N,DM33,AH$7)="","",INDEX(E_SourceStreams!$A:$N,DM33,AH$7)))</f>
        <v/>
      </c>
      <c r="AI33" s="703" t="str">
        <f>IF($E33="","",IF(INDEX(E_SourceStreams!$A:$N,DN33,AI$7)="","",INDEX(E_SourceStreams!$A:$N,DN33,AI$7)))</f>
        <v/>
      </c>
      <c r="AJ33" s="703" t="str">
        <f>IF($E33="","",IF(INDEX(E_SourceStreams!$A:$N,DO33,AJ$7)="","",INDEX(E_SourceStreams!$A:$N,DO33,AJ$7)))</f>
        <v/>
      </c>
      <c r="AK33" s="703" t="str">
        <f>IF($E33="","",IF(INDEX(E_SourceStreams!$A:$N,DP33,AK$7)="","",INDEX(E_SourceStreams!$A:$N,DP33,AK$7)))</f>
        <v/>
      </c>
      <c r="AL33" s="703" t="str">
        <f>IF($E33="","",IF(INDEX(E_SourceStreams!$A:$N,DQ33,AL$7)="","",INDEX(E_SourceStreams!$A:$N,DQ33,AL$7)))</f>
        <v/>
      </c>
      <c r="AM33" s="703" t="str">
        <f>IF($E33="","",IF(INDEX(E_SourceStreams!$A:$N,DR33,AM$7)="","",INDEX(E_SourceStreams!$A:$N,DR33,AM$7)))</f>
        <v/>
      </c>
      <c r="AN33" s="703" t="str">
        <f>IF($E33="","",IF(INDEX(E_SourceStreams!$A:$N,DS33,AN$7)="","",INDEX(E_SourceStreams!$A:$N,DS33,AN$7)))</f>
        <v/>
      </c>
      <c r="AO33" s="703" t="str">
        <f>IF($E33="","",IF(INDEX(E_SourceStreams!$A:$N,DT33,AO$7)="","",INDEX(E_SourceStreams!$A:$N,DT33,AO$7)))</f>
        <v/>
      </c>
      <c r="AP33" s="703" t="str">
        <f>IF($E33="","",IF(INDEX(E_SourceStreams!$A:$N,DU33,AP$7)="","",INDEX(E_SourceStreams!$A:$N,DU33,AP$7)))</f>
        <v/>
      </c>
      <c r="AQ33" s="703" t="str">
        <f>IF($E33="","",IF(INDEX(E_SourceStreams!$A:$N,DV33,AQ$7)="","",INDEX(E_SourceStreams!$A:$N,DV33,AQ$7)))</f>
        <v/>
      </c>
      <c r="AR33" s="703" t="str">
        <f>IF($E33="","",IF(INDEX(E_SourceStreams!$A:$N,DW33,AR$7)="","",INDEX(E_SourceStreams!$A:$N,DW33,AR$7)))</f>
        <v/>
      </c>
      <c r="AS33" s="703" t="str">
        <f>IF($E33="","",IF(INDEX(E_SourceStreams!$A:$N,DX33,AS$7)="","",INDEX(E_SourceStreams!$A:$N,DX33,AS$7)))</f>
        <v/>
      </c>
      <c r="AT33" s="703" t="str">
        <f>IF($E33="","",IF(INDEX(E_SourceStreams!$A:$N,DY33,AT$7)="","",INDEX(E_SourceStreams!$A:$N,DY33,AT$7)))</f>
        <v/>
      </c>
      <c r="AU33" s="703" t="str">
        <f>IF($E33="","",IF(INDEX(E_SourceStreams!$A:$N,DZ33,AU$7)="","",INDEX(E_SourceStreams!$A:$N,DZ33,AU$7)))</f>
        <v/>
      </c>
      <c r="AV33" s="703" t="str">
        <f>IF($E33="","",IF(INDEX(E_SourceStreams!$A:$N,EA33,AV$7)="","",INDEX(E_SourceStreams!$A:$N,EA33,AV$7)))</f>
        <v/>
      </c>
      <c r="AW33" s="703" t="str">
        <f>IF($E33="","",IF(INDEX(E_SourceStreams!$A:$N,EB33,AW$7)="","",INDEX(E_SourceStreams!$A:$N,EB33,AW$7)))</f>
        <v/>
      </c>
      <c r="AX33" s="703" t="str">
        <f>IF($E33="","",IF(INDEX(E_SourceStreams!$A:$N,EC33,AX$7)="","",INDEX(E_SourceStreams!$A:$N,EC33,AX$7)))</f>
        <v/>
      </c>
      <c r="AY33" s="703" t="str">
        <f>IF($E33="","",IF(INDEX(E_SourceStreams!$A:$N,ED33,AY$7)="","",INDEX(E_SourceStreams!$A:$N,ED33,AY$7)))</f>
        <v/>
      </c>
      <c r="AZ33" s="703" t="str">
        <f>IF($E33="","",IF(INDEX(E_SourceStreams!$A:$N,EE33,AZ$7)="","",INDEX(E_SourceStreams!$A:$N,EE33,AZ$7)))</f>
        <v/>
      </c>
      <c r="BA33" s="703" t="str">
        <f>IF($E33="","",IF(INDEX(E_SourceStreams!$A:$N,EF33,BA$7)="","",INDEX(E_SourceStreams!$A:$N,EF33,BA$7)))</f>
        <v/>
      </c>
      <c r="BB33" s="703" t="str">
        <f>IF($E33="","",IF(INDEX(E_SourceStreams!$A:$N,EG33,BB$7)="","",INDEX(E_SourceStreams!$A:$N,EG33,BB$7)))</f>
        <v/>
      </c>
      <c r="BC33" s="703" t="str">
        <f>IF($E33="","",IF(INDEX(E_SourceStreams!$A:$N,EH33,BC$7)="","",INDEX(E_SourceStreams!$A:$N,EH33,BC$7)))</f>
        <v/>
      </c>
      <c r="BD33" s="703" t="str">
        <f>IF($E33="","",IF(INDEX(E_SourceStreams!$A:$N,EI33,BD$7)="","",INDEX(E_SourceStreams!$A:$N,EI33,BD$7)))</f>
        <v/>
      </c>
      <c r="BE33" s="703" t="str">
        <f>IF($E33="","",IF(INDEX(E_SourceStreams!$A:$N,EJ33,BE$7)="","",INDEX(E_SourceStreams!$A:$N,EJ33,BE$7)))</f>
        <v/>
      </c>
      <c r="BF33" s="703" t="str">
        <f>IF($E33="","",IF(INDEX(E_SourceStreams!$A:$N,EK33,BF$7)="","",INDEX(E_SourceStreams!$A:$N,EK33,BF$7)))</f>
        <v/>
      </c>
      <c r="BG33" s="703" t="str">
        <f>IF($E33="","",IF(INDEX(E_SourceStreams!$A:$N,EL33,BG$7)="","",INDEX(E_SourceStreams!$A:$N,EL33,BG$7)))</f>
        <v/>
      </c>
      <c r="BH33" s="703" t="str">
        <f>IF($E33="","",IF(INDEX(E_SourceStreams!$A:$N,EM33,BH$7)="","",INDEX(E_SourceStreams!$A:$N,EM33,BH$7)))</f>
        <v/>
      </c>
      <c r="BI33" s="703" t="str">
        <f>IF($E33="","",IF(INDEX(E_SourceStreams!$A:$N,EN33,BI$7)="","",INDEX(E_SourceStreams!$A:$N,EN33,BI$7)))</f>
        <v/>
      </c>
      <c r="BJ33" s="703" t="str">
        <f>IF($E33="","",IF(INDEX(E_SourceStreams!$A:$N,EO33,BJ$7)="","",INDEX(E_SourceStreams!$A:$N,EO33,BJ$7)))</f>
        <v/>
      </c>
      <c r="BK33" s="703" t="str">
        <f>IF($E33="","",IF(INDEX(E_SourceStreams!$A:$N,EP33,BK$7)="","",INDEX(E_SourceStreams!$A:$N,EP33,BK$7)))</f>
        <v/>
      </c>
      <c r="BL33" s="703" t="str">
        <f>IF($E33="","",IF(INDEX(E_SourceStreams!$A:$N,EQ33,BL$7)="","",INDEX(E_SourceStreams!$A:$N,EQ33,BL$7)))</f>
        <v/>
      </c>
      <c r="BM33" s="703" t="str">
        <f>IF($E33="","",IF(INDEX(E_SourceStreams!$A:$N,ER33,BM$7)="","",INDEX(E_SourceStreams!$A:$N,ER33,BM$7)))</f>
        <v/>
      </c>
      <c r="BN33" s="703" t="str">
        <f>IF($E33="","",IF(INDEX(E_SourceStreams!$A:$N,ES33,BN$7)="","",INDEX(E_SourceStreams!$A:$N,ES33,BN$7)))</f>
        <v/>
      </c>
      <c r="BO33" s="703" t="str">
        <f>IF($E33="","",IF(INDEX(E_SourceStreams!$A:$N,ET33,BO$7)="","",INDEX(E_SourceStreams!$A:$N,ET33,BO$7)))</f>
        <v/>
      </c>
      <c r="BP33" s="703" t="str">
        <f>IF($E33="","",IF(INDEX(E_SourceStreams!$A:$N,EU33,BP$7)="","",INDEX(E_SourceStreams!$A:$N,EU33,BP$7)))</f>
        <v/>
      </c>
      <c r="BQ33" s="703" t="str">
        <f>IF($E33="","",IF(INDEX(E_SourceStreams!$A:$N,EV33,BQ$7)="","",INDEX(E_SourceStreams!$A:$N,EV33,BQ$7)))</f>
        <v/>
      </c>
      <c r="BR33" s="703" t="str">
        <f>IF($E33="","",IF(INDEX(E_SourceStreams!$A:$N,EW33,BR$7)="","",INDEX(E_SourceStreams!$A:$N,EW33,BR$7)))</f>
        <v/>
      </c>
      <c r="BS33" s="703" t="str">
        <f>IF($E33="","",IF(INDEX(E_SourceStreams!$A:$N,EX33,BS$7)="","",INDEX(E_SourceStreams!$A:$N,EX33,BS$7)))</f>
        <v/>
      </c>
      <c r="BT33" s="703" t="str">
        <f>IF($E33="","",IF(INDEX(E_SourceStreams!$A:$N,EY33,BT$7)="","",INDEX(E_SourceStreams!$A:$N,EY33,BT$7)))</f>
        <v/>
      </c>
      <c r="BU33" s="625"/>
      <c r="CJ33" s="679" t="str">
        <f t="shared" si="0"/>
        <v>SourceCategory_</v>
      </c>
      <c r="CK33" s="679" t="b">
        <f>INDEX(C_InstallationDescription!$A$226:$A$332,ROWS($CI$11:CI33))="ausblenden"</f>
        <v>0</v>
      </c>
      <c r="CL33" s="679" t="str">
        <f t="shared" si="1"/>
        <v>SourceStreamName_</v>
      </c>
      <c r="CN33" s="679">
        <f t="shared" si="65"/>
        <v>1587</v>
      </c>
      <c r="CO33" s="679">
        <f t="shared" si="2"/>
        <v>1589</v>
      </c>
      <c r="CP33" s="679">
        <f t="shared" si="3"/>
        <v>1591</v>
      </c>
      <c r="CQ33" s="679">
        <f t="shared" si="4"/>
        <v>1593</v>
      </c>
      <c r="CR33" s="679">
        <f t="shared" si="5"/>
        <v>1595</v>
      </c>
      <c r="CS33" s="679">
        <f t="shared" si="6"/>
        <v>1597</v>
      </c>
      <c r="CT33" s="679">
        <f t="shared" si="7"/>
        <v>1599</v>
      </c>
      <c r="CU33" s="679">
        <f t="shared" si="8"/>
        <v>1599</v>
      </c>
      <c r="CV33" s="679">
        <f t="shared" si="9"/>
        <v>1599</v>
      </c>
      <c r="CW33" s="679">
        <f t="shared" si="10"/>
        <v>1599</v>
      </c>
      <c r="CX33" s="679">
        <f t="shared" si="11"/>
        <v>1599</v>
      </c>
      <c r="CY33" s="679">
        <f t="shared" si="12"/>
        <v>1602</v>
      </c>
      <c r="CZ33" s="679">
        <f t="shared" si="13"/>
        <v>1606</v>
      </c>
      <c r="DA33" s="679">
        <f t="shared" si="14"/>
        <v>1607</v>
      </c>
      <c r="DB33" s="679">
        <f t="shared" si="15"/>
        <v>1608</v>
      </c>
      <c r="DC33" s="679">
        <f t="shared" si="16"/>
        <v>1615</v>
      </c>
      <c r="DD33" s="679">
        <f t="shared" si="17"/>
        <v>1625</v>
      </c>
      <c r="DE33" s="679">
        <f t="shared" si="18"/>
        <v>1625</v>
      </c>
      <c r="DF33" s="679">
        <f t="shared" si="19"/>
        <v>1625</v>
      </c>
      <c r="DG33" s="679">
        <f t="shared" si="20"/>
        <v>1625</v>
      </c>
      <c r="DH33" s="679">
        <f t="shared" si="21"/>
        <v>1625</v>
      </c>
      <c r="DI33" s="679">
        <f t="shared" si="22"/>
        <v>1625</v>
      </c>
      <c r="DJ33" s="679">
        <f t="shared" si="23"/>
        <v>1625</v>
      </c>
      <c r="DK33" s="679">
        <f t="shared" si="24"/>
        <v>1616</v>
      </c>
      <c r="DL33" s="679">
        <f t="shared" si="25"/>
        <v>1626</v>
      </c>
      <c r="DM33" s="679">
        <f t="shared" si="26"/>
        <v>1626</v>
      </c>
      <c r="DN33" s="679">
        <f t="shared" si="27"/>
        <v>1626</v>
      </c>
      <c r="DO33" s="679">
        <f t="shared" si="28"/>
        <v>1626</v>
      </c>
      <c r="DP33" s="679">
        <f t="shared" si="29"/>
        <v>1626</v>
      </c>
      <c r="DQ33" s="679">
        <f t="shared" si="30"/>
        <v>1626</v>
      </c>
      <c r="DR33" s="679">
        <f t="shared" si="31"/>
        <v>1626</v>
      </c>
      <c r="DS33" s="679">
        <f t="shared" si="32"/>
        <v>1617</v>
      </c>
      <c r="DT33" s="679">
        <f t="shared" si="33"/>
        <v>1627</v>
      </c>
      <c r="DU33" s="679">
        <f t="shared" si="34"/>
        <v>1627</v>
      </c>
      <c r="DV33" s="679">
        <f t="shared" si="35"/>
        <v>1627</v>
      </c>
      <c r="DW33" s="679">
        <f t="shared" si="36"/>
        <v>1627</v>
      </c>
      <c r="DX33" s="679">
        <f t="shared" si="37"/>
        <v>1627</v>
      </c>
      <c r="DY33" s="679">
        <f t="shared" si="38"/>
        <v>1627</v>
      </c>
      <c r="DZ33" s="679">
        <f t="shared" si="39"/>
        <v>1627</v>
      </c>
      <c r="EA33" s="679">
        <f t="shared" si="40"/>
        <v>1618</v>
      </c>
      <c r="EB33" s="679">
        <f t="shared" si="41"/>
        <v>1628</v>
      </c>
      <c r="EC33" s="679">
        <f t="shared" si="42"/>
        <v>1628</v>
      </c>
      <c r="ED33" s="679">
        <f t="shared" si="43"/>
        <v>1628</v>
      </c>
      <c r="EE33" s="679">
        <f t="shared" si="44"/>
        <v>1628</v>
      </c>
      <c r="EF33" s="679">
        <f t="shared" si="45"/>
        <v>1628</v>
      </c>
      <c r="EG33" s="679">
        <f t="shared" si="46"/>
        <v>1628</v>
      </c>
      <c r="EH33" s="679">
        <f t="shared" si="47"/>
        <v>1628</v>
      </c>
      <c r="EI33" s="679">
        <f t="shared" si="48"/>
        <v>1619</v>
      </c>
      <c r="EJ33" s="679">
        <f t="shared" si="49"/>
        <v>1629</v>
      </c>
      <c r="EK33" s="679">
        <f t="shared" si="50"/>
        <v>1629</v>
      </c>
      <c r="EL33" s="679">
        <f t="shared" si="51"/>
        <v>1629</v>
      </c>
      <c r="EM33" s="679">
        <f t="shared" si="52"/>
        <v>1629</v>
      </c>
      <c r="EN33" s="679">
        <f t="shared" si="53"/>
        <v>1629</v>
      </c>
      <c r="EO33" s="679">
        <f t="shared" si="54"/>
        <v>1629</v>
      </c>
      <c r="EP33" s="679">
        <f t="shared" si="55"/>
        <v>1629</v>
      </c>
      <c r="EQ33" s="679">
        <f t="shared" si="56"/>
        <v>1620</v>
      </c>
      <c r="ER33" s="679">
        <f t="shared" si="57"/>
        <v>1630</v>
      </c>
      <c r="ES33" s="679">
        <f t="shared" si="58"/>
        <v>1630</v>
      </c>
      <c r="ET33" s="679">
        <f t="shared" si="59"/>
        <v>1630</v>
      </c>
      <c r="EU33" s="679">
        <f t="shared" si="60"/>
        <v>1630</v>
      </c>
      <c r="EV33" s="679">
        <f t="shared" si="61"/>
        <v>1630</v>
      </c>
      <c r="EW33" s="679">
        <f t="shared" si="62"/>
        <v>1630</v>
      </c>
      <c r="EX33" s="679">
        <f t="shared" si="63"/>
        <v>1630</v>
      </c>
      <c r="EY33" s="679">
        <f t="shared" si="64"/>
        <v>1636</v>
      </c>
    </row>
    <row r="34" spans="2:155" ht="12.75" customHeight="1" x14ac:dyDescent="0.2">
      <c r="B34" s="700" t="str">
        <f>IF(COUNTIF($CK$10:CK34,TRUE)&gt;0,"",INDEX(C_InstallationDescription!$E$226:$E$242,ROWS($A$11:A34)))</f>
        <v/>
      </c>
      <c r="C34" s="581" t="str">
        <f>IF($E34="","",INDEX(C_InstallationDescription!F:F,MATCH($B34,C_InstallationDescription!$E:$E,0)))</f>
        <v/>
      </c>
      <c r="D34" s="581" t="str">
        <f>IF($E34="","",INDEX(C_InstallationDescription!I:I,MATCH($B34,C_InstallationDescription!$E:$E,0)))</f>
        <v/>
      </c>
      <c r="E34" s="581" t="str">
        <f>IF($B34="","",INDEX(C_InstallationDescription!F:F,MATCH($CJ34,C_InstallationDescription!$Q:$Q,0)))</f>
        <v/>
      </c>
      <c r="F34" s="706" t="str">
        <f>IF($E34="","",INDEX(C_InstallationDescription!L:L,MATCH($CJ34,C_InstallationDescription!$Q:$Q,0)))</f>
        <v/>
      </c>
      <c r="G34" s="581" t="str">
        <f>IF($E34="","",INDEX(C_InstallationDescription!M:M,MATCH($CJ34,C_InstallationDescription!$Q:$Q,0)))</f>
        <v/>
      </c>
      <c r="H34" s="581" t="str">
        <f>IF($E34="","",INDEX(C_InstallationDescription!N:N,MATCH($CJ34,C_InstallationDescription!$Q:$Q,0)))</f>
        <v/>
      </c>
      <c r="I34" s="703" t="str">
        <f>IF($E34="","",IF(INDEX(E_SourceStreams!$A:$N,CN34,I$7)="","",INDEX(E_SourceStreams!$A:$N,CN34,I$7)))</f>
        <v/>
      </c>
      <c r="J34" s="703" t="str">
        <f>IF($E34="","",IF(INDEX(E_SourceStreams!$A:$N,CO34,J$7)="","",INDEX(E_SourceStreams!$A:$N,CO34,J$7)))</f>
        <v/>
      </c>
      <c r="K34" s="703" t="str">
        <f>IF($E34="","",IF(INDEX(E_SourceStreams!$A:$N,CP34,K$7)="","",INDEX(E_SourceStreams!$A:$N,CP34,K$7)))</f>
        <v/>
      </c>
      <c r="L34" s="703" t="str">
        <f>IF($E34="","",IF(INDEX(E_SourceStreams!$A:$N,CQ34,L$7)="","",INDEX(E_SourceStreams!$A:$N,CQ34,L$7)))</f>
        <v/>
      </c>
      <c r="M34" s="703" t="str">
        <f>IF($E34="","",IF(INDEX(E_SourceStreams!$A:$N,CR34,M$7)="","",INDEX(E_SourceStreams!$A:$N,CR34,M$7)))</f>
        <v/>
      </c>
      <c r="N34" s="703" t="str">
        <f>IF($E34="","",IF(INDEX(E_SourceStreams!$A:$N,CS34,N$7)="","",INDEX(E_SourceStreams!$A:$N,CS34,N$7)))</f>
        <v/>
      </c>
      <c r="O34" s="703" t="str">
        <f>IF($E34="","",IF(INDEX(E_SourceStreams!$A:$N,CT34,O$7)="","",INDEX(E_SourceStreams!$A:$N,CT34,O$7)))</f>
        <v/>
      </c>
      <c r="P34" s="703" t="str">
        <f>IF($E34="","",IF(INDEX(E_SourceStreams!$A:$N,CU34,P$7)="","",INDEX(E_SourceStreams!$A:$N,CU34,P$7)))</f>
        <v/>
      </c>
      <c r="Q34" s="703" t="str">
        <f>IF($E34="","",IF(INDEX(E_SourceStreams!$A:$N,CV34,Q$7)="","",INDEX(E_SourceStreams!$A:$N,CV34,Q$7)))</f>
        <v/>
      </c>
      <c r="R34" s="703" t="str">
        <f>IF($E34="","",IF(INDEX(E_SourceStreams!$A:$N,CW34,R$7)="","",INDEX(E_SourceStreams!$A:$N,CW34,R$7)))</f>
        <v/>
      </c>
      <c r="S34" s="703" t="str">
        <f>IF($E34="","",IF(INDEX(E_SourceStreams!$A:$N,CX34,S$7)="","",INDEX(E_SourceStreams!$A:$N,CX34,S$7)))</f>
        <v/>
      </c>
      <c r="T34" s="703" t="str">
        <f>IF($E34="","",IF(INDEX(E_SourceStreams!$A:$N,CY34,T$7)="","",INDEX(E_SourceStreams!$A:$N,CY34,T$7)))</f>
        <v/>
      </c>
      <c r="U34" s="703" t="str">
        <f>IF($E34="","",IF(INDEX(E_SourceStreams!$A:$N,CZ34,U$7)="","",INDEX(E_SourceStreams!$A:$N,CZ34,U$7)))</f>
        <v/>
      </c>
      <c r="V34" s="703" t="str">
        <f>IF($E34="","",IF(INDEX(E_SourceStreams!$A:$N,DA34,V$7)="","",INDEX(E_SourceStreams!$A:$N,DA34,V$7)))</f>
        <v/>
      </c>
      <c r="W34" s="704" t="str">
        <f>IF($E34="","",IF(INDEX(E_SourceStreams!$A:$N,DB34,W$7)="","",INDEX(E_SourceStreams!$A:$N,DB34,W$7)))</f>
        <v/>
      </c>
      <c r="X34" s="703" t="str">
        <f>IF($E34="","",IF(INDEX(E_SourceStreams!$A:$N,DC34,X$7)="","",INDEX(E_SourceStreams!$A:$N,DC34,X$7)))</f>
        <v/>
      </c>
      <c r="Y34" s="703" t="str">
        <f>IF($E34="","",IF(INDEX(E_SourceStreams!$A:$N,DD34,Y$7)="","",INDEX(E_SourceStreams!$A:$N,DD34,Y$7)))</f>
        <v/>
      </c>
      <c r="Z34" s="703" t="str">
        <f>IF($E34="","",IF(INDEX(E_SourceStreams!$A:$N,DE34,Z$7)="","",INDEX(E_SourceStreams!$A:$N,DE34,Z$7)))</f>
        <v/>
      </c>
      <c r="AA34" s="703" t="str">
        <f>IF($E34="","",IF(INDEX(E_SourceStreams!$A:$N,DF34,AA$7)="","",INDEX(E_SourceStreams!$A:$N,DF34,AA$7)))</f>
        <v/>
      </c>
      <c r="AB34" s="703" t="str">
        <f>IF($E34="","",IF(INDEX(E_SourceStreams!$A:$N,DG34,AB$7)="","",INDEX(E_SourceStreams!$A:$N,DG34,AB$7)))</f>
        <v/>
      </c>
      <c r="AC34" s="703" t="str">
        <f>IF($E34="","",IF(INDEX(E_SourceStreams!$A:$N,DH34,AC$7)="","",INDEX(E_SourceStreams!$A:$N,DH34,AC$7)))</f>
        <v/>
      </c>
      <c r="AD34" s="703" t="str">
        <f>IF($E34="","",IF(INDEX(E_SourceStreams!$A:$N,DI34,AD$7)="","",INDEX(E_SourceStreams!$A:$N,DI34,AD$7)))</f>
        <v/>
      </c>
      <c r="AE34" s="703" t="str">
        <f>IF($E34="","",IF(INDEX(E_SourceStreams!$A:$N,DJ34,AE$7)="","",INDEX(E_SourceStreams!$A:$N,DJ34,AE$7)))</f>
        <v/>
      </c>
      <c r="AF34" s="703" t="str">
        <f>IF($E34="","",IF(INDEX(E_SourceStreams!$A:$N,DK34,AF$7)="","",INDEX(E_SourceStreams!$A:$N,DK34,AF$7)))</f>
        <v/>
      </c>
      <c r="AG34" s="703" t="str">
        <f>IF($E34="","",IF(INDEX(E_SourceStreams!$A:$N,DL34,AG$7)="","",INDEX(E_SourceStreams!$A:$N,DL34,AG$7)))</f>
        <v/>
      </c>
      <c r="AH34" s="703" t="str">
        <f>IF($E34="","",IF(INDEX(E_SourceStreams!$A:$N,DM34,AH$7)="","",INDEX(E_SourceStreams!$A:$N,DM34,AH$7)))</f>
        <v/>
      </c>
      <c r="AI34" s="703" t="str">
        <f>IF($E34="","",IF(INDEX(E_SourceStreams!$A:$N,DN34,AI$7)="","",INDEX(E_SourceStreams!$A:$N,DN34,AI$7)))</f>
        <v/>
      </c>
      <c r="AJ34" s="703" t="str">
        <f>IF($E34="","",IF(INDEX(E_SourceStreams!$A:$N,DO34,AJ$7)="","",INDEX(E_SourceStreams!$A:$N,DO34,AJ$7)))</f>
        <v/>
      </c>
      <c r="AK34" s="703" t="str">
        <f>IF($E34="","",IF(INDEX(E_SourceStreams!$A:$N,DP34,AK$7)="","",INDEX(E_SourceStreams!$A:$N,DP34,AK$7)))</f>
        <v/>
      </c>
      <c r="AL34" s="703" t="str">
        <f>IF($E34="","",IF(INDEX(E_SourceStreams!$A:$N,DQ34,AL$7)="","",INDEX(E_SourceStreams!$A:$N,DQ34,AL$7)))</f>
        <v/>
      </c>
      <c r="AM34" s="703" t="str">
        <f>IF($E34="","",IF(INDEX(E_SourceStreams!$A:$N,DR34,AM$7)="","",INDEX(E_SourceStreams!$A:$N,DR34,AM$7)))</f>
        <v/>
      </c>
      <c r="AN34" s="703" t="str">
        <f>IF($E34="","",IF(INDEX(E_SourceStreams!$A:$N,DS34,AN$7)="","",INDEX(E_SourceStreams!$A:$N,DS34,AN$7)))</f>
        <v/>
      </c>
      <c r="AO34" s="703" t="str">
        <f>IF($E34="","",IF(INDEX(E_SourceStreams!$A:$N,DT34,AO$7)="","",INDEX(E_SourceStreams!$A:$N,DT34,AO$7)))</f>
        <v/>
      </c>
      <c r="AP34" s="703" t="str">
        <f>IF($E34="","",IF(INDEX(E_SourceStreams!$A:$N,DU34,AP$7)="","",INDEX(E_SourceStreams!$A:$N,DU34,AP$7)))</f>
        <v/>
      </c>
      <c r="AQ34" s="703" t="str">
        <f>IF($E34="","",IF(INDEX(E_SourceStreams!$A:$N,DV34,AQ$7)="","",INDEX(E_SourceStreams!$A:$N,DV34,AQ$7)))</f>
        <v/>
      </c>
      <c r="AR34" s="703" t="str">
        <f>IF($E34="","",IF(INDEX(E_SourceStreams!$A:$N,DW34,AR$7)="","",INDEX(E_SourceStreams!$A:$N,DW34,AR$7)))</f>
        <v/>
      </c>
      <c r="AS34" s="703" t="str">
        <f>IF($E34="","",IF(INDEX(E_SourceStreams!$A:$N,DX34,AS$7)="","",INDEX(E_SourceStreams!$A:$N,DX34,AS$7)))</f>
        <v/>
      </c>
      <c r="AT34" s="703" t="str">
        <f>IF($E34="","",IF(INDEX(E_SourceStreams!$A:$N,DY34,AT$7)="","",INDEX(E_SourceStreams!$A:$N,DY34,AT$7)))</f>
        <v/>
      </c>
      <c r="AU34" s="703" t="str">
        <f>IF($E34="","",IF(INDEX(E_SourceStreams!$A:$N,DZ34,AU$7)="","",INDEX(E_SourceStreams!$A:$N,DZ34,AU$7)))</f>
        <v/>
      </c>
      <c r="AV34" s="703" t="str">
        <f>IF($E34="","",IF(INDEX(E_SourceStreams!$A:$N,EA34,AV$7)="","",INDEX(E_SourceStreams!$A:$N,EA34,AV$7)))</f>
        <v/>
      </c>
      <c r="AW34" s="703" t="str">
        <f>IF($E34="","",IF(INDEX(E_SourceStreams!$A:$N,EB34,AW$7)="","",INDEX(E_SourceStreams!$A:$N,EB34,AW$7)))</f>
        <v/>
      </c>
      <c r="AX34" s="703" t="str">
        <f>IF($E34="","",IF(INDEX(E_SourceStreams!$A:$N,EC34,AX$7)="","",INDEX(E_SourceStreams!$A:$N,EC34,AX$7)))</f>
        <v/>
      </c>
      <c r="AY34" s="703" t="str">
        <f>IF($E34="","",IF(INDEX(E_SourceStreams!$A:$N,ED34,AY$7)="","",INDEX(E_SourceStreams!$A:$N,ED34,AY$7)))</f>
        <v/>
      </c>
      <c r="AZ34" s="703" t="str">
        <f>IF($E34="","",IF(INDEX(E_SourceStreams!$A:$N,EE34,AZ$7)="","",INDEX(E_SourceStreams!$A:$N,EE34,AZ$7)))</f>
        <v/>
      </c>
      <c r="BA34" s="703" t="str">
        <f>IF($E34="","",IF(INDEX(E_SourceStreams!$A:$N,EF34,BA$7)="","",INDEX(E_SourceStreams!$A:$N,EF34,BA$7)))</f>
        <v/>
      </c>
      <c r="BB34" s="703" t="str">
        <f>IF($E34="","",IF(INDEX(E_SourceStreams!$A:$N,EG34,BB$7)="","",INDEX(E_SourceStreams!$A:$N,EG34,BB$7)))</f>
        <v/>
      </c>
      <c r="BC34" s="703" t="str">
        <f>IF($E34="","",IF(INDEX(E_SourceStreams!$A:$N,EH34,BC$7)="","",INDEX(E_SourceStreams!$A:$N,EH34,BC$7)))</f>
        <v/>
      </c>
      <c r="BD34" s="703" t="str">
        <f>IF($E34="","",IF(INDEX(E_SourceStreams!$A:$N,EI34,BD$7)="","",INDEX(E_SourceStreams!$A:$N,EI34,BD$7)))</f>
        <v/>
      </c>
      <c r="BE34" s="703" t="str">
        <f>IF($E34="","",IF(INDEX(E_SourceStreams!$A:$N,EJ34,BE$7)="","",INDEX(E_SourceStreams!$A:$N,EJ34,BE$7)))</f>
        <v/>
      </c>
      <c r="BF34" s="703" t="str">
        <f>IF($E34="","",IF(INDEX(E_SourceStreams!$A:$N,EK34,BF$7)="","",INDEX(E_SourceStreams!$A:$N,EK34,BF$7)))</f>
        <v/>
      </c>
      <c r="BG34" s="703" t="str">
        <f>IF($E34="","",IF(INDEX(E_SourceStreams!$A:$N,EL34,BG$7)="","",INDEX(E_SourceStreams!$A:$N,EL34,BG$7)))</f>
        <v/>
      </c>
      <c r="BH34" s="703" t="str">
        <f>IF($E34="","",IF(INDEX(E_SourceStreams!$A:$N,EM34,BH$7)="","",INDEX(E_SourceStreams!$A:$N,EM34,BH$7)))</f>
        <v/>
      </c>
      <c r="BI34" s="703" t="str">
        <f>IF($E34="","",IF(INDEX(E_SourceStreams!$A:$N,EN34,BI$7)="","",INDEX(E_SourceStreams!$A:$N,EN34,BI$7)))</f>
        <v/>
      </c>
      <c r="BJ34" s="703" t="str">
        <f>IF($E34="","",IF(INDEX(E_SourceStreams!$A:$N,EO34,BJ$7)="","",INDEX(E_SourceStreams!$A:$N,EO34,BJ$7)))</f>
        <v/>
      </c>
      <c r="BK34" s="703" t="str">
        <f>IF($E34="","",IF(INDEX(E_SourceStreams!$A:$N,EP34,BK$7)="","",INDEX(E_SourceStreams!$A:$N,EP34,BK$7)))</f>
        <v/>
      </c>
      <c r="BL34" s="703" t="str">
        <f>IF($E34="","",IF(INDEX(E_SourceStreams!$A:$N,EQ34,BL$7)="","",INDEX(E_SourceStreams!$A:$N,EQ34,BL$7)))</f>
        <v/>
      </c>
      <c r="BM34" s="703" t="str">
        <f>IF($E34="","",IF(INDEX(E_SourceStreams!$A:$N,ER34,BM$7)="","",INDEX(E_SourceStreams!$A:$N,ER34,BM$7)))</f>
        <v/>
      </c>
      <c r="BN34" s="703" t="str">
        <f>IF($E34="","",IF(INDEX(E_SourceStreams!$A:$N,ES34,BN$7)="","",INDEX(E_SourceStreams!$A:$N,ES34,BN$7)))</f>
        <v/>
      </c>
      <c r="BO34" s="703" t="str">
        <f>IF($E34="","",IF(INDEX(E_SourceStreams!$A:$N,ET34,BO$7)="","",INDEX(E_SourceStreams!$A:$N,ET34,BO$7)))</f>
        <v/>
      </c>
      <c r="BP34" s="703" t="str">
        <f>IF($E34="","",IF(INDEX(E_SourceStreams!$A:$N,EU34,BP$7)="","",INDEX(E_SourceStreams!$A:$N,EU34,BP$7)))</f>
        <v/>
      </c>
      <c r="BQ34" s="703" t="str">
        <f>IF($E34="","",IF(INDEX(E_SourceStreams!$A:$N,EV34,BQ$7)="","",INDEX(E_SourceStreams!$A:$N,EV34,BQ$7)))</f>
        <v/>
      </c>
      <c r="BR34" s="703" t="str">
        <f>IF($E34="","",IF(INDEX(E_SourceStreams!$A:$N,EW34,BR$7)="","",INDEX(E_SourceStreams!$A:$N,EW34,BR$7)))</f>
        <v/>
      </c>
      <c r="BS34" s="703" t="str">
        <f>IF($E34="","",IF(INDEX(E_SourceStreams!$A:$N,EX34,BS$7)="","",INDEX(E_SourceStreams!$A:$N,EX34,BS$7)))</f>
        <v/>
      </c>
      <c r="BT34" s="703" t="str">
        <f>IF($E34="","",IF(INDEX(E_SourceStreams!$A:$N,EY34,BT$7)="","",INDEX(E_SourceStreams!$A:$N,EY34,BT$7)))</f>
        <v/>
      </c>
      <c r="BU34" s="625"/>
      <c r="CJ34" s="679" t="str">
        <f t="shared" si="0"/>
        <v>SourceCategory_</v>
      </c>
      <c r="CK34" s="679" t="b">
        <f>INDEX(C_InstallationDescription!$A$226:$A$332,ROWS($CI$11:CI34))="ausblenden"</f>
        <v>0</v>
      </c>
      <c r="CL34" s="679" t="str">
        <f t="shared" si="1"/>
        <v>SourceStreamName_</v>
      </c>
      <c r="CN34" s="679">
        <f t="shared" si="65"/>
        <v>1653</v>
      </c>
      <c r="CO34" s="679">
        <f t="shared" si="2"/>
        <v>1655</v>
      </c>
      <c r="CP34" s="679">
        <f t="shared" si="3"/>
        <v>1657</v>
      </c>
      <c r="CQ34" s="679">
        <f t="shared" si="4"/>
        <v>1659</v>
      </c>
      <c r="CR34" s="679">
        <f t="shared" si="5"/>
        <v>1661</v>
      </c>
      <c r="CS34" s="679">
        <f t="shared" si="6"/>
        <v>1663</v>
      </c>
      <c r="CT34" s="679">
        <f t="shared" si="7"/>
        <v>1665</v>
      </c>
      <c r="CU34" s="679">
        <f t="shared" si="8"/>
        <v>1665</v>
      </c>
      <c r="CV34" s="679">
        <f t="shared" si="9"/>
        <v>1665</v>
      </c>
      <c r="CW34" s="679">
        <f t="shared" si="10"/>
        <v>1665</v>
      </c>
      <c r="CX34" s="679">
        <f t="shared" si="11"/>
        <v>1665</v>
      </c>
      <c r="CY34" s="679">
        <f t="shared" si="12"/>
        <v>1668</v>
      </c>
      <c r="CZ34" s="679">
        <f t="shared" si="13"/>
        <v>1672</v>
      </c>
      <c r="DA34" s="679">
        <f t="shared" si="14"/>
        <v>1673</v>
      </c>
      <c r="DB34" s="679">
        <f t="shared" si="15"/>
        <v>1674</v>
      </c>
      <c r="DC34" s="679">
        <f t="shared" si="16"/>
        <v>1681</v>
      </c>
      <c r="DD34" s="679">
        <f t="shared" si="17"/>
        <v>1691</v>
      </c>
      <c r="DE34" s="679">
        <f t="shared" si="18"/>
        <v>1691</v>
      </c>
      <c r="DF34" s="679">
        <f t="shared" si="19"/>
        <v>1691</v>
      </c>
      <c r="DG34" s="679">
        <f t="shared" si="20"/>
        <v>1691</v>
      </c>
      <c r="DH34" s="679">
        <f t="shared" si="21"/>
        <v>1691</v>
      </c>
      <c r="DI34" s="679">
        <f t="shared" si="22"/>
        <v>1691</v>
      </c>
      <c r="DJ34" s="679">
        <f t="shared" si="23"/>
        <v>1691</v>
      </c>
      <c r="DK34" s="679">
        <f t="shared" si="24"/>
        <v>1682</v>
      </c>
      <c r="DL34" s="679">
        <f t="shared" si="25"/>
        <v>1692</v>
      </c>
      <c r="DM34" s="679">
        <f t="shared" si="26"/>
        <v>1692</v>
      </c>
      <c r="DN34" s="679">
        <f t="shared" si="27"/>
        <v>1692</v>
      </c>
      <c r="DO34" s="679">
        <f t="shared" si="28"/>
        <v>1692</v>
      </c>
      <c r="DP34" s="679">
        <f t="shared" si="29"/>
        <v>1692</v>
      </c>
      <c r="DQ34" s="679">
        <f t="shared" si="30"/>
        <v>1692</v>
      </c>
      <c r="DR34" s="679">
        <f t="shared" si="31"/>
        <v>1692</v>
      </c>
      <c r="DS34" s="679">
        <f t="shared" si="32"/>
        <v>1683</v>
      </c>
      <c r="DT34" s="679">
        <f t="shared" si="33"/>
        <v>1693</v>
      </c>
      <c r="DU34" s="679">
        <f t="shared" si="34"/>
        <v>1693</v>
      </c>
      <c r="DV34" s="679">
        <f t="shared" si="35"/>
        <v>1693</v>
      </c>
      <c r="DW34" s="679">
        <f t="shared" si="36"/>
        <v>1693</v>
      </c>
      <c r="DX34" s="679">
        <f t="shared" si="37"/>
        <v>1693</v>
      </c>
      <c r="DY34" s="679">
        <f t="shared" si="38"/>
        <v>1693</v>
      </c>
      <c r="DZ34" s="679">
        <f t="shared" si="39"/>
        <v>1693</v>
      </c>
      <c r="EA34" s="679">
        <f t="shared" si="40"/>
        <v>1684</v>
      </c>
      <c r="EB34" s="679">
        <f t="shared" si="41"/>
        <v>1694</v>
      </c>
      <c r="EC34" s="679">
        <f t="shared" si="42"/>
        <v>1694</v>
      </c>
      <c r="ED34" s="679">
        <f t="shared" si="43"/>
        <v>1694</v>
      </c>
      <c r="EE34" s="679">
        <f t="shared" si="44"/>
        <v>1694</v>
      </c>
      <c r="EF34" s="679">
        <f t="shared" si="45"/>
        <v>1694</v>
      </c>
      <c r="EG34" s="679">
        <f t="shared" si="46"/>
        <v>1694</v>
      </c>
      <c r="EH34" s="679">
        <f t="shared" si="47"/>
        <v>1694</v>
      </c>
      <c r="EI34" s="679">
        <f t="shared" si="48"/>
        <v>1685</v>
      </c>
      <c r="EJ34" s="679">
        <f t="shared" si="49"/>
        <v>1695</v>
      </c>
      <c r="EK34" s="679">
        <f t="shared" si="50"/>
        <v>1695</v>
      </c>
      <c r="EL34" s="679">
        <f t="shared" si="51"/>
        <v>1695</v>
      </c>
      <c r="EM34" s="679">
        <f t="shared" si="52"/>
        <v>1695</v>
      </c>
      <c r="EN34" s="679">
        <f t="shared" si="53"/>
        <v>1695</v>
      </c>
      <c r="EO34" s="679">
        <f t="shared" si="54"/>
        <v>1695</v>
      </c>
      <c r="EP34" s="679">
        <f t="shared" si="55"/>
        <v>1695</v>
      </c>
      <c r="EQ34" s="679">
        <f t="shared" si="56"/>
        <v>1686</v>
      </c>
      <c r="ER34" s="679">
        <f t="shared" si="57"/>
        <v>1696</v>
      </c>
      <c r="ES34" s="679">
        <f t="shared" si="58"/>
        <v>1696</v>
      </c>
      <c r="ET34" s="679">
        <f t="shared" si="59"/>
        <v>1696</v>
      </c>
      <c r="EU34" s="679">
        <f t="shared" si="60"/>
        <v>1696</v>
      </c>
      <c r="EV34" s="679">
        <f t="shared" si="61"/>
        <v>1696</v>
      </c>
      <c r="EW34" s="679">
        <f t="shared" si="62"/>
        <v>1696</v>
      </c>
      <c r="EX34" s="679">
        <f t="shared" si="63"/>
        <v>1696</v>
      </c>
      <c r="EY34" s="679">
        <f t="shared" si="64"/>
        <v>1702</v>
      </c>
    </row>
    <row r="35" spans="2:155" ht="12.75" customHeight="1" x14ac:dyDescent="0.2">
      <c r="B35" s="700" t="str">
        <f>IF(COUNTIF($CK$10:CK35,TRUE)&gt;0,"",INDEX(C_InstallationDescription!$E$226:$E$242,ROWS($A$11:A35)))</f>
        <v/>
      </c>
      <c r="C35" s="581" t="str">
        <f>IF($E35="","",INDEX(C_InstallationDescription!F:F,MATCH($B35,C_InstallationDescription!$E:$E,0)))</f>
        <v/>
      </c>
      <c r="D35" s="581" t="str">
        <f>IF($E35="","",INDEX(C_InstallationDescription!I:I,MATCH($B35,C_InstallationDescription!$E:$E,0)))</f>
        <v/>
      </c>
      <c r="E35" s="581" t="str">
        <f>IF($B35="","",INDEX(C_InstallationDescription!F:F,MATCH($CJ35,C_InstallationDescription!$Q:$Q,0)))</f>
        <v/>
      </c>
      <c r="F35" s="706" t="str">
        <f>IF($E35="","",INDEX(C_InstallationDescription!L:L,MATCH($CJ35,C_InstallationDescription!$Q:$Q,0)))</f>
        <v/>
      </c>
      <c r="G35" s="581" t="str">
        <f>IF($E35="","",INDEX(C_InstallationDescription!M:M,MATCH($CJ35,C_InstallationDescription!$Q:$Q,0)))</f>
        <v/>
      </c>
      <c r="H35" s="581" t="str">
        <f>IF($E35="","",INDEX(C_InstallationDescription!N:N,MATCH($CJ35,C_InstallationDescription!$Q:$Q,0)))</f>
        <v/>
      </c>
      <c r="I35" s="703" t="str">
        <f>IF($E35="","",IF(INDEX(E_SourceStreams!$A:$N,CN35,I$7)="","",INDEX(E_SourceStreams!$A:$N,CN35,I$7)))</f>
        <v/>
      </c>
      <c r="J35" s="703" t="str">
        <f>IF($E35="","",IF(INDEX(E_SourceStreams!$A:$N,CO35,J$7)="","",INDEX(E_SourceStreams!$A:$N,CO35,J$7)))</f>
        <v/>
      </c>
      <c r="K35" s="703" t="str">
        <f>IF($E35="","",IF(INDEX(E_SourceStreams!$A:$N,CP35,K$7)="","",INDEX(E_SourceStreams!$A:$N,CP35,K$7)))</f>
        <v/>
      </c>
      <c r="L35" s="703" t="str">
        <f>IF($E35="","",IF(INDEX(E_SourceStreams!$A:$N,CQ35,L$7)="","",INDEX(E_SourceStreams!$A:$N,CQ35,L$7)))</f>
        <v/>
      </c>
      <c r="M35" s="703" t="str">
        <f>IF($E35="","",IF(INDEX(E_SourceStreams!$A:$N,CR35,M$7)="","",INDEX(E_SourceStreams!$A:$N,CR35,M$7)))</f>
        <v/>
      </c>
      <c r="N35" s="703" t="str">
        <f>IF($E35="","",IF(INDEX(E_SourceStreams!$A:$N,CS35,N$7)="","",INDEX(E_SourceStreams!$A:$N,CS35,N$7)))</f>
        <v/>
      </c>
      <c r="O35" s="703" t="str">
        <f>IF($E35="","",IF(INDEX(E_SourceStreams!$A:$N,CT35,O$7)="","",INDEX(E_SourceStreams!$A:$N,CT35,O$7)))</f>
        <v/>
      </c>
      <c r="P35" s="703" t="str">
        <f>IF($E35="","",IF(INDEX(E_SourceStreams!$A:$N,CU35,P$7)="","",INDEX(E_SourceStreams!$A:$N,CU35,P$7)))</f>
        <v/>
      </c>
      <c r="Q35" s="703" t="str">
        <f>IF($E35="","",IF(INDEX(E_SourceStreams!$A:$N,CV35,Q$7)="","",INDEX(E_SourceStreams!$A:$N,CV35,Q$7)))</f>
        <v/>
      </c>
      <c r="R35" s="703" t="str">
        <f>IF($E35="","",IF(INDEX(E_SourceStreams!$A:$N,CW35,R$7)="","",INDEX(E_SourceStreams!$A:$N,CW35,R$7)))</f>
        <v/>
      </c>
      <c r="S35" s="703" t="str">
        <f>IF($E35="","",IF(INDEX(E_SourceStreams!$A:$N,CX35,S$7)="","",INDEX(E_SourceStreams!$A:$N,CX35,S$7)))</f>
        <v/>
      </c>
      <c r="T35" s="703" t="str">
        <f>IF($E35="","",IF(INDEX(E_SourceStreams!$A:$N,CY35,T$7)="","",INDEX(E_SourceStreams!$A:$N,CY35,T$7)))</f>
        <v/>
      </c>
      <c r="U35" s="703" t="str">
        <f>IF($E35="","",IF(INDEX(E_SourceStreams!$A:$N,CZ35,U$7)="","",INDEX(E_SourceStreams!$A:$N,CZ35,U$7)))</f>
        <v/>
      </c>
      <c r="V35" s="703" t="str">
        <f>IF($E35="","",IF(INDEX(E_SourceStreams!$A:$N,DA35,V$7)="","",INDEX(E_SourceStreams!$A:$N,DA35,V$7)))</f>
        <v/>
      </c>
      <c r="W35" s="704" t="str">
        <f>IF($E35="","",IF(INDEX(E_SourceStreams!$A:$N,DB35,W$7)="","",INDEX(E_SourceStreams!$A:$N,DB35,W$7)))</f>
        <v/>
      </c>
      <c r="X35" s="703" t="str">
        <f>IF($E35="","",IF(INDEX(E_SourceStreams!$A:$N,DC35,X$7)="","",INDEX(E_SourceStreams!$A:$N,DC35,X$7)))</f>
        <v/>
      </c>
      <c r="Y35" s="703" t="str">
        <f>IF($E35="","",IF(INDEX(E_SourceStreams!$A:$N,DD35,Y$7)="","",INDEX(E_SourceStreams!$A:$N,DD35,Y$7)))</f>
        <v/>
      </c>
      <c r="Z35" s="703" t="str">
        <f>IF($E35="","",IF(INDEX(E_SourceStreams!$A:$N,DE35,Z$7)="","",INDEX(E_SourceStreams!$A:$N,DE35,Z$7)))</f>
        <v/>
      </c>
      <c r="AA35" s="703" t="str">
        <f>IF($E35="","",IF(INDEX(E_SourceStreams!$A:$N,DF35,AA$7)="","",INDEX(E_SourceStreams!$A:$N,DF35,AA$7)))</f>
        <v/>
      </c>
      <c r="AB35" s="703" t="str">
        <f>IF($E35="","",IF(INDEX(E_SourceStreams!$A:$N,DG35,AB$7)="","",INDEX(E_SourceStreams!$A:$N,DG35,AB$7)))</f>
        <v/>
      </c>
      <c r="AC35" s="703" t="str">
        <f>IF($E35="","",IF(INDEX(E_SourceStreams!$A:$N,DH35,AC$7)="","",INDEX(E_SourceStreams!$A:$N,DH35,AC$7)))</f>
        <v/>
      </c>
      <c r="AD35" s="703" t="str">
        <f>IF($E35="","",IF(INDEX(E_SourceStreams!$A:$N,DI35,AD$7)="","",INDEX(E_SourceStreams!$A:$N,DI35,AD$7)))</f>
        <v/>
      </c>
      <c r="AE35" s="703" t="str">
        <f>IF($E35="","",IF(INDEX(E_SourceStreams!$A:$N,DJ35,AE$7)="","",INDEX(E_SourceStreams!$A:$N,DJ35,AE$7)))</f>
        <v/>
      </c>
      <c r="AF35" s="703" t="str">
        <f>IF($E35="","",IF(INDEX(E_SourceStreams!$A:$N,DK35,AF$7)="","",INDEX(E_SourceStreams!$A:$N,DK35,AF$7)))</f>
        <v/>
      </c>
      <c r="AG35" s="703" t="str">
        <f>IF($E35="","",IF(INDEX(E_SourceStreams!$A:$N,DL35,AG$7)="","",INDEX(E_SourceStreams!$A:$N,DL35,AG$7)))</f>
        <v/>
      </c>
      <c r="AH35" s="703" t="str">
        <f>IF($E35="","",IF(INDEX(E_SourceStreams!$A:$N,DM35,AH$7)="","",INDEX(E_SourceStreams!$A:$N,DM35,AH$7)))</f>
        <v/>
      </c>
      <c r="AI35" s="703" t="str">
        <f>IF($E35="","",IF(INDEX(E_SourceStreams!$A:$N,DN35,AI$7)="","",INDEX(E_SourceStreams!$A:$N,DN35,AI$7)))</f>
        <v/>
      </c>
      <c r="AJ35" s="703" t="str">
        <f>IF($E35="","",IF(INDEX(E_SourceStreams!$A:$N,DO35,AJ$7)="","",INDEX(E_SourceStreams!$A:$N,DO35,AJ$7)))</f>
        <v/>
      </c>
      <c r="AK35" s="703" t="str">
        <f>IF($E35="","",IF(INDEX(E_SourceStreams!$A:$N,DP35,AK$7)="","",INDEX(E_SourceStreams!$A:$N,DP35,AK$7)))</f>
        <v/>
      </c>
      <c r="AL35" s="703" t="str">
        <f>IF($E35="","",IF(INDEX(E_SourceStreams!$A:$N,DQ35,AL$7)="","",INDEX(E_SourceStreams!$A:$N,DQ35,AL$7)))</f>
        <v/>
      </c>
      <c r="AM35" s="703" t="str">
        <f>IF($E35="","",IF(INDEX(E_SourceStreams!$A:$N,DR35,AM$7)="","",INDEX(E_SourceStreams!$A:$N,DR35,AM$7)))</f>
        <v/>
      </c>
      <c r="AN35" s="703" t="str">
        <f>IF($E35="","",IF(INDEX(E_SourceStreams!$A:$N,DS35,AN$7)="","",INDEX(E_SourceStreams!$A:$N,DS35,AN$7)))</f>
        <v/>
      </c>
      <c r="AO35" s="703" t="str">
        <f>IF($E35="","",IF(INDEX(E_SourceStreams!$A:$N,DT35,AO$7)="","",INDEX(E_SourceStreams!$A:$N,DT35,AO$7)))</f>
        <v/>
      </c>
      <c r="AP35" s="703" t="str">
        <f>IF($E35="","",IF(INDEX(E_SourceStreams!$A:$N,DU35,AP$7)="","",INDEX(E_SourceStreams!$A:$N,DU35,AP$7)))</f>
        <v/>
      </c>
      <c r="AQ35" s="703" t="str">
        <f>IF($E35="","",IF(INDEX(E_SourceStreams!$A:$N,DV35,AQ$7)="","",INDEX(E_SourceStreams!$A:$N,DV35,AQ$7)))</f>
        <v/>
      </c>
      <c r="AR35" s="703" t="str">
        <f>IF($E35="","",IF(INDEX(E_SourceStreams!$A:$N,DW35,AR$7)="","",INDEX(E_SourceStreams!$A:$N,DW35,AR$7)))</f>
        <v/>
      </c>
      <c r="AS35" s="703" t="str">
        <f>IF($E35="","",IF(INDEX(E_SourceStreams!$A:$N,DX35,AS$7)="","",INDEX(E_SourceStreams!$A:$N,DX35,AS$7)))</f>
        <v/>
      </c>
      <c r="AT35" s="703" t="str">
        <f>IF($E35="","",IF(INDEX(E_SourceStreams!$A:$N,DY35,AT$7)="","",INDEX(E_SourceStreams!$A:$N,DY35,AT$7)))</f>
        <v/>
      </c>
      <c r="AU35" s="703" t="str">
        <f>IF($E35="","",IF(INDEX(E_SourceStreams!$A:$N,DZ35,AU$7)="","",INDEX(E_SourceStreams!$A:$N,DZ35,AU$7)))</f>
        <v/>
      </c>
      <c r="AV35" s="703" t="str">
        <f>IF($E35="","",IF(INDEX(E_SourceStreams!$A:$N,EA35,AV$7)="","",INDEX(E_SourceStreams!$A:$N,EA35,AV$7)))</f>
        <v/>
      </c>
      <c r="AW35" s="703" t="str">
        <f>IF($E35="","",IF(INDEX(E_SourceStreams!$A:$N,EB35,AW$7)="","",INDEX(E_SourceStreams!$A:$N,EB35,AW$7)))</f>
        <v/>
      </c>
      <c r="AX35" s="703" t="str">
        <f>IF($E35="","",IF(INDEX(E_SourceStreams!$A:$N,EC35,AX$7)="","",INDEX(E_SourceStreams!$A:$N,EC35,AX$7)))</f>
        <v/>
      </c>
      <c r="AY35" s="703" t="str">
        <f>IF($E35="","",IF(INDEX(E_SourceStreams!$A:$N,ED35,AY$7)="","",INDEX(E_SourceStreams!$A:$N,ED35,AY$7)))</f>
        <v/>
      </c>
      <c r="AZ35" s="703" t="str">
        <f>IF($E35="","",IF(INDEX(E_SourceStreams!$A:$N,EE35,AZ$7)="","",INDEX(E_SourceStreams!$A:$N,EE35,AZ$7)))</f>
        <v/>
      </c>
      <c r="BA35" s="703" t="str">
        <f>IF($E35="","",IF(INDEX(E_SourceStreams!$A:$N,EF35,BA$7)="","",INDEX(E_SourceStreams!$A:$N,EF35,BA$7)))</f>
        <v/>
      </c>
      <c r="BB35" s="703" t="str">
        <f>IF($E35="","",IF(INDEX(E_SourceStreams!$A:$N,EG35,BB$7)="","",INDEX(E_SourceStreams!$A:$N,EG35,BB$7)))</f>
        <v/>
      </c>
      <c r="BC35" s="703" t="str">
        <f>IF($E35="","",IF(INDEX(E_SourceStreams!$A:$N,EH35,BC$7)="","",INDEX(E_SourceStreams!$A:$N,EH35,BC$7)))</f>
        <v/>
      </c>
      <c r="BD35" s="703" t="str">
        <f>IF($E35="","",IF(INDEX(E_SourceStreams!$A:$N,EI35,BD$7)="","",INDEX(E_SourceStreams!$A:$N,EI35,BD$7)))</f>
        <v/>
      </c>
      <c r="BE35" s="703" t="str">
        <f>IF($E35="","",IF(INDEX(E_SourceStreams!$A:$N,EJ35,BE$7)="","",INDEX(E_SourceStreams!$A:$N,EJ35,BE$7)))</f>
        <v/>
      </c>
      <c r="BF35" s="703" t="str">
        <f>IF($E35="","",IF(INDEX(E_SourceStreams!$A:$N,EK35,BF$7)="","",INDEX(E_SourceStreams!$A:$N,EK35,BF$7)))</f>
        <v/>
      </c>
      <c r="BG35" s="703" t="str">
        <f>IF($E35="","",IF(INDEX(E_SourceStreams!$A:$N,EL35,BG$7)="","",INDEX(E_SourceStreams!$A:$N,EL35,BG$7)))</f>
        <v/>
      </c>
      <c r="BH35" s="703" t="str">
        <f>IF($E35="","",IF(INDEX(E_SourceStreams!$A:$N,EM35,BH$7)="","",INDEX(E_SourceStreams!$A:$N,EM35,BH$7)))</f>
        <v/>
      </c>
      <c r="BI35" s="703" t="str">
        <f>IF($E35="","",IF(INDEX(E_SourceStreams!$A:$N,EN35,BI$7)="","",INDEX(E_SourceStreams!$A:$N,EN35,BI$7)))</f>
        <v/>
      </c>
      <c r="BJ35" s="703" t="str">
        <f>IF($E35="","",IF(INDEX(E_SourceStreams!$A:$N,EO35,BJ$7)="","",INDEX(E_SourceStreams!$A:$N,EO35,BJ$7)))</f>
        <v/>
      </c>
      <c r="BK35" s="703" t="str">
        <f>IF($E35="","",IF(INDEX(E_SourceStreams!$A:$N,EP35,BK$7)="","",INDEX(E_SourceStreams!$A:$N,EP35,BK$7)))</f>
        <v/>
      </c>
      <c r="BL35" s="703" t="str">
        <f>IF($E35="","",IF(INDEX(E_SourceStreams!$A:$N,EQ35,BL$7)="","",INDEX(E_SourceStreams!$A:$N,EQ35,BL$7)))</f>
        <v/>
      </c>
      <c r="BM35" s="703" t="str">
        <f>IF($E35="","",IF(INDEX(E_SourceStreams!$A:$N,ER35,BM$7)="","",INDEX(E_SourceStreams!$A:$N,ER35,BM$7)))</f>
        <v/>
      </c>
      <c r="BN35" s="703" t="str">
        <f>IF($E35="","",IF(INDEX(E_SourceStreams!$A:$N,ES35,BN$7)="","",INDEX(E_SourceStreams!$A:$N,ES35,BN$7)))</f>
        <v/>
      </c>
      <c r="BO35" s="703" t="str">
        <f>IF($E35="","",IF(INDEX(E_SourceStreams!$A:$N,ET35,BO$7)="","",INDEX(E_SourceStreams!$A:$N,ET35,BO$7)))</f>
        <v/>
      </c>
      <c r="BP35" s="703" t="str">
        <f>IF($E35="","",IF(INDEX(E_SourceStreams!$A:$N,EU35,BP$7)="","",INDEX(E_SourceStreams!$A:$N,EU35,BP$7)))</f>
        <v/>
      </c>
      <c r="BQ35" s="703" t="str">
        <f>IF($E35="","",IF(INDEX(E_SourceStreams!$A:$N,EV35,BQ$7)="","",INDEX(E_SourceStreams!$A:$N,EV35,BQ$7)))</f>
        <v/>
      </c>
      <c r="BR35" s="703" t="str">
        <f>IF($E35="","",IF(INDEX(E_SourceStreams!$A:$N,EW35,BR$7)="","",INDEX(E_SourceStreams!$A:$N,EW35,BR$7)))</f>
        <v/>
      </c>
      <c r="BS35" s="703" t="str">
        <f>IF($E35="","",IF(INDEX(E_SourceStreams!$A:$N,EX35,BS$7)="","",INDEX(E_SourceStreams!$A:$N,EX35,BS$7)))</f>
        <v/>
      </c>
      <c r="BT35" s="703" t="str">
        <f>IF($E35="","",IF(INDEX(E_SourceStreams!$A:$N,EY35,BT$7)="","",INDEX(E_SourceStreams!$A:$N,EY35,BT$7)))</f>
        <v/>
      </c>
      <c r="BU35" s="625"/>
      <c r="CJ35" s="679" t="str">
        <f t="shared" si="0"/>
        <v>SourceCategory_</v>
      </c>
      <c r="CK35" s="679" t="b">
        <f>INDEX(C_InstallationDescription!$A$226:$A$332,ROWS($CI$11:CI35))="ausblenden"</f>
        <v>0</v>
      </c>
      <c r="CL35" s="679" t="str">
        <f t="shared" si="1"/>
        <v>SourceStreamName_</v>
      </c>
      <c r="CN35" s="679">
        <f t="shared" si="65"/>
        <v>1719</v>
      </c>
      <c r="CO35" s="679">
        <f t="shared" si="2"/>
        <v>1721</v>
      </c>
      <c r="CP35" s="679">
        <f t="shared" si="3"/>
        <v>1723</v>
      </c>
      <c r="CQ35" s="679">
        <f t="shared" si="4"/>
        <v>1725</v>
      </c>
      <c r="CR35" s="679">
        <f t="shared" si="5"/>
        <v>1727</v>
      </c>
      <c r="CS35" s="679">
        <f t="shared" si="6"/>
        <v>1729</v>
      </c>
      <c r="CT35" s="679">
        <f t="shared" si="7"/>
        <v>1731</v>
      </c>
      <c r="CU35" s="679">
        <f t="shared" si="8"/>
        <v>1731</v>
      </c>
      <c r="CV35" s="679">
        <f t="shared" si="9"/>
        <v>1731</v>
      </c>
      <c r="CW35" s="679">
        <f t="shared" si="10"/>
        <v>1731</v>
      </c>
      <c r="CX35" s="679">
        <f t="shared" si="11"/>
        <v>1731</v>
      </c>
      <c r="CY35" s="679">
        <f t="shared" si="12"/>
        <v>1734</v>
      </c>
      <c r="CZ35" s="679">
        <f t="shared" si="13"/>
        <v>1738</v>
      </c>
      <c r="DA35" s="679">
        <f t="shared" si="14"/>
        <v>1739</v>
      </c>
      <c r="DB35" s="679">
        <f t="shared" si="15"/>
        <v>1740</v>
      </c>
      <c r="DC35" s="679">
        <f t="shared" si="16"/>
        <v>1747</v>
      </c>
      <c r="DD35" s="679">
        <f t="shared" si="17"/>
        <v>1757</v>
      </c>
      <c r="DE35" s="679">
        <f t="shared" si="18"/>
        <v>1757</v>
      </c>
      <c r="DF35" s="679">
        <f t="shared" si="19"/>
        <v>1757</v>
      </c>
      <c r="DG35" s="679">
        <f t="shared" si="20"/>
        <v>1757</v>
      </c>
      <c r="DH35" s="679">
        <f t="shared" si="21"/>
        <v>1757</v>
      </c>
      <c r="DI35" s="679">
        <f t="shared" si="22"/>
        <v>1757</v>
      </c>
      <c r="DJ35" s="679">
        <f t="shared" si="23"/>
        <v>1757</v>
      </c>
      <c r="DK35" s="679">
        <f t="shared" si="24"/>
        <v>1748</v>
      </c>
      <c r="DL35" s="679">
        <f t="shared" si="25"/>
        <v>1758</v>
      </c>
      <c r="DM35" s="679">
        <f t="shared" si="26"/>
        <v>1758</v>
      </c>
      <c r="DN35" s="679">
        <f t="shared" si="27"/>
        <v>1758</v>
      </c>
      <c r="DO35" s="679">
        <f t="shared" si="28"/>
        <v>1758</v>
      </c>
      <c r="DP35" s="679">
        <f t="shared" si="29"/>
        <v>1758</v>
      </c>
      <c r="DQ35" s="679">
        <f t="shared" si="30"/>
        <v>1758</v>
      </c>
      <c r="DR35" s="679">
        <f t="shared" si="31"/>
        <v>1758</v>
      </c>
      <c r="DS35" s="679">
        <f t="shared" si="32"/>
        <v>1749</v>
      </c>
      <c r="DT35" s="679">
        <f t="shared" si="33"/>
        <v>1759</v>
      </c>
      <c r="DU35" s="679">
        <f t="shared" si="34"/>
        <v>1759</v>
      </c>
      <c r="DV35" s="679">
        <f t="shared" si="35"/>
        <v>1759</v>
      </c>
      <c r="DW35" s="679">
        <f t="shared" si="36"/>
        <v>1759</v>
      </c>
      <c r="DX35" s="679">
        <f t="shared" si="37"/>
        <v>1759</v>
      </c>
      <c r="DY35" s="679">
        <f t="shared" si="38"/>
        <v>1759</v>
      </c>
      <c r="DZ35" s="679">
        <f t="shared" si="39"/>
        <v>1759</v>
      </c>
      <c r="EA35" s="679">
        <f t="shared" si="40"/>
        <v>1750</v>
      </c>
      <c r="EB35" s="679">
        <f t="shared" si="41"/>
        <v>1760</v>
      </c>
      <c r="EC35" s="679">
        <f t="shared" si="42"/>
        <v>1760</v>
      </c>
      <c r="ED35" s="679">
        <f t="shared" si="43"/>
        <v>1760</v>
      </c>
      <c r="EE35" s="679">
        <f t="shared" si="44"/>
        <v>1760</v>
      </c>
      <c r="EF35" s="679">
        <f t="shared" si="45"/>
        <v>1760</v>
      </c>
      <c r="EG35" s="679">
        <f t="shared" si="46"/>
        <v>1760</v>
      </c>
      <c r="EH35" s="679">
        <f t="shared" si="47"/>
        <v>1760</v>
      </c>
      <c r="EI35" s="679">
        <f t="shared" si="48"/>
        <v>1751</v>
      </c>
      <c r="EJ35" s="679">
        <f t="shared" si="49"/>
        <v>1761</v>
      </c>
      <c r="EK35" s="679">
        <f t="shared" si="50"/>
        <v>1761</v>
      </c>
      <c r="EL35" s="679">
        <f t="shared" si="51"/>
        <v>1761</v>
      </c>
      <c r="EM35" s="679">
        <f t="shared" si="52"/>
        <v>1761</v>
      </c>
      <c r="EN35" s="679">
        <f t="shared" si="53"/>
        <v>1761</v>
      </c>
      <c r="EO35" s="679">
        <f t="shared" si="54"/>
        <v>1761</v>
      </c>
      <c r="EP35" s="679">
        <f t="shared" si="55"/>
        <v>1761</v>
      </c>
      <c r="EQ35" s="679">
        <f t="shared" si="56"/>
        <v>1752</v>
      </c>
      <c r="ER35" s="679">
        <f t="shared" si="57"/>
        <v>1762</v>
      </c>
      <c r="ES35" s="679">
        <f t="shared" si="58"/>
        <v>1762</v>
      </c>
      <c r="ET35" s="679">
        <f t="shared" si="59"/>
        <v>1762</v>
      </c>
      <c r="EU35" s="679">
        <f t="shared" si="60"/>
        <v>1762</v>
      </c>
      <c r="EV35" s="679">
        <f t="shared" si="61"/>
        <v>1762</v>
      </c>
      <c r="EW35" s="679">
        <f t="shared" si="62"/>
        <v>1762</v>
      </c>
      <c r="EX35" s="679">
        <f t="shared" si="63"/>
        <v>1762</v>
      </c>
      <c r="EY35" s="679">
        <f t="shared" si="64"/>
        <v>1768</v>
      </c>
    </row>
    <row r="36" spans="2:155" ht="12.75" customHeight="1" x14ac:dyDescent="0.2">
      <c r="B36" s="700" t="str">
        <f>IF(COUNTIF($CK$10:CK36,TRUE)&gt;0,"",INDEX(C_InstallationDescription!$E$226:$E$242,ROWS($A$11:A36)))</f>
        <v/>
      </c>
      <c r="C36" s="581" t="str">
        <f>IF($E36="","",INDEX(C_InstallationDescription!F:F,MATCH($B36,C_InstallationDescription!$E:$E,0)))</f>
        <v/>
      </c>
      <c r="D36" s="581" t="str">
        <f>IF($E36="","",INDEX(C_InstallationDescription!I:I,MATCH($B36,C_InstallationDescription!$E:$E,0)))</f>
        <v/>
      </c>
      <c r="E36" s="581" t="str">
        <f>IF($B36="","",INDEX(C_InstallationDescription!F:F,MATCH($CJ36,C_InstallationDescription!$Q:$Q,0)))</f>
        <v/>
      </c>
      <c r="F36" s="706" t="str">
        <f>IF($E36="","",INDEX(C_InstallationDescription!L:L,MATCH($CJ36,C_InstallationDescription!$Q:$Q,0)))</f>
        <v/>
      </c>
      <c r="G36" s="581" t="str">
        <f>IF($E36="","",INDEX(C_InstallationDescription!M:M,MATCH($CJ36,C_InstallationDescription!$Q:$Q,0)))</f>
        <v/>
      </c>
      <c r="H36" s="581" t="str">
        <f>IF($E36="","",INDEX(C_InstallationDescription!N:N,MATCH($CJ36,C_InstallationDescription!$Q:$Q,0)))</f>
        <v/>
      </c>
      <c r="I36" s="703" t="str">
        <f>IF($E36="","",IF(INDEX(E_SourceStreams!$A:$N,CN36,I$7)="","",INDEX(E_SourceStreams!$A:$N,CN36,I$7)))</f>
        <v/>
      </c>
      <c r="J36" s="703" t="str">
        <f>IF($E36="","",IF(INDEX(E_SourceStreams!$A:$N,CO36,J$7)="","",INDEX(E_SourceStreams!$A:$N,CO36,J$7)))</f>
        <v/>
      </c>
      <c r="K36" s="703" t="str">
        <f>IF($E36="","",IF(INDEX(E_SourceStreams!$A:$N,CP36,K$7)="","",INDEX(E_SourceStreams!$A:$N,CP36,K$7)))</f>
        <v/>
      </c>
      <c r="L36" s="703" t="str">
        <f>IF($E36="","",IF(INDEX(E_SourceStreams!$A:$N,CQ36,L$7)="","",INDEX(E_SourceStreams!$A:$N,CQ36,L$7)))</f>
        <v/>
      </c>
      <c r="M36" s="703" t="str">
        <f>IF($E36="","",IF(INDEX(E_SourceStreams!$A:$N,CR36,M$7)="","",INDEX(E_SourceStreams!$A:$N,CR36,M$7)))</f>
        <v/>
      </c>
      <c r="N36" s="703" t="str">
        <f>IF($E36="","",IF(INDEX(E_SourceStreams!$A:$N,CS36,N$7)="","",INDEX(E_SourceStreams!$A:$N,CS36,N$7)))</f>
        <v/>
      </c>
      <c r="O36" s="703" t="str">
        <f>IF($E36="","",IF(INDEX(E_SourceStreams!$A:$N,CT36,O$7)="","",INDEX(E_SourceStreams!$A:$N,CT36,O$7)))</f>
        <v/>
      </c>
      <c r="P36" s="703" t="str">
        <f>IF($E36="","",IF(INDEX(E_SourceStreams!$A:$N,CU36,P$7)="","",INDEX(E_SourceStreams!$A:$N,CU36,P$7)))</f>
        <v/>
      </c>
      <c r="Q36" s="703" t="str">
        <f>IF($E36="","",IF(INDEX(E_SourceStreams!$A:$N,CV36,Q$7)="","",INDEX(E_SourceStreams!$A:$N,CV36,Q$7)))</f>
        <v/>
      </c>
      <c r="R36" s="703" t="str">
        <f>IF($E36="","",IF(INDEX(E_SourceStreams!$A:$N,CW36,R$7)="","",INDEX(E_SourceStreams!$A:$N,CW36,R$7)))</f>
        <v/>
      </c>
      <c r="S36" s="703" t="str">
        <f>IF($E36="","",IF(INDEX(E_SourceStreams!$A:$N,CX36,S$7)="","",INDEX(E_SourceStreams!$A:$N,CX36,S$7)))</f>
        <v/>
      </c>
      <c r="T36" s="703" t="str">
        <f>IF($E36="","",IF(INDEX(E_SourceStreams!$A:$N,CY36,T$7)="","",INDEX(E_SourceStreams!$A:$N,CY36,T$7)))</f>
        <v/>
      </c>
      <c r="U36" s="703" t="str">
        <f>IF($E36="","",IF(INDEX(E_SourceStreams!$A:$N,CZ36,U$7)="","",INDEX(E_SourceStreams!$A:$N,CZ36,U$7)))</f>
        <v/>
      </c>
      <c r="V36" s="703" t="str">
        <f>IF($E36="","",IF(INDEX(E_SourceStreams!$A:$N,DA36,V$7)="","",INDEX(E_SourceStreams!$A:$N,DA36,V$7)))</f>
        <v/>
      </c>
      <c r="W36" s="704" t="str">
        <f>IF($E36="","",IF(INDEX(E_SourceStreams!$A:$N,DB36,W$7)="","",INDEX(E_SourceStreams!$A:$N,DB36,W$7)))</f>
        <v/>
      </c>
      <c r="X36" s="703" t="str">
        <f>IF($E36="","",IF(INDEX(E_SourceStreams!$A:$N,DC36,X$7)="","",INDEX(E_SourceStreams!$A:$N,DC36,X$7)))</f>
        <v/>
      </c>
      <c r="Y36" s="703" t="str">
        <f>IF($E36="","",IF(INDEX(E_SourceStreams!$A:$N,DD36,Y$7)="","",INDEX(E_SourceStreams!$A:$N,DD36,Y$7)))</f>
        <v/>
      </c>
      <c r="Z36" s="703" t="str">
        <f>IF($E36="","",IF(INDEX(E_SourceStreams!$A:$N,DE36,Z$7)="","",INDEX(E_SourceStreams!$A:$N,DE36,Z$7)))</f>
        <v/>
      </c>
      <c r="AA36" s="703" t="str">
        <f>IF($E36="","",IF(INDEX(E_SourceStreams!$A:$N,DF36,AA$7)="","",INDEX(E_SourceStreams!$A:$N,DF36,AA$7)))</f>
        <v/>
      </c>
      <c r="AB36" s="703" t="str">
        <f>IF($E36="","",IF(INDEX(E_SourceStreams!$A:$N,DG36,AB$7)="","",INDEX(E_SourceStreams!$A:$N,DG36,AB$7)))</f>
        <v/>
      </c>
      <c r="AC36" s="703" t="str">
        <f>IF($E36="","",IF(INDEX(E_SourceStreams!$A:$N,DH36,AC$7)="","",INDEX(E_SourceStreams!$A:$N,DH36,AC$7)))</f>
        <v/>
      </c>
      <c r="AD36" s="703" t="str">
        <f>IF($E36="","",IF(INDEX(E_SourceStreams!$A:$N,DI36,AD$7)="","",INDEX(E_SourceStreams!$A:$N,DI36,AD$7)))</f>
        <v/>
      </c>
      <c r="AE36" s="703" t="str">
        <f>IF($E36="","",IF(INDEX(E_SourceStreams!$A:$N,DJ36,AE$7)="","",INDEX(E_SourceStreams!$A:$N,DJ36,AE$7)))</f>
        <v/>
      </c>
      <c r="AF36" s="703" t="str">
        <f>IF($E36="","",IF(INDEX(E_SourceStreams!$A:$N,DK36,AF$7)="","",INDEX(E_SourceStreams!$A:$N,DK36,AF$7)))</f>
        <v/>
      </c>
      <c r="AG36" s="703" t="str">
        <f>IF($E36="","",IF(INDEX(E_SourceStreams!$A:$N,DL36,AG$7)="","",INDEX(E_SourceStreams!$A:$N,DL36,AG$7)))</f>
        <v/>
      </c>
      <c r="AH36" s="703" t="str">
        <f>IF($E36="","",IF(INDEX(E_SourceStreams!$A:$N,DM36,AH$7)="","",INDEX(E_SourceStreams!$A:$N,DM36,AH$7)))</f>
        <v/>
      </c>
      <c r="AI36" s="703" t="str">
        <f>IF($E36="","",IF(INDEX(E_SourceStreams!$A:$N,DN36,AI$7)="","",INDEX(E_SourceStreams!$A:$N,DN36,AI$7)))</f>
        <v/>
      </c>
      <c r="AJ36" s="703" t="str">
        <f>IF($E36="","",IF(INDEX(E_SourceStreams!$A:$N,DO36,AJ$7)="","",INDEX(E_SourceStreams!$A:$N,DO36,AJ$7)))</f>
        <v/>
      </c>
      <c r="AK36" s="703" t="str">
        <f>IF($E36="","",IF(INDEX(E_SourceStreams!$A:$N,DP36,AK$7)="","",INDEX(E_SourceStreams!$A:$N,DP36,AK$7)))</f>
        <v/>
      </c>
      <c r="AL36" s="703" t="str">
        <f>IF($E36="","",IF(INDEX(E_SourceStreams!$A:$N,DQ36,AL$7)="","",INDEX(E_SourceStreams!$A:$N,DQ36,AL$7)))</f>
        <v/>
      </c>
      <c r="AM36" s="703" t="str">
        <f>IF($E36="","",IF(INDEX(E_SourceStreams!$A:$N,DR36,AM$7)="","",INDEX(E_SourceStreams!$A:$N,DR36,AM$7)))</f>
        <v/>
      </c>
      <c r="AN36" s="703" t="str">
        <f>IF($E36="","",IF(INDEX(E_SourceStreams!$A:$N,DS36,AN$7)="","",INDEX(E_SourceStreams!$A:$N,DS36,AN$7)))</f>
        <v/>
      </c>
      <c r="AO36" s="703" t="str">
        <f>IF($E36="","",IF(INDEX(E_SourceStreams!$A:$N,DT36,AO$7)="","",INDEX(E_SourceStreams!$A:$N,DT36,AO$7)))</f>
        <v/>
      </c>
      <c r="AP36" s="703" t="str">
        <f>IF($E36="","",IF(INDEX(E_SourceStreams!$A:$N,DU36,AP$7)="","",INDEX(E_SourceStreams!$A:$N,DU36,AP$7)))</f>
        <v/>
      </c>
      <c r="AQ36" s="703" t="str">
        <f>IF($E36="","",IF(INDEX(E_SourceStreams!$A:$N,DV36,AQ$7)="","",INDEX(E_SourceStreams!$A:$N,DV36,AQ$7)))</f>
        <v/>
      </c>
      <c r="AR36" s="703" t="str">
        <f>IF($E36="","",IF(INDEX(E_SourceStreams!$A:$N,DW36,AR$7)="","",INDEX(E_SourceStreams!$A:$N,DW36,AR$7)))</f>
        <v/>
      </c>
      <c r="AS36" s="703" t="str">
        <f>IF($E36="","",IF(INDEX(E_SourceStreams!$A:$N,DX36,AS$7)="","",INDEX(E_SourceStreams!$A:$N,DX36,AS$7)))</f>
        <v/>
      </c>
      <c r="AT36" s="703" t="str">
        <f>IF($E36="","",IF(INDEX(E_SourceStreams!$A:$N,DY36,AT$7)="","",INDEX(E_SourceStreams!$A:$N,DY36,AT$7)))</f>
        <v/>
      </c>
      <c r="AU36" s="703" t="str">
        <f>IF($E36="","",IF(INDEX(E_SourceStreams!$A:$N,DZ36,AU$7)="","",INDEX(E_SourceStreams!$A:$N,DZ36,AU$7)))</f>
        <v/>
      </c>
      <c r="AV36" s="703" t="str">
        <f>IF($E36="","",IF(INDEX(E_SourceStreams!$A:$N,EA36,AV$7)="","",INDEX(E_SourceStreams!$A:$N,EA36,AV$7)))</f>
        <v/>
      </c>
      <c r="AW36" s="703" t="str">
        <f>IF($E36="","",IF(INDEX(E_SourceStreams!$A:$N,EB36,AW$7)="","",INDEX(E_SourceStreams!$A:$N,EB36,AW$7)))</f>
        <v/>
      </c>
      <c r="AX36" s="703" t="str">
        <f>IF($E36="","",IF(INDEX(E_SourceStreams!$A:$N,EC36,AX$7)="","",INDEX(E_SourceStreams!$A:$N,EC36,AX$7)))</f>
        <v/>
      </c>
      <c r="AY36" s="703" t="str">
        <f>IF($E36="","",IF(INDEX(E_SourceStreams!$A:$N,ED36,AY$7)="","",INDEX(E_SourceStreams!$A:$N,ED36,AY$7)))</f>
        <v/>
      </c>
      <c r="AZ36" s="703" t="str">
        <f>IF($E36="","",IF(INDEX(E_SourceStreams!$A:$N,EE36,AZ$7)="","",INDEX(E_SourceStreams!$A:$N,EE36,AZ$7)))</f>
        <v/>
      </c>
      <c r="BA36" s="703" t="str">
        <f>IF($E36="","",IF(INDEX(E_SourceStreams!$A:$N,EF36,BA$7)="","",INDEX(E_SourceStreams!$A:$N,EF36,BA$7)))</f>
        <v/>
      </c>
      <c r="BB36" s="703" t="str">
        <f>IF($E36="","",IF(INDEX(E_SourceStreams!$A:$N,EG36,BB$7)="","",INDEX(E_SourceStreams!$A:$N,EG36,BB$7)))</f>
        <v/>
      </c>
      <c r="BC36" s="703" t="str">
        <f>IF($E36="","",IF(INDEX(E_SourceStreams!$A:$N,EH36,BC$7)="","",INDEX(E_SourceStreams!$A:$N,EH36,BC$7)))</f>
        <v/>
      </c>
      <c r="BD36" s="703" t="str">
        <f>IF($E36="","",IF(INDEX(E_SourceStreams!$A:$N,EI36,BD$7)="","",INDEX(E_SourceStreams!$A:$N,EI36,BD$7)))</f>
        <v/>
      </c>
      <c r="BE36" s="703" t="str">
        <f>IF($E36="","",IF(INDEX(E_SourceStreams!$A:$N,EJ36,BE$7)="","",INDEX(E_SourceStreams!$A:$N,EJ36,BE$7)))</f>
        <v/>
      </c>
      <c r="BF36" s="703" t="str">
        <f>IF($E36="","",IF(INDEX(E_SourceStreams!$A:$N,EK36,BF$7)="","",INDEX(E_SourceStreams!$A:$N,EK36,BF$7)))</f>
        <v/>
      </c>
      <c r="BG36" s="703" t="str">
        <f>IF($E36="","",IF(INDEX(E_SourceStreams!$A:$N,EL36,BG$7)="","",INDEX(E_SourceStreams!$A:$N,EL36,BG$7)))</f>
        <v/>
      </c>
      <c r="BH36" s="703" t="str">
        <f>IF($E36="","",IF(INDEX(E_SourceStreams!$A:$N,EM36,BH$7)="","",INDEX(E_SourceStreams!$A:$N,EM36,BH$7)))</f>
        <v/>
      </c>
      <c r="BI36" s="703" t="str">
        <f>IF($E36="","",IF(INDEX(E_SourceStreams!$A:$N,EN36,BI$7)="","",INDEX(E_SourceStreams!$A:$N,EN36,BI$7)))</f>
        <v/>
      </c>
      <c r="BJ36" s="703" t="str">
        <f>IF($E36="","",IF(INDEX(E_SourceStreams!$A:$N,EO36,BJ$7)="","",INDEX(E_SourceStreams!$A:$N,EO36,BJ$7)))</f>
        <v/>
      </c>
      <c r="BK36" s="703" t="str">
        <f>IF($E36="","",IF(INDEX(E_SourceStreams!$A:$N,EP36,BK$7)="","",INDEX(E_SourceStreams!$A:$N,EP36,BK$7)))</f>
        <v/>
      </c>
      <c r="BL36" s="703" t="str">
        <f>IF($E36="","",IF(INDEX(E_SourceStreams!$A:$N,EQ36,BL$7)="","",INDEX(E_SourceStreams!$A:$N,EQ36,BL$7)))</f>
        <v/>
      </c>
      <c r="BM36" s="703" t="str">
        <f>IF($E36="","",IF(INDEX(E_SourceStreams!$A:$N,ER36,BM$7)="","",INDEX(E_SourceStreams!$A:$N,ER36,BM$7)))</f>
        <v/>
      </c>
      <c r="BN36" s="703" t="str">
        <f>IF($E36="","",IF(INDEX(E_SourceStreams!$A:$N,ES36,BN$7)="","",INDEX(E_SourceStreams!$A:$N,ES36,BN$7)))</f>
        <v/>
      </c>
      <c r="BO36" s="703" t="str">
        <f>IF($E36="","",IF(INDEX(E_SourceStreams!$A:$N,ET36,BO$7)="","",INDEX(E_SourceStreams!$A:$N,ET36,BO$7)))</f>
        <v/>
      </c>
      <c r="BP36" s="703" t="str">
        <f>IF($E36="","",IF(INDEX(E_SourceStreams!$A:$N,EU36,BP$7)="","",INDEX(E_SourceStreams!$A:$N,EU36,BP$7)))</f>
        <v/>
      </c>
      <c r="BQ36" s="703" t="str">
        <f>IF($E36="","",IF(INDEX(E_SourceStreams!$A:$N,EV36,BQ$7)="","",INDEX(E_SourceStreams!$A:$N,EV36,BQ$7)))</f>
        <v/>
      </c>
      <c r="BR36" s="703" t="str">
        <f>IF($E36="","",IF(INDEX(E_SourceStreams!$A:$N,EW36,BR$7)="","",INDEX(E_SourceStreams!$A:$N,EW36,BR$7)))</f>
        <v/>
      </c>
      <c r="BS36" s="703" t="str">
        <f>IF($E36="","",IF(INDEX(E_SourceStreams!$A:$N,EX36,BS$7)="","",INDEX(E_SourceStreams!$A:$N,EX36,BS$7)))</f>
        <v/>
      </c>
      <c r="BT36" s="703" t="str">
        <f>IF($E36="","",IF(INDEX(E_SourceStreams!$A:$N,EY36,BT$7)="","",INDEX(E_SourceStreams!$A:$N,EY36,BT$7)))</f>
        <v/>
      </c>
      <c r="BU36" s="625"/>
      <c r="CJ36" s="679" t="str">
        <f t="shared" si="0"/>
        <v>SourceCategory_</v>
      </c>
      <c r="CK36" s="679" t="b">
        <f>INDEX(C_InstallationDescription!$A$226:$A$332,ROWS($CI$11:CI36))="ausblenden"</f>
        <v>0</v>
      </c>
      <c r="CL36" s="679" t="str">
        <f t="shared" si="1"/>
        <v>SourceStreamName_</v>
      </c>
      <c r="CN36" s="679">
        <f t="shared" si="65"/>
        <v>1785</v>
      </c>
      <c r="CO36" s="679">
        <f t="shared" si="2"/>
        <v>1787</v>
      </c>
      <c r="CP36" s="679">
        <f t="shared" si="3"/>
        <v>1789</v>
      </c>
      <c r="CQ36" s="679">
        <f t="shared" si="4"/>
        <v>1791</v>
      </c>
      <c r="CR36" s="679">
        <f t="shared" si="5"/>
        <v>1793</v>
      </c>
      <c r="CS36" s="679">
        <f t="shared" si="6"/>
        <v>1795</v>
      </c>
      <c r="CT36" s="679">
        <f t="shared" si="7"/>
        <v>1797</v>
      </c>
      <c r="CU36" s="679">
        <f t="shared" si="8"/>
        <v>1797</v>
      </c>
      <c r="CV36" s="679">
        <f t="shared" si="9"/>
        <v>1797</v>
      </c>
      <c r="CW36" s="679">
        <f t="shared" si="10"/>
        <v>1797</v>
      </c>
      <c r="CX36" s="679">
        <f t="shared" si="11"/>
        <v>1797</v>
      </c>
      <c r="CY36" s="679">
        <f t="shared" si="12"/>
        <v>1800</v>
      </c>
      <c r="CZ36" s="679">
        <f t="shared" si="13"/>
        <v>1804</v>
      </c>
      <c r="DA36" s="679">
        <f t="shared" si="14"/>
        <v>1805</v>
      </c>
      <c r="DB36" s="679">
        <f t="shared" si="15"/>
        <v>1806</v>
      </c>
      <c r="DC36" s="679">
        <f t="shared" si="16"/>
        <v>1813</v>
      </c>
      <c r="DD36" s="679">
        <f t="shared" si="17"/>
        <v>1823</v>
      </c>
      <c r="DE36" s="679">
        <f t="shared" si="18"/>
        <v>1823</v>
      </c>
      <c r="DF36" s="679">
        <f t="shared" si="19"/>
        <v>1823</v>
      </c>
      <c r="DG36" s="679">
        <f t="shared" si="20"/>
        <v>1823</v>
      </c>
      <c r="DH36" s="679">
        <f t="shared" si="21"/>
        <v>1823</v>
      </c>
      <c r="DI36" s="679">
        <f t="shared" si="22"/>
        <v>1823</v>
      </c>
      <c r="DJ36" s="679">
        <f t="shared" si="23"/>
        <v>1823</v>
      </c>
      <c r="DK36" s="679">
        <f t="shared" si="24"/>
        <v>1814</v>
      </c>
      <c r="DL36" s="679">
        <f t="shared" si="25"/>
        <v>1824</v>
      </c>
      <c r="DM36" s="679">
        <f t="shared" si="26"/>
        <v>1824</v>
      </c>
      <c r="DN36" s="679">
        <f t="shared" si="27"/>
        <v>1824</v>
      </c>
      <c r="DO36" s="679">
        <f t="shared" si="28"/>
        <v>1824</v>
      </c>
      <c r="DP36" s="679">
        <f t="shared" si="29"/>
        <v>1824</v>
      </c>
      <c r="DQ36" s="679">
        <f t="shared" si="30"/>
        <v>1824</v>
      </c>
      <c r="DR36" s="679">
        <f t="shared" si="31"/>
        <v>1824</v>
      </c>
      <c r="DS36" s="679">
        <f t="shared" si="32"/>
        <v>1815</v>
      </c>
      <c r="DT36" s="679">
        <f t="shared" si="33"/>
        <v>1825</v>
      </c>
      <c r="DU36" s="679">
        <f t="shared" si="34"/>
        <v>1825</v>
      </c>
      <c r="DV36" s="679">
        <f t="shared" si="35"/>
        <v>1825</v>
      </c>
      <c r="DW36" s="679">
        <f t="shared" si="36"/>
        <v>1825</v>
      </c>
      <c r="DX36" s="679">
        <f t="shared" si="37"/>
        <v>1825</v>
      </c>
      <c r="DY36" s="679">
        <f t="shared" si="38"/>
        <v>1825</v>
      </c>
      <c r="DZ36" s="679">
        <f t="shared" si="39"/>
        <v>1825</v>
      </c>
      <c r="EA36" s="679">
        <f t="shared" si="40"/>
        <v>1816</v>
      </c>
      <c r="EB36" s="679">
        <f t="shared" si="41"/>
        <v>1826</v>
      </c>
      <c r="EC36" s="679">
        <f t="shared" si="42"/>
        <v>1826</v>
      </c>
      <c r="ED36" s="679">
        <f t="shared" si="43"/>
        <v>1826</v>
      </c>
      <c r="EE36" s="679">
        <f t="shared" si="44"/>
        <v>1826</v>
      </c>
      <c r="EF36" s="679">
        <f t="shared" si="45"/>
        <v>1826</v>
      </c>
      <c r="EG36" s="679">
        <f t="shared" si="46"/>
        <v>1826</v>
      </c>
      <c r="EH36" s="679">
        <f t="shared" si="47"/>
        <v>1826</v>
      </c>
      <c r="EI36" s="679">
        <f t="shared" si="48"/>
        <v>1817</v>
      </c>
      <c r="EJ36" s="679">
        <f t="shared" si="49"/>
        <v>1827</v>
      </c>
      <c r="EK36" s="679">
        <f t="shared" si="50"/>
        <v>1827</v>
      </c>
      <c r="EL36" s="679">
        <f t="shared" si="51"/>
        <v>1827</v>
      </c>
      <c r="EM36" s="679">
        <f t="shared" si="52"/>
        <v>1827</v>
      </c>
      <c r="EN36" s="679">
        <f t="shared" si="53"/>
        <v>1827</v>
      </c>
      <c r="EO36" s="679">
        <f t="shared" si="54"/>
        <v>1827</v>
      </c>
      <c r="EP36" s="679">
        <f t="shared" si="55"/>
        <v>1827</v>
      </c>
      <c r="EQ36" s="679">
        <f t="shared" si="56"/>
        <v>1818</v>
      </c>
      <c r="ER36" s="679">
        <f t="shared" si="57"/>
        <v>1828</v>
      </c>
      <c r="ES36" s="679">
        <f t="shared" si="58"/>
        <v>1828</v>
      </c>
      <c r="ET36" s="679">
        <f t="shared" si="59"/>
        <v>1828</v>
      </c>
      <c r="EU36" s="679">
        <f t="shared" si="60"/>
        <v>1828</v>
      </c>
      <c r="EV36" s="679">
        <f t="shared" si="61"/>
        <v>1828</v>
      </c>
      <c r="EW36" s="679">
        <f t="shared" si="62"/>
        <v>1828</v>
      </c>
      <c r="EX36" s="679">
        <f t="shared" si="63"/>
        <v>1828</v>
      </c>
      <c r="EY36" s="679">
        <f t="shared" si="64"/>
        <v>1834</v>
      </c>
    </row>
    <row r="37" spans="2:155" ht="12.75" customHeight="1" x14ac:dyDescent="0.2">
      <c r="B37" s="700" t="str">
        <f>IF(COUNTIF($CK$10:CK37,TRUE)&gt;0,"",INDEX(C_InstallationDescription!$E$226:$E$242,ROWS($A$11:A37)))</f>
        <v/>
      </c>
      <c r="C37" s="581" t="str">
        <f>IF($E37="","",INDEX(C_InstallationDescription!F:F,MATCH($B37,C_InstallationDescription!$E:$E,0)))</f>
        <v/>
      </c>
      <c r="D37" s="581" t="str">
        <f>IF($E37="","",INDEX(C_InstallationDescription!I:I,MATCH($B37,C_InstallationDescription!$E:$E,0)))</f>
        <v/>
      </c>
      <c r="E37" s="581" t="str">
        <f>IF($B37="","",INDEX(C_InstallationDescription!F:F,MATCH($CJ37,C_InstallationDescription!$Q:$Q,0)))</f>
        <v/>
      </c>
      <c r="F37" s="706" t="str">
        <f>IF($E37="","",INDEX(C_InstallationDescription!L:L,MATCH($CJ37,C_InstallationDescription!$Q:$Q,0)))</f>
        <v/>
      </c>
      <c r="G37" s="581" t="str">
        <f>IF($E37="","",INDEX(C_InstallationDescription!M:M,MATCH($CJ37,C_InstallationDescription!$Q:$Q,0)))</f>
        <v/>
      </c>
      <c r="H37" s="581" t="str">
        <f>IF($E37="","",INDEX(C_InstallationDescription!N:N,MATCH($CJ37,C_InstallationDescription!$Q:$Q,0)))</f>
        <v/>
      </c>
      <c r="I37" s="703" t="str">
        <f>IF($E37="","",IF(INDEX(E_SourceStreams!$A:$N,CN37,I$7)="","",INDEX(E_SourceStreams!$A:$N,CN37,I$7)))</f>
        <v/>
      </c>
      <c r="J37" s="703" t="str">
        <f>IF($E37="","",IF(INDEX(E_SourceStreams!$A:$N,CO37,J$7)="","",INDEX(E_SourceStreams!$A:$N,CO37,J$7)))</f>
        <v/>
      </c>
      <c r="K37" s="703" t="str">
        <f>IF($E37="","",IF(INDEX(E_SourceStreams!$A:$N,CP37,K$7)="","",INDEX(E_SourceStreams!$A:$N,CP37,K$7)))</f>
        <v/>
      </c>
      <c r="L37" s="703" t="str">
        <f>IF($E37="","",IF(INDEX(E_SourceStreams!$A:$N,CQ37,L$7)="","",INDEX(E_SourceStreams!$A:$N,CQ37,L$7)))</f>
        <v/>
      </c>
      <c r="M37" s="703" t="str">
        <f>IF($E37="","",IF(INDEX(E_SourceStreams!$A:$N,CR37,M$7)="","",INDEX(E_SourceStreams!$A:$N,CR37,M$7)))</f>
        <v/>
      </c>
      <c r="N37" s="703" t="str">
        <f>IF($E37="","",IF(INDEX(E_SourceStreams!$A:$N,CS37,N$7)="","",INDEX(E_SourceStreams!$A:$N,CS37,N$7)))</f>
        <v/>
      </c>
      <c r="O37" s="703" t="str">
        <f>IF($E37="","",IF(INDEX(E_SourceStreams!$A:$N,CT37,O$7)="","",INDEX(E_SourceStreams!$A:$N,CT37,O$7)))</f>
        <v/>
      </c>
      <c r="P37" s="703" t="str">
        <f>IF($E37="","",IF(INDEX(E_SourceStreams!$A:$N,CU37,P$7)="","",INDEX(E_SourceStreams!$A:$N,CU37,P$7)))</f>
        <v/>
      </c>
      <c r="Q37" s="703" t="str">
        <f>IF($E37="","",IF(INDEX(E_SourceStreams!$A:$N,CV37,Q$7)="","",INDEX(E_SourceStreams!$A:$N,CV37,Q$7)))</f>
        <v/>
      </c>
      <c r="R37" s="703" t="str">
        <f>IF($E37="","",IF(INDEX(E_SourceStreams!$A:$N,CW37,R$7)="","",INDEX(E_SourceStreams!$A:$N,CW37,R$7)))</f>
        <v/>
      </c>
      <c r="S37" s="703" t="str">
        <f>IF($E37="","",IF(INDEX(E_SourceStreams!$A:$N,CX37,S$7)="","",INDEX(E_SourceStreams!$A:$N,CX37,S$7)))</f>
        <v/>
      </c>
      <c r="T37" s="703" t="str">
        <f>IF($E37="","",IF(INDEX(E_SourceStreams!$A:$N,CY37,T$7)="","",INDEX(E_SourceStreams!$A:$N,CY37,T$7)))</f>
        <v/>
      </c>
      <c r="U37" s="703" t="str">
        <f>IF($E37="","",IF(INDEX(E_SourceStreams!$A:$N,CZ37,U$7)="","",INDEX(E_SourceStreams!$A:$N,CZ37,U$7)))</f>
        <v/>
      </c>
      <c r="V37" s="703" t="str">
        <f>IF($E37="","",IF(INDEX(E_SourceStreams!$A:$N,DA37,V$7)="","",INDEX(E_SourceStreams!$A:$N,DA37,V$7)))</f>
        <v/>
      </c>
      <c r="W37" s="704" t="str">
        <f>IF($E37="","",IF(INDEX(E_SourceStreams!$A:$N,DB37,W$7)="","",INDEX(E_SourceStreams!$A:$N,DB37,W$7)))</f>
        <v/>
      </c>
      <c r="X37" s="703" t="str">
        <f>IF($E37="","",IF(INDEX(E_SourceStreams!$A:$N,DC37,X$7)="","",INDEX(E_SourceStreams!$A:$N,DC37,X$7)))</f>
        <v/>
      </c>
      <c r="Y37" s="703" t="str">
        <f>IF($E37="","",IF(INDEX(E_SourceStreams!$A:$N,DD37,Y$7)="","",INDEX(E_SourceStreams!$A:$N,DD37,Y$7)))</f>
        <v/>
      </c>
      <c r="Z37" s="703" t="str">
        <f>IF($E37="","",IF(INDEX(E_SourceStreams!$A:$N,DE37,Z$7)="","",INDEX(E_SourceStreams!$A:$N,DE37,Z$7)))</f>
        <v/>
      </c>
      <c r="AA37" s="703" t="str">
        <f>IF($E37="","",IF(INDEX(E_SourceStreams!$A:$N,DF37,AA$7)="","",INDEX(E_SourceStreams!$A:$N,DF37,AA$7)))</f>
        <v/>
      </c>
      <c r="AB37" s="703" t="str">
        <f>IF($E37="","",IF(INDEX(E_SourceStreams!$A:$N,DG37,AB$7)="","",INDEX(E_SourceStreams!$A:$N,DG37,AB$7)))</f>
        <v/>
      </c>
      <c r="AC37" s="703" t="str">
        <f>IF($E37="","",IF(INDEX(E_SourceStreams!$A:$N,DH37,AC$7)="","",INDEX(E_SourceStreams!$A:$N,DH37,AC$7)))</f>
        <v/>
      </c>
      <c r="AD37" s="703" t="str">
        <f>IF($E37="","",IF(INDEX(E_SourceStreams!$A:$N,DI37,AD$7)="","",INDEX(E_SourceStreams!$A:$N,DI37,AD$7)))</f>
        <v/>
      </c>
      <c r="AE37" s="703" t="str">
        <f>IF($E37="","",IF(INDEX(E_SourceStreams!$A:$N,DJ37,AE$7)="","",INDEX(E_SourceStreams!$A:$N,DJ37,AE$7)))</f>
        <v/>
      </c>
      <c r="AF37" s="703" t="str">
        <f>IF($E37="","",IF(INDEX(E_SourceStreams!$A:$N,DK37,AF$7)="","",INDEX(E_SourceStreams!$A:$N,DK37,AF$7)))</f>
        <v/>
      </c>
      <c r="AG37" s="703" t="str">
        <f>IF($E37="","",IF(INDEX(E_SourceStreams!$A:$N,DL37,AG$7)="","",INDEX(E_SourceStreams!$A:$N,DL37,AG$7)))</f>
        <v/>
      </c>
      <c r="AH37" s="703" t="str">
        <f>IF($E37="","",IF(INDEX(E_SourceStreams!$A:$N,DM37,AH$7)="","",INDEX(E_SourceStreams!$A:$N,DM37,AH$7)))</f>
        <v/>
      </c>
      <c r="AI37" s="703" t="str">
        <f>IF($E37="","",IF(INDEX(E_SourceStreams!$A:$N,DN37,AI$7)="","",INDEX(E_SourceStreams!$A:$N,DN37,AI$7)))</f>
        <v/>
      </c>
      <c r="AJ37" s="703" t="str">
        <f>IF($E37="","",IF(INDEX(E_SourceStreams!$A:$N,DO37,AJ$7)="","",INDEX(E_SourceStreams!$A:$N,DO37,AJ$7)))</f>
        <v/>
      </c>
      <c r="AK37" s="703" t="str">
        <f>IF($E37="","",IF(INDEX(E_SourceStreams!$A:$N,DP37,AK$7)="","",INDEX(E_SourceStreams!$A:$N,DP37,AK$7)))</f>
        <v/>
      </c>
      <c r="AL37" s="703" t="str">
        <f>IF($E37="","",IF(INDEX(E_SourceStreams!$A:$N,DQ37,AL$7)="","",INDEX(E_SourceStreams!$A:$N,DQ37,AL$7)))</f>
        <v/>
      </c>
      <c r="AM37" s="703" t="str">
        <f>IF($E37="","",IF(INDEX(E_SourceStreams!$A:$N,DR37,AM$7)="","",INDEX(E_SourceStreams!$A:$N,DR37,AM$7)))</f>
        <v/>
      </c>
      <c r="AN37" s="703" t="str">
        <f>IF($E37="","",IF(INDEX(E_SourceStreams!$A:$N,DS37,AN$7)="","",INDEX(E_SourceStreams!$A:$N,DS37,AN$7)))</f>
        <v/>
      </c>
      <c r="AO37" s="703" t="str">
        <f>IF($E37="","",IF(INDEX(E_SourceStreams!$A:$N,DT37,AO$7)="","",INDEX(E_SourceStreams!$A:$N,DT37,AO$7)))</f>
        <v/>
      </c>
      <c r="AP37" s="703" t="str">
        <f>IF($E37="","",IF(INDEX(E_SourceStreams!$A:$N,DU37,AP$7)="","",INDEX(E_SourceStreams!$A:$N,DU37,AP$7)))</f>
        <v/>
      </c>
      <c r="AQ37" s="703" t="str">
        <f>IF($E37="","",IF(INDEX(E_SourceStreams!$A:$N,DV37,AQ$7)="","",INDEX(E_SourceStreams!$A:$N,DV37,AQ$7)))</f>
        <v/>
      </c>
      <c r="AR37" s="703" t="str">
        <f>IF($E37="","",IF(INDEX(E_SourceStreams!$A:$N,DW37,AR$7)="","",INDEX(E_SourceStreams!$A:$N,DW37,AR$7)))</f>
        <v/>
      </c>
      <c r="AS37" s="703" t="str">
        <f>IF($E37="","",IF(INDEX(E_SourceStreams!$A:$N,DX37,AS$7)="","",INDEX(E_SourceStreams!$A:$N,DX37,AS$7)))</f>
        <v/>
      </c>
      <c r="AT37" s="703" t="str">
        <f>IF($E37="","",IF(INDEX(E_SourceStreams!$A:$N,DY37,AT$7)="","",INDEX(E_SourceStreams!$A:$N,DY37,AT$7)))</f>
        <v/>
      </c>
      <c r="AU37" s="703" t="str">
        <f>IF($E37="","",IF(INDEX(E_SourceStreams!$A:$N,DZ37,AU$7)="","",INDEX(E_SourceStreams!$A:$N,DZ37,AU$7)))</f>
        <v/>
      </c>
      <c r="AV37" s="703" t="str">
        <f>IF($E37="","",IF(INDEX(E_SourceStreams!$A:$N,EA37,AV$7)="","",INDEX(E_SourceStreams!$A:$N,EA37,AV$7)))</f>
        <v/>
      </c>
      <c r="AW37" s="703" t="str">
        <f>IF($E37="","",IF(INDEX(E_SourceStreams!$A:$N,EB37,AW$7)="","",INDEX(E_SourceStreams!$A:$N,EB37,AW$7)))</f>
        <v/>
      </c>
      <c r="AX37" s="703" t="str">
        <f>IF($E37="","",IF(INDEX(E_SourceStreams!$A:$N,EC37,AX$7)="","",INDEX(E_SourceStreams!$A:$N,EC37,AX$7)))</f>
        <v/>
      </c>
      <c r="AY37" s="703" t="str">
        <f>IF($E37="","",IF(INDEX(E_SourceStreams!$A:$N,ED37,AY$7)="","",INDEX(E_SourceStreams!$A:$N,ED37,AY$7)))</f>
        <v/>
      </c>
      <c r="AZ37" s="703" t="str">
        <f>IF($E37="","",IF(INDEX(E_SourceStreams!$A:$N,EE37,AZ$7)="","",INDEX(E_SourceStreams!$A:$N,EE37,AZ$7)))</f>
        <v/>
      </c>
      <c r="BA37" s="703" t="str">
        <f>IF($E37="","",IF(INDEX(E_SourceStreams!$A:$N,EF37,BA$7)="","",INDEX(E_SourceStreams!$A:$N,EF37,BA$7)))</f>
        <v/>
      </c>
      <c r="BB37" s="703" t="str">
        <f>IF($E37="","",IF(INDEX(E_SourceStreams!$A:$N,EG37,BB$7)="","",INDEX(E_SourceStreams!$A:$N,EG37,BB$7)))</f>
        <v/>
      </c>
      <c r="BC37" s="703" t="str">
        <f>IF($E37="","",IF(INDEX(E_SourceStreams!$A:$N,EH37,BC$7)="","",INDEX(E_SourceStreams!$A:$N,EH37,BC$7)))</f>
        <v/>
      </c>
      <c r="BD37" s="703" t="str">
        <f>IF($E37="","",IF(INDEX(E_SourceStreams!$A:$N,EI37,BD$7)="","",INDEX(E_SourceStreams!$A:$N,EI37,BD$7)))</f>
        <v/>
      </c>
      <c r="BE37" s="703" t="str">
        <f>IF($E37="","",IF(INDEX(E_SourceStreams!$A:$N,EJ37,BE$7)="","",INDEX(E_SourceStreams!$A:$N,EJ37,BE$7)))</f>
        <v/>
      </c>
      <c r="BF37" s="703" t="str">
        <f>IF($E37="","",IF(INDEX(E_SourceStreams!$A:$N,EK37,BF$7)="","",INDEX(E_SourceStreams!$A:$N,EK37,BF$7)))</f>
        <v/>
      </c>
      <c r="BG37" s="703" t="str">
        <f>IF($E37="","",IF(INDEX(E_SourceStreams!$A:$N,EL37,BG$7)="","",INDEX(E_SourceStreams!$A:$N,EL37,BG$7)))</f>
        <v/>
      </c>
      <c r="BH37" s="703" t="str">
        <f>IF($E37="","",IF(INDEX(E_SourceStreams!$A:$N,EM37,BH$7)="","",INDEX(E_SourceStreams!$A:$N,EM37,BH$7)))</f>
        <v/>
      </c>
      <c r="BI37" s="703" t="str">
        <f>IF($E37="","",IF(INDEX(E_SourceStreams!$A:$N,EN37,BI$7)="","",INDEX(E_SourceStreams!$A:$N,EN37,BI$7)))</f>
        <v/>
      </c>
      <c r="BJ37" s="703" t="str">
        <f>IF($E37="","",IF(INDEX(E_SourceStreams!$A:$N,EO37,BJ$7)="","",INDEX(E_SourceStreams!$A:$N,EO37,BJ$7)))</f>
        <v/>
      </c>
      <c r="BK37" s="703" t="str">
        <f>IF($E37="","",IF(INDEX(E_SourceStreams!$A:$N,EP37,BK$7)="","",INDEX(E_SourceStreams!$A:$N,EP37,BK$7)))</f>
        <v/>
      </c>
      <c r="BL37" s="703" t="str">
        <f>IF($E37="","",IF(INDEX(E_SourceStreams!$A:$N,EQ37,BL$7)="","",INDEX(E_SourceStreams!$A:$N,EQ37,BL$7)))</f>
        <v/>
      </c>
      <c r="BM37" s="703" t="str">
        <f>IF($E37="","",IF(INDEX(E_SourceStreams!$A:$N,ER37,BM$7)="","",INDEX(E_SourceStreams!$A:$N,ER37,BM$7)))</f>
        <v/>
      </c>
      <c r="BN37" s="703" t="str">
        <f>IF($E37="","",IF(INDEX(E_SourceStreams!$A:$N,ES37,BN$7)="","",INDEX(E_SourceStreams!$A:$N,ES37,BN$7)))</f>
        <v/>
      </c>
      <c r="BO37" s="703" t="str">
        <f>IF($E37="","",IF(INDEX(E_SourceStreams!$A:$N,ET37,BO$7)="","",INDEX(E_SourceStreams!$A:$N,ET37,BO$7)))</f>
        <v/>
      </c>
      <c r="BP37" s="703" t="str">
        <f>IF($E37="","",IF(INDEX(E_SourceStreams!$A:$N,EU37,BP$7)="","",INDEX(E_SourceStreams!$A:$N,EU37,BP$7)))</f>
        <v/>
      </c>
      <c r="BQ37" s="703" t="str">
        <f>IF($E37="","",IF(INDEX(E_SourceStreams!$A:$N,EV37,BQ$7)="","",INDEX(E_SourceStreams!$A:$N,EV37,BQ$7)))</f>
        <v/>
      </c>
      <c r="BR37" s="703" t="str">
        <f>IF($E37="","",IF(INDEX(E_SourceStreams!$A:$N,EW37,BR$7)="","",INDEX(E_SourceStreams!$A:$N,EW37,BR$7)))</f>
        <v/>
      </c>
      <c r="BS37" s="703" t="str">
        <f>IF($E37="","",IF(INDEX(E_SourceStreams!$A:$N,EX37,BS$7)="","",INDEX(E_SourceStreams!$A:$N,EX37,BS$7)))</f>
        <v/>
      </c>
      <c r="BT37" s="703" t="str">
        <f>IF($E37="","",IF(INDEX(E_SourceStreams!$A:$N,EY37,BT$7)="","",INDEX(E_SourceStreams!$A:$N,EY37,BT$7)))</f>
        <v/>
      </c>
      <c r="BU37" s="625"/>
      <c r="CJ37" s="679" t="str">
        <f t="shared" si="0"/>
        <v>SourceCategory_</v>
      </c>
      <c r="CK37" s="679" t="b">
        <f>INDEX(C_InstallationDescription!$A$226:$A$332,ROWS($CI$11:CI37))="ausblenden"</f>
        <v>0</v>
      </c>
      <c r="CL37" s="679" t="str">
        <f t="shared" si="1"/>
        <v>SourceStreamName_</v>
      </c>
      <c r="CN37" s="679">
        <f t="shared" si="65"/>
        <v>1851</v>
      </c>
      <c r="CO37" s="679">
        <f t="shared" si="2"/>
        <v>1853</v>
      </c>
      <c r="CP37" s="679">
        <f t="shared" si="3"/>
        <v>1855</v>
      </c>
      <c r="CQ37" s="679">
        <f t="shared" si="4"/>
        <v>1857</v>
      </c>
      <c r="CR37" s="679">
        <f t="shared" si="5"/>
        <v>1859</v>
      </c>
      <c r="CS37" s="679">
        <f t="shared" si="6"/>
        <v>1861</v>
      </c>
      <c r="CT37" s="679">
        <f t="shared" si="7"/>
        <v>1863</v>
      </c>
      <c r="CU37" s="679">
        <f t="shared" si="8"/>
        <v>1863</v>
      </c>
      <c r="CV37" s="679">
        <f t="shared" si="9"/>
        <v>1863</v>
      </c>
      <c r="CW37" s="679">
        <f t="shared" si="10"/>
        <v>1863</v>
      </c>
      <c r="CX37" s="679">
        <f t="shared" si="11"/>
        <v>1863</v>
      </c>
      <c r="CY37" s="679">
        <f t="shared" si="12"/>
        <v>1866</v>
      </c>
      <c r="CZ37" s="679">
        <f t="shared" si="13"/>
        <v>1870</v>
      </c>
      <c r="DA37" s="679">
        <f t="shared" si="14"/>
        <v>1871</v>
      </c>
      <c r="DB37" s="679">
        <f t="shared" si="15"/>
        <v>1872</v>
      </c>
      <c r="DC37" s="679">
        <f t="shared" si="16"/>
        <v>1879</v>
      </c>
      <c r="DD37" s="679">
        <f t="shared" si="17"/>
        <v>1889</v>
      </c>
      <c r="DE37" s="679">
        <f t="shared" si="18"/>
        <v>1889</v>
      </c>
      <c r="DF37" s="679">
        <f t="shared" si="19"/>
        <v>1889</v>
      </c>
      <c r="DG37" s="679">
        <f t="shared" si="20"/>
        <v>1889</v>
      </c>
      <c r="DH37" s="679">
        <f t="shared" si="21"/>
        <v>1889</v>
      </c>
      <c r="DI37" s="679">
        <f t="shared" si="22"/>
        <v>1889</v>
      </c>
      <c r="DJ37" s="679">
        <f t="shared" si="23"/>
        <v>1889</v>
      </c>
      <c r="DK37" s="679">
        <f t="shared" si="24"/>
        <v>1880</v>
      </c>
      <c r="DL37" s="679">
        <f t="shared" si="25"/>
        <v>1890</v>
      </c>
      <c r="DM37" s="679">
        <f t="shared" si="26"/>
        <v>1890</v>
      </c>
      <c r="DN37" s="679">
        <f t="shared" si="27"/>
        <v>1890</v>
      </c>
      <c r="DO37" s="679">
        <f t="shared" si="28"/>
        <v>1890</v>
      </c>
      <c r="DP37" s="679">
        <f t="shared" si="29"/>
        <v>1890</v>
      </c>
      <c r="DQ37" s="679">
        <f t="shared" si="30"/>
        <v>1890</v>
      </c>
      <c r="DR37" s="679">
        <f t="shared" si="31"/>
        <v>1890</v>
      </c>
      <c r="DS37" s="679">
        <f t="shared" si="32"/>
        <v>1881</v>
      </c>
      <c r="DT37" s="679">
        <f t="shared" si="33"/>
        <v>1891</v>
      </c>
      <c r="DU37" s="679">
        <f t="shared" si="34"/>
        <v>1891</v>
      </c>
      <c r="DV37" s="679">
        <f t="shared" si="35"/>
        <v>1891</v>
      </c>
      <c r="DW37" s="679">
        <f t="shared" si="36"/>
        <v>1891</v>
      </c>
      <c r="DX37" s="679">
        <f t="shared" si="37"/>
        <v>1891</v>
      </c>
      <c r="DY37" s="679">
        <f t="shared" si="38"/>
        <v>1891</v>
      </c>
      <c r="DZ37" s="679">
        <f t="shared" si="39"/>
        <v>1891</v>
      </c>
      <c r="EA37" s="679">
        <f t="shared" si="40"/>
        <v>1882</v>
      </c>
      <c r="EB37" s="679">
        <f t="shared" si="41"/>
        <v>1892</v>
      </c>
      <c r="EC37" s="679">
        <f t="shared" si="42"/>
        <v>1892</v>
      </c>
      <c r="ED37" s="679">
        <f t="shared" si="43"/>
        <v>1892</v>
      </c>
      <c r="EE37" s="679">
        <f t="shared" si="44"/>
        <v>1892</v>
      </c>
      <c r="EF37" s="679">
        <f t="shared" si="45"/>
        <v>1892</v>
      </c>
      <c r="EG37" s="679">
        <f t="shared" si="46"/>
        <v>1892</v>
      </c>
      <c r="EH37" s="679">
        <f t="shared" si="47"/>
        <v>1892</v>
      </c>
      <c r="EI37" s="679">
        <f t="shared" si="48"/>
        <v>1883</v>
      </c>
      <c r="EJ37" s="679">
        <f t="shared" si="49"/>
        <v>1893</v>
      </c>
      <c r="EK37" s="679">
        <f t="shared" si="50"/>
        <v>1893</v>
      </c>
      <c r="EL37" s="679">
        <f t="shared" si="51"/>
        <v>1893</v>
      </c>
      <c r="EM37" s="679">
        <f t="shared" si="52"/>
        <v>1893</v>
      </c>
      <c r="EN37" s="679">
        <f t="shared" si="53"/>
        <v>1893</v>
      </c>
      <c r="EO37" s="679">
        <f t="shared" si="54"/>
        <v>1893</v>
      </c>
      <c r="EP37" s="679">
        <f t="shared" si="55"/>
        <v>1893</v>
      </c>
      <c r="EQ37" s="679">
        <f t="shared" si="56"/>
        <v>1884</v>
      </c>
      <c r="ER37" s="679">
        <f t="shared" si="57"/>
        <v>1894</v>
      </c>
      <c r="ES37" s="679">
        <f t="shared" si="58"/>
        <v>1894</v>
      </c>
      <c r="ET37" s="679">
        <f t="shared" si="59"/>
        <v>1894</v>
      </c>
      <c r="EU37" s="679">
        <f t="shared" si="60"/>
        <v>1894</v>
      </c>
      <c r="EV37" s="679">
        <f t="shared" si="61"/>
        <v>1894</v>
      </c>
      <c r="EW37" s="679">
        <f t="shared" si="62"/>
        <v>1894</v>
      </c>
      <c r="EX37" s="679">
        <f t="shared" si="63"/>
        <v>1894</v>
      </c>
      <c r="EY37" s="679">
        <f t="shared" si="64"/>
        <v>1900</v>
      </c>
    </row>
    <row r="38" spans="2:155" ht="12.75" customHeight="1" x14ac:dyDescent="0.2">
      <c r="B38" s="700" t="str">
        <f>IF(COUNTIF($CK$10:CK38,TRUE)&gt;0,"",INDEX(C_InstallationDescription!$E$226:$E$242,ROWS($A$11:A38)))</f>
        <v/>
      </c>
      <c r="C38" s="581" t="str">
        <f>IF($E38="","",INDEX(C_InstallationDescription!F:F,MATCH($B38,C_InstallationDescription!$E:$E,0)))</f>
        <v/>
      </c>
      <c r="D38" s="581" t="str">
        <f>IF($E38="","",INDEX(C_InstallationDescription!I:I,MATCH($B38,C_InstallationDescription!$E:$E,0)))</f>
        <v/>
      </c>
      <c r="E38" s="581" t="str">
        <f>IF($B38="","",INDEX(C_InstallationDescription!F:F,MATCH($CJ38,C_InstallationDescription!$Q:$Q,0)))</f>
        <v/>
      </c>
      <c r="F38" s="706" t="str">
        <f>IF($E38="","",INDEX(C_InstallationDescription!L:L,MATCH($CJ38,C_InstallationDescription!$Q:$Q,0)))</f>
        <v/>
      </c>
      <c r="G38" s="581" t="str">
        <f>IF($E38="","",INDEX(C_InstallationDescription!M:M,MATCH($CJ38,C_InstallationDescription!$Q:$Q,0)))</f>
        <v/>
      </c>
      <c r="H38" s="581" t="str">
        <f>IF($E38="","",INDEX(C_InstallationDescription!N:N,MATCH($CJ38,C_InstallationDescription!$Q:$Q,0)))</f>
        <v/>
      </c>
      <c r="I38" s="703" t="str">
        <f>IF($E38="","",IF(INDEX(E_SourceStreams!$A:$N,CN38,I$7)="","",INDEX(E_SourceStreams!$A:$N,CN38,I$7)))</f>
        <v/>
      </c>
      <c r="J38" s="703" t="str">
        <f>IF($E38="","",IF(INDEX(E_SourceStreams!$A:$N,CO38,J$7)="","",INDEX(E_SourceStreams!$A:$N,CO38,J$7)))</f>
        <v/>
      </c>
      <c r="K38" s="703" t="str">
        <f>IF($E38="","",IF(INDEX(E_SourceStreams!$A:$N,CP38,K$7)="","",INDEX(E_SourceStreams!$A:$N,CP38,K$7)))</f>
        <v/>
      </c>
      <c r="L38" s="703" t="str">
        <f>IF($E38="","",IF(INDEX(E_SourceStreams!$A:$N,CQ38,L$7)="","",INDEX(E_SourceStreams!$A:$N,CQ38,L$7)))</f>
        <v/>
      </c>
      <c r="M38" s="703" t="str">
        <f>IF($E38="","",IF(INDEX(E_SourceStreams!$A:$N,CR38,M$7)="","",INDEX(E_SourceStreams!$A:$N,CR38,M$7)))</f>
        <v/>
      </c>
      <c r="N38" s="703" t="str">
        <f>IF($E38="","",IF(INDEX(E_SourceStreams!$A:$N,CS38,N$7)="","",INDEX(E_SourceStreams!$A:$N,CS38,N$7)))</f>
        <v/>
      </c>
      <c r="O38" s="703" t="str">
        <f>IF($E38="","",IF(INDEX(E_SourceStreams!$A:$N,CT38,O$7)="","",INDEX(E_SourceStreams!$A:$N,CT38,O$7)))</f>
        <v/>
      </c>
      <c r="P38" s="703" t="str">
        <f>IF($E38="","",IF(INDEX(E_SourceStreams!$A:$N,CU38,P$7)="","",INDEX(E_SourceStreams!$A:$N,CU38,P$7)))</f>
        <v/>
      </c>
      <c r="Q38" s="703" t="str">
        <f>IF($E38="","",IF(INDEX(E_SourceStreams!$A:$N,CV38,Q$7)="","",INDEX(E_SourceStreams!$A:$N,CV38,Q$7)))</f>
        <v/>
      </c>
      <c r="R38" s="703" t="str">
        <f>IF($E38="","",IF(INDEX(E_SourceStreams!$A:$N,CW38,R$7)="","",INDEX(E_SourceStreams!$A:$N,CW38,R$7)))</f>
        <v/>
      </c>
      <c r="S38" s="703" t="str">
        <f>IF($E38="","",IF(INDEX(E_SourceStreams!$A:$N,CX38,S$7)="","",INDEX(E_SourceStreams!$A:$N,CX38,S$7)))</f>
        <v/>
      </c>
      <c r="T38" s="703" t="str">
        <f>IF($E38="","",IF(INDEX(E_SourceStreams!$A:$N,CY38,T$7)="","",INDEX(E_SourceStreams!$A:$N,CY38,T$7)))</f>
        <v/>
      </c>
      <c r="U38" s="703" t="str">
        <f>IF($E38="","",IF(INDEX(E_SourceStreams!$A:$N,CZ38,U$7)="","",INDEX(E_SourceStreams!$A:$N,CZ38,U$7)))</f>
        <v/>
      </c>
      <c r="V38" s="703" t="str">
        <f>IF($E38="","",IF(INDEX(E_SourceStreams!$A:$N,DA38,V$7)="","",INDEX(E_SourceStreams!$A:$N,DA38,V$7)))</f>
        <v/>
      </c>
      <c r="W38" s="704" t="str">
        <f>IF($E38="","",IF(INDEX(E_SourceStreams!$A:$N,DB38,W$7)="","",INDEX(E_SourceStreams!$A:$N,DB38,W$7)))</f>
        <v/>
      </c>
      <c r="X38" s="703" t="str">
        <f>IF($E38="","",IF(INDEX(E_SourceStreams!$A:$N,DC38,X$7)="","",INDEX(E_SourceStreams!$A:$N,DC38,X$7)))</f>
        <v/>
      </c>
      <c r="Y38" s="703" t="str">
        <f>IF($E38="","",IF(INDEX(E_SourceStreams!$A:$N,DD38,Y$7)="","",INDEX(E_SourceStreams!$A:$N,DD38,Y$7)))</f>
        <v/>
      </c>
      <c r="Z38" s="703" t="str">
        <f>IF($E38="","",IF(INDEX(E_SourceStreams!$A:$N,DE38,Z$7)="","",INDEX(E_SourceStreams!$A:$N,DE38,Z$7)))</f>
        <v/>
      </c>
      <c r="AA38" s="703" t="str">
        <f>IF($E38="","",IF(INDEX(E_SourceStreams!$A:$N,DF38,AA$7)="","",INDEX(E_SourceStreams!$A:$N,DF38,AA$7)))</f>
        <v/>
      </c>
      <c r="AB38" s="703" t="str">
        <f>IF($E38="","",IF(INDEX(E_SourceStreams!$A:$N,DG38,AB$7)="","",INDEX(E_SourceStreams!$A:$N,DG38,AB$7)))</f>
        <v/>
      </c>
      <c r="AC38" s="703" t="str">
        <f>IF($E38="","",IF(INDEX(E_SourceStreams!$A:$N,DH38,AC$7)="","",INDEX(E_SourceStreams!$A:$N,DH38,AC$7)))</f>
        <v/>
      </c>
      <c r="AD38" s="703" t="str">
        <f>IF($E38="","",IF(INDEX(E_SourceStreams!$A:$N,DI38,AD$7)="","",INDEX(E_SourceStreams!$A:$N,DI38,AD$7)))</f>
        <v/>
      </c>
      <c r="AE38" s="703" t="str">
        <f>IF($E38="","",IF(INDEX(E_SourceStreams!$A:$N,DJ38,AE$7)="","",INDEX(E_SourceStreams!$A:$N,DJ38,AE$7)))</f>
        <v/>
      </c>
      <c r="AF38" s="703" t="str">
        <f>IF($E38="","",IF(INDEX(E_SourceStreams!$A:$N,DK38,AF$7)="","",INDEX(E_SourceStreams!$A:$N,DK38,AF$7)))</f>
        <v/>
      </c>
      <c r="AG38" s="703" t="str">
        <f>IF($E38="","",IF(INDEX(E_SourceStreams!$A:$N,DL38,AG$7)="","",INDEX(E_SourceStreams!$A:$N,DL38,AG$7)))</f>
        <v/>
      </c>
      <c r="AH38" s="703" t="str">
        <f>IF($E38="","",IF(INDEX(E_SourceStreams!$A:$N,DM38,AH$7)="","",INDEX(E_SourceStreams!$A:$N,DM38,AH$7)))</f>
        <v/>
      </c>
      <c r="AI38" s="703" t="str">
        <f>IF($E38="","",IF(INDEX(E_SourceStreams!$A:$N,DN38,AI$7)="","",INDEX(E_SourceStreams!$A:$N,DN38,AI$7)))</f>
        <v/>
      </c>
      <c r="AJ38" s="703" t="str">
        <f>IF($E38="","",IF(INDEX(E_SourceStreams!$A:$N,DO38,AJ$7)="","",INDEX(E_SourceStreams!$A:$N,DO38,AJ$7)))</f>
        <v/>
      </c>
      <c r="AK38" s="703" t="str">
        <f>IF($E38="","",IF(INDEX(E_SourceStreams!$A:$N,DP38,AK$7)="","",INDEX(E_SourceStreams!$A:$N,DP38,AK$7)))</f>
        <v/>
      </c>
      <c r="AL38" s="703" t="str">
        <f>IF($E38="","",IF(INDEX(E_SourceStreams!$A:$N,DQ38,AL$7)="","",INDEX(E_SourceStreams!$A:$N,DQ38,AL$7)))</f>
        <v/>
      </c>
      <c r="AM38" s="703" t="str">
        <f>IF($E38="","",IF(INDEX(E_SourceStreams!$A:$N,DR38,AM$7)="","",INDEX(E_SourceStreams!$A:$N,DR38,AM$7)))</f>
        <v/>
      </c>
      <c r="AN38" s="703" t="str">
        <f>IF($E38="","",IF(INDEX(E_SourceStreams!$A:$N,DS38,AN$7)="","",INDEX(E_SourceStreams!$A:$N,DS38,AN$7)))</f>
        <v/>
      </c>
      <c r="AO38" s="703" t="str">
        <f>IF($E38="","",IF(INDEX(E_SourceStreams!$A:$N,DT38,AO$7)="","",INDEX(E_SourceStreams!$A:$N,DT38,AO$7)))</f>
        <v/>
      </c>
      <c r="AP38" s="703" t="str">
        <f>IF($E38="","",IF(INDEX(E_SourceStreams!$A:$N,DU38,AP$7)="","",INDEX(E_SourceStreams!$A:$N,DU38,AP$7)))</f>
        <v/>
      </c>
      <c r="AQ38" s="703" t="str">
        <f>IF($E38="","",IF(INDEX(E_SourceStreams!$A:$N,DV38,AQ$7)="","",INDEX(E_SourceStreams!$A:$N,DV38,AQ$7)))</f>
        <v/>
      </c>
      <c r="AR38" s="703" t="str">
        <f>IF($E38="","",IF(INDEX(E_SourceStreams!$A:$N,DW38,AR$7)="","",INDEX(E_SourceStreams!$A:$N,DW38,AR$7)))</f>
        <v/>
      </c>
      <c r="AS38" s="703" t="str">
        <f>IF($E38="","",IF(INDEX(E_SourceStreams!$A:$N,DX38,AS$7)="","",INDEX(E_SourceStreams!$A:$N,DX38,AS$7)))</f>
        <v/>
      </c>
      <c r="AT38" s="703" t="str">
        <f>IF($E38="","",IF(INDEX(E_SourceStreams!$A:$N,DY38,AT$7)="","",INDEX(E_SourceStreams!$A:$N,DY38,AT$7)))</f>
        <v/>
      </c>
      <c r="AU38" s="703" t="str">
        <f>IF($E38="","",IF(INDEX(E_SourceStreams!$A:$N,DZ38,AU$7)="","",INDEX(E_SourceStreams!$A:$N,DZ38,AU$7)))</f>
        <v/>
      </c>
      <c r="AV38" s="703" t="str">
        <f>IF($E38="","",IF(INDEX(E_SourceStreams!$A:$N,EA38,AV$7)="","",INDEX(E_SourceStreams!$A:$N,EA38,AV$7)))</f>
        <v/>
      </c>
      <c r="AW38" s="703" t="str">
        <f>IF($E38="","",IF(INDEX(E_SourceStreams!$A:$N,EB38,AW$7)="","",INDEX(E_SourceStreams!$A:$N,EB38,AW$7)))</f>
        <v/>
      </c>
      <c r="AX38" s="703" t="str">
        <f>IF($E38="","",IF(INDEX(E_SourceStreams!$A:$N,EC38,AX$7)="","",INDEX(E_SourceStreams!$A:$N,EC38,AX$7)))</f>
        <v/>
      </c>
      <c r="AY38" s="703" t="str">
        <f>IF($E38="","",IF(INDEX(E_SourceStreams!$A:$N,ED38,AY$7)="","",INDEX(E_SourceStreams!$A:$N,ED38,AY$7)))</f>
        <v/>
      </c>
      <c r="AZ38" s="703" t="str">
        <f>IF($E38="","",IF(INDEX(E_SourceStreams!$A:$N,EE38,AZ$7)="","",INDEX(E_SourceStreams!$A:$N,EE38,AZ$7)))</f>
        <v/>
      </c>
      <c r="BA38" s="703" t="str">
        <f>IF($E38="","",IF(INDEX(E_SourceStreams!$A:$N,EF38,BA$7)="","",INDEX(E_SourceStreams!$A:$N,EF38,BA$7)))</f>
        <v/>
      </c>
      <c r="BB38" s="703" t="str">
        <f>IF($E38="","",IF(INDEX(E_SourceStreams!$A:$N,EG38,BB$7)="","",INDEX(E_SourceStreams!$A:$N,EG38,BB$7)))</f>
        <v/>
      </c>
      <c r="BC38" s="703" t="str">
        <f>IF($E38="","",IF(INDEX(E_SourceStreams!$A:$N,EH38,BC$7)="","",INDEX(E_SourceStreams!$A:$N,EH38,BC$7)))</f>
        <v/>
      </c>
      <c r="BD38" s="703" t="str">
        <f>IF($E38="","",IF(INDEX(E_SourceStreams!$A:$N,EI38,BD$7)="","",INDEX(E_SourceStreams!$A:$N,EI38,BD$7)))</f>
        <v/>
      </c>
      <c r="BE38" s="703" t="str">
        <f>IF($E38="","",IF(INDEX(E_SourceStreams!$A:$N,EJ38,BE$7)="","",INDEX(E_SourceStreams!$A:$N,EJ38,BE$7)))</f>
        <v/>
      </c>
      <c r="BF38" s="703" t="str">
        <f>IF($E38="","",IF(INDEX(E_SourceStreams!$A:$N,EK38,BF$7)="","",INDEX(E_SourceStreams!$A:$N,EK38,BF$7)))</f>
        <v/>
      </c>
      <c r="BG38" s="703" t="str">
        <f>IF($E38="","",IF(INDEX(E_SourceStreams!$A:$N,EL38,BG$7)="","",INDEX(E_SourceStreams!$A:$N,EL38,BG$7)))</f>
        <v/>
      </c>
      <c r="BH38" s="703" t="str">
        <f>IF($E38="","",IF(INDEX(E_SourceStreams!$A:$N,EM38,BH$7)="","",INDEX(E_SourceStreams!$A:$N,EM38,BH$7)))</f>
        <v/>
      </c>
      <c r="BI38" s="703" t="str">
        <f>IF($E38="","",IF(INDEX(E_SourceStreams!$A:$N,EN38,BI$7)="","",INDEX(E_SourceStreams!$A:$N,EN38,BI$7)))</f>
        <v/>
      </c>
      <c r="BJ38" s="703" t="str">
        <f>IF($E38="","",IF(INDEX(E_SourceStreams!$A:$N,EO38,BJ$7)="","",INDEX(E_SourceStreams!$A:$N,EO38,BJ$7)))</f>
        <v/>
      </c>
      <c r="BK38" s="703" t="str">
        <f>IF($E38="","",IF(INDEX(E_SourceStreams!$A:$N,EP38,BK$7)="","",INDEX(E_SourceStreams!$A:$N,EP38,BK$7)))</f>
        <v/>
      </c>
      <c r="BL38" s="703" t="str">
        <f>IF($E38="","",IF(INDEX(E_SourceStreams!$A:$N,EQ38,BL$7)="","",INDEX(E_SourceStreams!$A:$N,EQ38,BL$7)))</f>
        <v/>
      </c>
      <c r="BM38" s="703" t="str">
        <f>IF($E38="","",IF(INDEX(E_SourceStreams!$A:$N,ER38,BM$7)="","",INDEX(E_SourceStreams!$A:$N,ER38,BM$7)))</f>
        <v/>
      </c>
      <c r="BN38" s="703" t="str">
        <f>IF($E38="","",IF(INDEX(E_SourceStreams!$A:$N,ES38,BN$7)="","",INDEX(E_SourceStreams!$A:$N,ES38,BN$7)))</f>
        <v/>
      </c>
      <c r="BO38" s="703" t="str">
        <f>IF($E38="","",IF(INDEX(E_SourceStreams!$A:$N,ET38,BO$7)="","",INDEX(E_SourceStreams!$A:$N,ET38,BO$7)))</f>
        <v/>
      </c>
      <c r="BP38" s="703" t="str">
        <f>IF($E38="","",IF(INDEX(E_SourceStreams!$A:$N,EU38,BP$7)="","",INDEX(E_SourceStreams!$A:$N,EU38,BP$7)))</f>
        <v/>
      </c>
      <c r="BQ38" s="703" t="str">
        <f>IF($E38="","",IF(INDEX(E_SourceStreams!$A:$N,EV38,BQ$7)="","",INDEX(E_SourceStreams!$A:$N,EV38,BQ$7)))</f>
        <v/>
      </c>
      <c r="BR38" s="703" t="str">
        <f>IF($E38="","",IF(INDEX(E_SourceStreams!$A:$N,EW38,BR$7)="","",INDEX(E_SourceStreams!$A:$N,EW38,BR$7)))</f>
        <v/>
      </c>
      <c r="BS38" s="703" t="str">
        <f>IF($E38="","",IF(INDEX(E_SourceStreams!$A:$N,EX38,BS$7)="","",INDEX(E_SourceStreams!$A:$N,EX38,BS$7)))</f>
        <v/>
      </c>
      <c r="BT38" s="703" t="str">
        <f>IF($E38="","",IF(INDEX(E_SourceStreams!$A:$N,EY38,BT$7)="","",INDEX(E_SourceStreams!$A:$N,EY38,BT$7)))</f>
        <v/>
      </c>
      <c r="BU38" s="625"/>
      <c r="CJ38" s="679" t="str">
        <f t="shared" si="0"/>
        <v>SourceCategory_</v>
      </c>
      <c r="CK38" s="679" t="b">
        <f>INDEX(C_InstallationDescription!$A$226:$A$332,ROWS($CI$11:CI38))="ausblenden"</f>
        <v>0</v>
      </c>
      <c r="CL38" s="679" t="str">
        <f t="shared" si="1"/>
        <v>SourceStreamName_</v>
      </c>
      <c r="CN38" s="679">
        <f t="shared" si="65"/>
        <v>1917</v>
      </c>
      <c r="CO38" s="679">
        <f t="shared" si="2"/>
        <v>1919</v>
      </c>
      <c r="CP38" s="679">
        <f t="shared" si="3"/>
        <v>1921</v>
      </c>
      <c r="CQ38" s="679">
        <f t="shared" si="4"/>
        <v>1923</v>
      </c>
      <c r="CR38" s="679">
        <f t="shared" si="5"/>
        <v>1925</v>
      </c>
      <c r="CS38" s="679">
        <f t="shared" si="6"/>
        <v>1927</v>
      </c>
      <c r="CT38" s="679">
        <f t="shared" si="7"/>
        <v>1929</v>
      </c>
      <c r="CU38" s="679">
        <f t="shared" si="8"/>
        <v>1929</v>
      </c>
      <c r="CV38" s="679">
        <f t="shared" si="9"/>
        <v>1929</v>
      </c>
      <c r="CW38" s="679">
        <f t="shared" si="10"/>
        <v>1929</v>
      </c>
      <c r="CX38" s="679">
        <f t="shared" si="11"/>
        <v>1929</v>
      </c>
      <c r="CY38" s="679">
        <f t="shared" si="12"/>
        <v>1932</v>
      </c>
      <c r="CZ38" s="679">
        <f t="shared" si="13"/>
        <v>1936</v>
      </c>
      <c r="DA38" s="679">
        <f t="shared" si="14"/>
        <v>1937</v>
      </c>
      <c r="DB38" s="679">
        <f t="shared" si="15"/>
        <v>1938</v>
      </c>
      <c r="DC38" s="679">
        <f t="shared" si="16"/>
        <v>1945</v>
      </c>
      <c r="DD38" s="679">
        <f t="shared" si="17"/>
        <v>1955</v>
      </c>
      <c r="DE38" s="679">
        <f t="shared" si="18"/>
        <v>1955</v>
      </c>
      <c r="DF38" s="679">
        <f t="shared" si="19"/>
        <v>1955</v>
      </c>
      <c r="DG38" s="679">
        <f t="shared" si="20"/>
        <v>1955</v>
      </c>
      <c r="DH38" s="679">
        <f t="shared" si="21"/>
        <v>1955</v>
      </c>
      <c r="DI38" s="679">
        <f t="shared" si="22"/>
        <v>1955</v>
      </c>
      <c r="DJ38" s="679">
        <f t="shared" si="23"/>
        <v>1955</v>
      </c>
      <c r="DK38" s="679">
        <f t="shared" si="24"/>
        <v>1946</v>
      </c>
      <c r="DL38" s="679">
        <f t="shared" si="25"/>
        <v>1956</v>
      </c>
      <c r="DM38" s="679">
        <f t="shared" si="26"/>
        <v>1956</v>
      </c>
      <c r="DN38" s="679">
        <f t="shared" si="27"/>
        <v>1956</v>
      </c>
      <c r="DO38" s="679">
        <f t="shared" si="28"/>
        <v>1956</v>
      </c>
      <c r="DP38" s="679">
        <f t="shared" si="29"/>
        <v>1956</v>
      </c>
      <c r="DQ38" s="679">
        <f t="shared" si="30"/>
        <v>1956</v>
      </c>
      <c r="DR38" s="679">
        <f t="shared" si="31"/>
        <v>1956</v>
      </c>
      <c r="DS38" s="679">
        <f t="shared" si="32"/>
        <v>1947</v>
      </c>
      <c r="DT38" s="679">
        <f t="shared" si="33"/>
        <v>1957</v>
      </c>
      <c r="DU38" s="679">
        <f t="shared" si="34"/>
        <v>1957</v>
      </c>
      <c r="DV38" s="679">
        <f t="shared" si="35"/>
        <v>1957</v>
      </c>
      <c r="DW38" s="679">
        <f t="shared" si="36"/>
        <v>1957</v>
      </c>
      <c r="DX38" s="679">
        <f t="shared" si="37"/>
        <v>1957</v>
      </c>
      <c r="DY38" s="679">
        <f t="shared" si="38"/>
        <v>1957</v>
      </c>
      <c r="DZ38" s="679">
        <f t="shared" si="39"/>
        <v>1957</v>
      </c>
      <c r="EA38" s="679">
        <f t="shared" si="40"/>
        <v>1948</v>
      </c>
      <c r="EB38" s="679">
        <f t="shared" si="41"/>
        <v>1958</v>
      </c>
      <c r="EC38" s="679">
        <f t="shared" si="42"/>
        <v>1958</v>
      </c>
      <c r="ED38" s="679">
        <f t="shared" si="43"/>
        <v>1958</v>
      </c>
      <c r="EE38" s="679">
        <f t="shared" si="44"/>
        <v>1958</v>
      </c>
      <c r="EF38" s="679">
        <f t="shared" si="45"/>
        <v>1958</v>
      </c>
      <c r="EG38" s="679">
        <f t="shared" si="46"/>
        <v>1958</v>
      </c>
      <c r="EH38" s="679">
        <f t="shared" si="47"/>
        <v>1958</v>
      </c>
      <c r="EI38" s="679">
        <f t="shared" si="48"/>
        <v>1949</v>
      </c>
      <c r="EJ38" s="679">
        <f t="shared" si="49"/>
        <v>1959</v>
      </c>
      <c r="EK38" s="679">
        <f t="shared" si="50"/>
        <v>1959</v>
      </c>
      <c r="EL38" s="679">
        <f t="shared" si="51"/>
        <v>1959</v>
      </c>
      <c r="EM38" s="679">
        <f t="shared" si="52"/>
        <v>1959</v>
      </c>
      <c r="EN38" s="679">
        <f t="shared" si="53"/>
        <v>1959</v>
      </c>
      <c r="EO38" s="679">
        <f t="shared" si="54"/>
        <v>1959</v>
      </c>
      <c r="EP38" s="679">
        <f t="shared" si="55"/>
        <v>1959</v>
      </c>
      <c r="EQ38" s="679">
        <f t="shared" si="56"/>
        <v>1950</v>
      </c>
      <c r="ER38" s="679">
        <f t="shared" si="57"/>
        <v>1960</v>
      </c>
      <c r="ES38" s="679">
        <f t="shared" si="58"/>
        <v>1960</v>
      </c>
      <c r="ET38" s="679">
        <f t="shared" si="59"/>
        <v>1960</v>
      </c>
      <c r="EU38" s="679">
        <f t="shared" si="60"/>
        <v>1960</v>
      </c>
      <c r="EV38" s="679">
        <f t="shared" si="61"/>
        <v>1960</v>
      </c>
      <c r="EW38" s="679">
        <f t="shared" si="62"/>
        <v>1960</v>
      </c>
      <c r="EX38" s="679">
        <f t="shared" si="63"/>
        <v>1960</v>
      </c>
      <c r="EY38" s="679">
        <f t="shared" si="64"/>
        <v>1966</v>
      </c>
    </row>
    <row r="39" spans="2:155" ht="12.75" customHeight="1" x14ac:dyDescent="0.2">
      <c r="B39" s="700" t="str">
        <f>IF(COUNTIF($CK$10:CK39,TRUE)&gt;0,"",INDEX(C_InstallationDescription!$E$226:$E$242,ROWS($A$11:A39)))</f>
        <v/>
      </c>
      <c r="C39" s="581" t="str">
        <f>IF($E39="","",INDEX(C_InstallationDescription!F:F,MATCH($B39,C_InstallationDescription!$E:$E,0)))</f>
        <v/>
      </c>
      <c r="D39" s="581" t="str">
        <f>IF($E39="","",INDEX(C_InstallationDescription!I:I,MATCH($B39,C_InstallationDescription!$E:$E,0)))</f>
        <v/>
      </c>
      <c r="E39" s="581" t="str">
        <f>IF($B39="","",INDEX(C_InstallationDescription!F:F,MATCH($CJ39,C_InstallationDescription!$Q:$Q,0)))</f>
        <v/>
      </c>
      <c r="F39" s="706" t="str">
        <f>IF($E39="","",INDEX(C_InstallationDescription!L:L,MATCH($CJ39,C_InstallationDescription!$Q:$Q,0)))</f>
        <v/>
      </c>
      <c r="G39" s="581" t="str">
        <f>IF($E39="","",INDEX(C_InstallationDescription!M:M,MATCH($CJ39,C_InstallationDescription!$Q:$Q,0)))</f>
        <v/>
      </c>
      <c r="H39" s="581" t="str">
        <f>IF($E39="","",INDEX(C_InstallationDescription!N:N,MATCH($CJ39,C_InstallationDescription!$Q:$Q,0)))</f>
        <v/>
      </c>
      <c r="I39" s="703" t="str">
        <f>IF($E39="","",IF(INDEX(E_SourceStreams!$A:$N,CN39,I$7)="","",INDEX(E_SourceStreams!$A:$N,CN39,I$7)))</f>
        <v/>
      </c>
      <c r="J39" s="703" t="str">
        <f>IF($E39="","",IF(INDEX(E_SourceStreams!$A:$N,CO39,J$7)="","",INDEX(E_SourceStreams!$A:$N,CO39,J$7)))</f>
        <v/>
      </c>
      <c r="K39" s="703" t="str">
        <f>IF($E39="","",IF(INDEX(E_SourceStreams!$A:$N,CP39,K$7)="","",INDEX(E_SourceStreams!$A:$N,CP39,K$7)))</f>
        <v/>
      </c>
      <c r="L39" s="703" t="str">
        <f>IF($E39="","",IF(INDEX(E_SourceStreams!$A:$N,CQ39,L$7)="","",INDEX(E_SourceStreams!$A:$N,CQ39,L$7)))</f>
        <v/>
      </c>
      <c r="M39" s="703" t="str">
        <f>IF($E39="","",IF(INDEX(E_SourceStreams!$A:$N,CR39,M$7)="","",INDEX(E_SourceStreams!$A:$N,CR39,M$7)))</f>
        <v/>
      </c>
      <c r="N39" s="703" t="str">
        <f>IF($E39="","",IF(INDEX(E_SourceStreams!$A:$N,CS39,N$7)="","",INDEX(E_SourceStreams!$A:$N,CS39,N$7)))</f>
        <v/>
      </c>
      <c r="O39" s="703" t="str">
        <f>IF($E39="","",IF(INDEX(E_SourceStreams!$A:$N,CT39,O$7)="","",INDEX(E_SourceStreams!$A:$N,CT39,O$7)))</f>
        <v/>
      </c>
      <c r="P39" s="703" t="str">
        <f>IF($E39="","",IF(INDEX(E_SourceStreams!$A:$N,CU39,P$7)="","",INDEX(E_SourceStreams!$A:$N,CU39,P$7)))</f>
        <v/>
      </c>
      <c r="Q39" s="703" t="str">
        <f>IF($E39="","",IF(INDEX(E_SourceStreams!$A:$N,CV39,Q$7)="","",INDEX(E_SourceStreams!$A:$N,CV39,Q$7)))</f>
        <v/>
      </c>
      <c r="R39" s="703" t="str">
        <f>IF($E39="","",IF(INDEX(E_SourceStreams!$A:$N,CW39,R$7)="","",INDEX(E_SourceStreams!$A:$N,CW39,R$7)))</f>
        <v/>
      </c>
      <c r="S39" s="703" t="str">
        <f>IF($E39="","",IF(INDEX(E_SourceStreams!$A:$N,CX39,S$7)="","",INDEX(E_SourceStreams!$A:$N,CX39,S$7)))</f>
        <v/>
      </c>
      <c r="T39" s="703" t="str">
        <f>IF($E39="","",IF(INDEX(E_SourceStreams!$A:$N,CY39,T$7)="","",INDEX(E_SourceStreams!$A:$N,CY39,T$7)))</f>
        <v/>
      </c>
      <c r="U39" s="703" t="str">
        <f>IF($E39="","",IF(INDEX(E_SourceStreams!$A:$N,CZ39,U$7)="","",INDEX(E_SourceStreams!$A:$N,CZ39,U$7)))</f>
        <v/>
      </c>
      <c r="V39" s="703" t="str">
        <f>IF($E39="","",IF(INDEX(E_SourceStreams!$A:$N,DA39,V$7)="","",INDEX(E_SourceStreams!$A:$N,DA39,V$7)))</f>
        <v/>
      </c>
      <c r="W39" s="704" t="str">
        <f>IF($E39="","",IF(INDEX(E_SourceStreams!$A:$N,DB39,W$7)="","",INDEX(E_SourceStreams!$A:$N,DB39,W$7)))</f>
        <v/>
      </c>
      <c r="X39" s="703" t="str">
        <f>IF($E39="","",IF(INDEX(E_SourceStreams!$A:$N,DC39,X$7)="","",INDEX(E_SourceStreams!$A:$N,DC39,X$7)))</f>
        <v/>
      </c>
      <c r="Y39" s="703" t="str">
        <f>IF($E39="","",IF(INDEX(E_SourceStreams!$A:$N,DD39,Y$7)="","",INDEX(E_SourceStreams!$A:$N,DD39,Y$7)))</f>
        <v/>
      </c>
      <c r="Z39" s="703" t="str">
        <f>IF($E39="","",IF(INDEX(E_SourceStreams!$A:$N,DE39,Z$7)="","",INDEX(E_SourceStreams!$A:$N,DE39,Z$7)))</f>
        <v/>
      </c>
      <c r="AA39" s="703" t="str">
        <f>IF($E39="","",IF(INDEX(E_SourceStreams!$A:$N,DF39,AA$7)="","",INDEX(E_SourceStreams!$A:$N,DF39,AA$7)))</f>
        <v/>
      </c>
      <c r="AB39" s="703" t="str">
        <f>IF($E39="","",IF(INDEX(E_SourceStreams!$A:$N,DG39,AB$7)="","",INDEX(E_SourceStreams!$A:$N,DG39,AB$7)))</f>
        <v/>
      </c>
      <c r="AC39" s="703" t="str">
        <f>IF($E39="","",IF(INDEX(E_SourceStreams!$A:$N,DH39,AC$7)="","",INDEX(E_SourceStreams!$A:$N,DH39,AC$7)))</f>
        <v/>
      </c>
      <c r="AD39" s="703" t="str">
        <f>IF($E39="","",IF(INDEX(E_SourceStreams!$A:$N,DI39,AD$7)="","",INDEX(E_SourceStreams!$A:$N,DI39,AD$7)))</f>
        <v/>
      </c>
      <c r="AE39" s="703" t="str">
        <f>IF($E39="","",IF(INDEX(E_SourceStreams!$A:$N,DJ39,AE$7)="","",INDEX(E_SourceStreams!$A:$N,DJ39,AE$7)))</f>
        <v/>
      </c>
      <c r="AF39" s="703" t="str">
        <f>IF($E39="","",IF(INDEX(E_SourceStreams!$A:$N,DK39,AF$7)="","",INDEX(E_SourceStreams!$A:$N,DK39,AF$7)))</f>
        <v/>
      </c>
      <c r="AG39" s="703" t="str">
        <f>IF($E39="","",IF(INDEX(E_SourceStreams!$A:$N,DL39,AG$7)="","",INDEX(E_SourceStreams!$A:$N,DL39,AG$7)))</f>
        <v/>
      </c>
      <c r="AH39" s="703" t="str">
        <f>IF($E39="","",IF(INDEX(E_SourceStreams!$A:$N,DM39,AH$7)="","",INDEX(E_SourceStreams!$A:$N,DM39,AH$7)))</f>
        <v/>
      </c>
      <c r="AI39" s="703" t="str">
        <f>IF($E39="","",IF(INDEX(E_SourceStreams!$A:$N,DN39,AI$7)="","",INDEX(E_SourceStreams!$A:$N,DN39,AI$7)))</f>
        <v/>
      </c>
      <c r="AJ39" s="703" t="str">
        <f>IF($E39="","",IF(INDEX(E_SourceStreams!$A:$N,DO39,AJ$7)="","",INDEX(E_SourceStreams!$A:$N,DO39,AJ$7)))</f>
        <v/>
      </c>
      <c r="AK39" s="703" t="str">
        <f>IF($E39="","",IF(INDEX(E_SourceStreams!$A:$N,DP39,AK$7)="","",INDEX(E_SourceStreams!$A:$N,DP39,AK$7)))</f>
        <v/>
      </c>
      <c r="AL39" s="703" t="str">
        <f>IF($E39="","",IF(INDEX(E_SourceStreams!$A:$N,DQ39,AL$7)="","",INDEX(E_SourceStreams!$A:$N,DQ39,AL$7)))</f>
        <v/>
      </c>
      <c r="AM39" s="703" t="str">
        <f>IF($E39="","",IF(INDEX(E_SourceStreams!$A:$N,DR39,AM$7)="","",INDEX(E_SourceStreams!$A:$N,DR39,AM$7)))</f>
        <v/>
      </c>
      <c r="AN39" s="703" t="str">
        <f>IF($E39="","",IF(INDEX(E_SourceStreams!$A:$N,DS39,AN$7)="","",INDEX(E_SourceStreams!$A:$N,DS39,AN$7)))</f>
        <v/>
      </c>
      <c r="AO39" s="703" t="str">
        <f>IF($E39="","",IF(INDEX(E_SourceStreams!$A:$N,DT39,AO$7)="","",INDEX(E_SourceStreams!$A:$N,DT39,AO$7)))</f>
        <v/>
      </c>
      <c r="AP39" s="703" t="str">
        <f>IF($E39="","",IF(INDEX(E_SourceStreams!$A:$N,DU39,AP$7)="","",INDEX(E_SourceStreams!$A:$N,DU39,AP$7)))</f>
        <v/>
      </c>
      <c r="AQ39" s="703" t="str">
        <f>IF($E39="","",IF(INDEX(E_SourceStreams!$A:$N,DV39,AQ$7)="","",INDEX(E_SourceStreams!$A:$N,DV39,AQ$7)))</f>
        <v/>
      </c>
      <c r="AR39" s="703" t="str">
        <f>IF($E39="","",IF(INDEX(E_SourceStreams!$A:$N,DW39,AR$7)="","",INDEX(E_SourceStreams!$A:$N,DW39,AR$7)))</f>
        <v/>
      </c>
      <c r="AS39" s="703" t="str">
        <f>IF($E39="","",IF(INDEX(E_SourceStreams!$A:$N,DX39,AS$7)="","",INDEX(E_SourceStreams!$A:$N,DX39,AS$7)))</f>
        <v/>
      </c>
      <c r="AT39" s="703" t="str">
        <f>IF($E39="","",IF(INDEX(E_SourceStreams!$A:$N,DY39,AT$7)="","",INDEX(E_SourceStreams!$A:$N,DY39,AT$7)))</f>
        <v/>
      </c>
      <c r="AU39" s="703" t="str">
        <f>IF($E39="","",IF(INDEX(E_SourceStreams!$A:$N,DZ39,AU$7)="","",INDEX(E_SourceStreams!$A:$N,DZ39,AU$7)))</f>
        <v/>
      </c>
      <c r="AV39" s="703" t="str">
        <f>IF($E39="","",IF(INDEX(E_SourceStreams!$A:$N,EA39,AV$7)="","",INDEX(E_SourceStreams!$A:$N,EA39,AV$7)))</f>
        <v/>
      </c>
      <c r="AW39" s="703" t="str">
        <f>IF($E39="","",IF(INDEX(E_SourceStreams!$A:$N,EB39,AW$7)="","",INDEX(E_SourceStreams!$A:$N,EB39,AW$7)))</f>
        <v/>
      </c>
      <c r="AX39" s="703" t="str">
        <f>IF($E39="","",IF(INDEX(E_SourceStreams!$A:$N,EC39,AX$7)="","",INDEX(E_SourceStreams!$A:$N,EC39,AX$7)))</f>
        <v/>
      </c>
      <c r="AY39" s="703" t="str">
        <f>IF($E39="","",IF(INDEX(E_SourceStreams!$A:$N,ED39,AY$7)="","",INDEX(E_SourceStreams!$A:$N,ED39,AY$7)))</f>
        <v/>
      </c>
      <c r="AZ39" s="703" t="str">
        <f>IF($E39="","",IF(INDEX(E_SourceStreams!$A:$N,EE39,AZ$7)="","",INDEX(E_SourceStreams!$A:$N,EE39,AZ$7)))</f>
        <v/>
      </c>
      <c r="BA39" s="703" t="str">
        <f>IF($E39="","",IF(INDEX(E_SourceStreams!$A:$N,EF39,BA$7)="","",INDEX(E_SourceStreams!$A:$N,EF39,BA$7)))</f>
        <v/>
      </c>
      <c r="BB39" s="703" t="str">
        <f>IF($E39="","",IF(INDEX(E_SourceStreams!$A:$N,EG39,BB$7)="","",INDEX(E_SourceStreams!$A:$N,EG39,BB$7)))</f>
        <v/>
      </c>
      <c r="BC39" s="703" t="str">
        <f>IF($E39="","",IF(INDEX(E_SourceStreams!$A:$N,EH39,BC$7)="","",INDEX(E_SourceStreams!$A:$N,EH39,BC$7)))</f>
        <v/>
      </c>
      <c r="BD39" s="703" t="str">
        <f>IF($E39="","",IF(INDEX(E_SourceStreams!$A:$N,EI39,BD$7)="","",INDEX(E_SourceStreams!$A:$N,EI39,BD$7)))</f>
        <v/>
      </c>
      <c r="BE39" s="703" t="str">
        <f>IF($E39="","",IF(INDEX(E_SourceStreams!$A:$N,EJ39,BE$7)="","",INDEX(E_SourceStreams!$A:$N,EJ39,BE$7)))</f>
        <v/>
      </c>
      <c r="BF39" s="703" t="str">
        <f>IF($E39="","",IF(INDEX(E_SourceStreams!$A:$N,EK39,BF$7)="","",INDEX(E_SourceStreams!$A:$N,EK39,BF$7)))</f>
        <v/>
      </c>
      <c r="BG39" s="703" t="str">
        <f>IF($E39="","",IF(INDEX(E_SourceStreams!$A:$N,EL39,BG$7)="","",INDEX(E_SourceStreams!$A:$N,EL39,BG$7)))</f>
        <v/>
      </c>
      <c r="BH39" s="703" t="str">
        <f>IF($E39="","",IF(INDEX(E_SourceStreams!$A:$N,EM39,BH$7)="","",INDEX(E_SourceStreams!$A:$N,EM39,BH$7)))</f>
        <v/>
      </c>
      <c r="BI39" s="703" t="str">
        <f>IF($E39="","",IF(INDEX(E_SourceStreams!$A:$N,EN39,BI$7)="","",INDEX(E_SourceStreams!$A:$N,EN39,BI$7)))</f>
        <v/>
      </c>
      <c r="BJ39" s="703" t="str">
        <f>IF($E39="","",IF(INDEX(E_SourceStreams!$A:$N,EO39,BJ$7)="","",INDEX(E_SourceStreams!$A:$N,EO39,BJ$7)))</f>
        <v/>
      </c>
      <c r="BK39" s="703" t="str">
        <f>IF($E39="","",IF(INDEX(E_SourceStreams!$A:$N,EP39,BK$7)="","",INDEX(E_SourceStreams!$A:$N,EP39,BK$7)))</f>
        <v/>
      </c>
      <c r="BL39" s="703" t="str">
        <f>IF($E39="","",IF(INDEX(E_SourceStreams!$A:$N,EQ39,BL$7)="","",INDEX(E_SourceStreams!$A:$N,EQ39,BL$7)))</f>
        <v/>
      </c>
      <c r="BM39" s="703" t="str">
        <f>IF($E39="","",IF(INDEX(E_SourceStreams!$A:$N,ER39,BM$7)="","",INDEX(E_SourceStreams!$A:$N,ER39,BM$7)))</f>
        <v/>
      </c>
      <c r="BN39" s="703" t="str">
        <f>IF($E39="","",IF(INDEX(E_SourceStreams!$A:$N,ES39,BN$7)="","",INDEX(E_SourceStreams!$A:$N,ES39,BN$7)))</f>
        <v/>
      </c>
      <c r="BO39" s="703" t="str">
        <f>IF($E39="","",IF(INDEX(E_SourceStreams!$A:$N,ET39,BO$7)="","",INDEX(E_SourceStreams!$A:$N,ET39,BO$7)))</f>
        <v/>
      </c>
      <c r="BP39" s="703" t="str">
        <f>IF($E39="","",IF(INDEX(E_SourceStreams!$A:$N,EU39,BP$7)="","",INDEX(E_SourceStreams!$A:$N,EU39,BP$7)))</f>
        <v/>
      </c>
      <c r="BQ39" s="703" t="str">
        <f>IF($E39="","",IF(INDEX(E_SourceStreams!$A:$N,EV39,BQ$7)="","",INDEX(E_SourceStreams!$A:$N,EV39,BQ$7)))</f>
        <v/>
      </c>
      <c r="BR39" s="703" t="str">
        <f>IF($E39="","",IF(INDEX(E_SourceStreams!$A:$N,EW39,BR$7)="","",INDEX(E_SourceStreams!$A:$N,EW39,BR$7)))</f>
        <v/>
      </c>
      <c r="BS39" s="703" t="str">
        <f>IF($E39="","",IF(INDEX(E_SourceStreams!$A:$N,EX39,BS$7)="","",INDEX(E_SourceStreams!$A:$N,EX39,BS$7)))</f>
        <v/>
      </c>
      <c r="BT39" s="703" t="str">
        <f>IF($E39="","",IF(INDEX(E_SourceStreams!$A:$N,EY39,BT$7)="","",INDEX(E_SourceStreams!$A:$N,EY39,BT$7)))</f>
        <v/>
      </c>
      <c r="BU39" s="625"/>
      <c r="CJ39" s="679" t="str">
        <f t="shared" si="0"/>
        <v>SourceCategory_</v>
      </c>
      <c r="CK39" s="679" t="b">
        <f>INDEX(C_InstallationDescription!$A$226:$A$332,ROWS($CI$11:CI39))="ausblenden"</f>
        <v>0</v>
      </c>
      <c r="CL39" s="679" t="str">
        <f t="shared" si="1"/>
        <v>SourceStreamName_</v>
      </c>
      <c r="CN39" s="679">
        <f t="shared" si="65"/>
        <v>1983</v>
      </c>
      <c r="CO39" s="679">
        <f t="shared" si="2"/>
        <v>1985</v>
      </c>
      <c r="CP39" s="679">
        <f t="shared" si="3"/>
        <v>1987</v>
      </c>
      <c r="CQ39" s="679">
        <f t="shared" si="4"/>
        <v>1989</v>
      </c>
      <c r="CR39" s="679">
        <f t="shared" si="5"/>
        <v>1991</v>
      </c>
      <c r="CS39" s="679">
        <f t="shared" si="6"/>
        <v>1993</v>
      </c>
      <c r="CT39" s="679">
        <f t="shared" si="7"/>
        <v>1995</v>
      </c>
      <c r="CU39" s="679">
        <f t="shared" si="8"/>
        <v>1995</v>
      </c>
      <c r="CV39" s="679">
        <f t="shared" si="9"/>
        <v>1995</v>
      </c>
      <c r="CW39" s="679">
        <f t="shared" si="10"/>
        <v>1995</v>
      </c>
      <c r="CX39" s="679">
        <f t="shared" si="11"/>
        <v>1995</v>
      </c>
      <c r="CY39" s="679">
        <f t="shared" si="12"/>
        <v>1998</v>
      </c>
      <c r="CZ39" s="679">
        <f t="shared" si="13"/>
        <v>2002</v>
      </c>
      <c r="DA39" s="679">
        <f t="shared" si="14"/>
        <v>2003</v>
      </c>
      <c r="DB39" s="679">
        <f t="shared" si="15"/>
        <v>2004</v>
      </c>
      <c r="DC39" s="679">
        <f t="shared" si="16"/>
        <v>2011</v>
      </c>
      <c r="DD39" s="679">
        <f t="shared" si="17"/>
        <v>2021</v>
      </c>
      <c r="DE39" s="679">
        <f t="shared" si="18"/>
        <v>2021</v>
      </c>
      <c r="DF39" s="679">
        <f t="shared" si="19"/>
        <v>2021</v>
      </c>
      <c r="DG39" s="679">
        <f t="shared" si="20"/>
        <v>2021</v>
      </c>
      <c r="DH39" s="679">
        <f t="shared" si="21"/>
        <v>2021</v>
      </c>
      <c r="DI39" s="679">
        <f t="shared" si="22"/>
        <v>2021</v>
      </c>
      <c r="DJ39" s="679">
        <f t="shared" si="23"/>
        <v>2021</v>
      </c>
      <c r="DK39" s="679">
        <f t="shared" si="24"/>
        <v>2012</v>
      </c>
      <c r="DL39" s="679">
        <f t="shared" si="25"/>
        <v>2022</v>
      </c>
      <c r="DM39" s="679">
        <f t="shared" si="26"/>
        <v>2022</v>
      </c>
      <c r="DN39" s="679">
        <f t="shared" si="27"/>
        <v>2022</v>
      </c>
      <c r="DO39" s="679">
        <f t="shared" si="28"/>
        <v>2022</v>
      </c>
      <c r="DP39" s="679">
        <f t="shared" si="29"/>
        <v>2022</v>
      </c>
      <c r="DQ39" s="679">
        <f t="shared" si="30"/>
        <v>2022</v>
      </c>
      <c r="DR39" s="679">
        <f t="shared" si="31"/>
        <v>2022</v>
      </c>
      <c r="DS39" s="679">
        <f t="shared" si="32"/>
        <v>2013</v>
      </c>
      <c r="DT39" s="679">
        <f t="shared" si="33"/>
        <v>2023</v>
      </c>
      <c r="DU39" s="679">
        <f t="shared" si="34"/>
        <v>2023</v>
      </c>
      <c r="DV39" s="679">
        <f t="shared" si="35"/>
        <v>2023</v>
      </c>
      <c r="DW39" s="679">
        <f t="shared" si="36"/>
        <v>2023</v>
      </c>
      <c r="DX39" s="679">
        <f t="shared" si="37"/>
        <v>2023</v>
      </c>
      <c r="DY39" s="679">
        <f t="shared" si="38"/>
        <v>2023</v>
      </c>
      <c r="DZ39" s="679">
        <f t="shared" si="39"/>
        <v>2023</v>
      </c>
      <c r="EA39" s="679">
        <f t="shared" si="40"/>
        <v>2014</v>
      </c>
      <c r="EB39" s="679">
        <f t="shared" si="41"/>
        <v>2024</v>
      </c>
      <c r="EC39" s="679">
        <f t="shared" si="42"/>
        <v>2024</v>
      </c>
      <c r="ED39" s="679">
        <f t="shared" si="43"/>
        <v>2024</v>
      </c>
      <c r="EE39" s="679">
        <f t="shared" si="44"/>
        <v>2024</v>
      </c>
      <c r="EF39" s="679">
        <f t="shared" si="45"/>
        <v>2024</v>
      </c>
      <c r="EG39" s="679">
        <f t="shared" si="46"/>
        <v>2024</v>
      </c>
      <c r="EH39" s="679">
        <f t="shared" si="47"/>
        <v>2024</v>
      </c>
      <c r="EI39" s="679">
        <f t="shared" si="48"/>
        <v>2015</v>
      </c>
      <c r="EJ39" s="679">
        <f t="shared" si="49"/>
        <v>2025</v>
      </c>
      <c r="EK39" s="679">
        <f t="shared" si="50"/>
        <v>2025</v>
      </c>
      <c r="EL39" s="679">
        <f t="shared" si="51"/>
        <v>2025</v>
      </c>
      <c r="EM39" s="679">
        <f t="shared" si="52"/>
        <v>2025</v>
      </c>
      <c r="EN39" s="679">
        <f t="shared" si="53"/>
        <v>2025</v>
      </c>
      <c r="EO39" s="679">
        <f t="shared" si="54"/>
        <v>2025</v>
      </c>
      <c r="EP39" s="679">
        <f t="shared" si="55"/>
        <v>2025</v>
      </c>
      <c r="EQ39" s="679">
        <f t="shared" si="56"/>
        <v>2016</v>
      </c>
      <c r="ER39" s="679">
        <f t="shared" si="57"/>
        <v>2026</v>
      </c>
      <c r="ES39" s="679">
        <f t="shared" si="58"/>
        <v>2026</v>
      </c>
      <c r="ET39" s="679">
        <f t="shared" si="59"/>
        <v>2026</v>
      </c>
      <c r="EU39" s="679">
        <f t="shared" si="60"/>
        <v>2026</v>
      </c>
      <c r="EV39" s="679">
        <f t="shared" si="61"/>
        <v>2026</v>
      </c>
      <c r="EW39" s="679">
        <f t="shared" si="62"/>
        <v>2026</v>
      </c>
      <c r="EX39" s="679">
        <f t="shared" si="63"/>
        <v>2026</v>
      </c>
      <c r="EY39" s="679">
        <f t="shared" si="64"/>
        <v>2032</v>
      </c>
    </row>
    <row r="40" spans="2:155" ht="12.75" customHeight="1" x14ac:dyDescent="0.2">
      <c r="B40" s="700" t="str">
        <f>IF(COUNTIF($CK$10:CK40,TRUE)&gt;0,"",INDEX(C_InstallationDescription!$E$226:$E$242,ROWS($A$11:A40)))</f>
        <v/>
      </c>
      <c r="C40" s="581" t="str">
        <f>IF($E40="","",INDEX(C_InstallationDescription!F:F,MATCH($B40,C_InstallationDescription!$E:$E,0)))</f>
        <v/>
      </c>
      <c r="D40" s="581" t="str">
        <f>IF($E40="","",INDEX(C_InstallationDescription!I:I,MATCH($B40,C_InstallationDescription!$E:$E,0)))</f>
        <v/>
      </c>
      <c r="E40" s="581" t="str">
        <f>IF($B40="","",INDEX(C_InstallationDescription!F:F,MATCH($CJ40,C_InstallationDescription!$Q:$Q,0)))</f>
        <v/>
      </c>
      <c r="F40" s="706" t="str">
        <f>IF($E40="","",INDEX(C_InstallationDescription!L:L,MATCH($CJ40,C_InstallationDescription!$Q:$Q,0)))</f>
        <v/>
      </c>
      <c r="G40" s="581" t="str">
        <f>IF($E40="","",INDEX(C_InstallationDescription!M:M,MATCH($CJ40,C_InstallationDescription!$Q:$Q,0)))</f>
        <v/>
      </c>
      <c r="H40" s="581" t="str">
        <f>IF($E40="","",INDEX(C_InstallationDescription!N:N,MATCH($CJ40,C_InstallationDescription!$Q:$Q,0)))</f>
        <v/>
      </c>
      <c r="I40" s="703" t="str">
        <f>IF($E40="","",IF(INDEX(E_SourceStreams!$A:$N,CN40,I$7)="","",INDEX(E_SourceStreams!$A:$N,CN40,I$7)))</f>
        <v/>
      </c>
      <c r="J40" s="703" t="str">
        <f>IF($E40="","",IF(INDEX(E_SourceStreams!$A:$N,CO40,J$7)="","",INDEX(E_SourceStreams!$A:$N,CO40,J$7)))</f>
        <v/>
      </c>
      <c r="K40" s="703" t="str">
        <f>IF($E40="","",IF(INDEX(E_SourceStreams!$A:$N,CP40,K$7)="","",INDEX(E_SourceStreams!$A:$N,CP40,K$7)))</f>
        <v/>
      </c>
      <c r="L40" s="703" t="str">
        <f>IF($E40="","",IF(INDEX(E_SourceStreams!$A:$N,CQ40,L$7)="","",INDEX(E_SourceStreams!$A:$N,CQ40,L$7)))</f>
        <v/>
      </c>
      <c r="M40" s="703" t="str">
        <f>IF($E40="","",IF(INDEX(E_SourceStreams!$A:$N,CR40,M$7)="","",INDEX(E_SourceStreams!$A:$N,CR40,M$7)))</f>
        <v/>
      </c>
      <c r="N40" s="703" t="str">
        <f>IF($E40="","",IF(INDEX(E_SourceStreams!$A:$N,CS40,N$7)="","",INDEX(E_SourceStreams!$A:$N,CS40,N$7)))</f>
        <v/>
      </c>
      <c r="O40" s="703" t="str">
        <f>IF($E40="","",IF(INDEX(E_SourceStreams!$A:$N,CT40,O$7)="","",INDEX(E_SourceStreams!$A:$N,CT40,O$7)))</f>
        <v/>
      </c>
      <c r="P40" s="703" t="str">
        <f>IF($E40="","",IF(INDEX(E_SourceStreams!$A:$N,CU40,P$7)="","",INDEX(E_SourceStreams!$A:$N,CU40,P$7)))</f>
        <v/>
      </c>
      <c r="Q40" s="703" t="str">
        <f>IF($E40="","",IF(INDEX(E_SourceStreams!$A:$N,CV40,Q$7)="","",INDEX(E_SourceStreams!$A:$N,CV40,Q$7)))</f>
        <v/>
      </c>
      <c r="R40" s="703" t="str">
        <f>IF($E40="","",IF(INDEX(E_SourceStreams!$A:$N,CW40,R$7)="","",INDEX(E_SourceStreams!$A:$N,CW40,R$7)))</f>
        <v/>
      </c>
      <c r="S40" s="703" t="str">
        <f>IF($E40="","",IF(INDEX(E_SourceStreams!$A:$N,CX40,S$7)="","",INDEX(E_SourceStreams!$A:$N,CX40,S$7)))</f>
        <v/>
      </c>
      <c r="T40" s="703" t="str">
        <f>IF($E40="","",IF(INDEX(E_SourceStreams!$A:$N,CY40,T$7)="","",INDEX(E_SourceStreams!$A:$N,CY40,T$7)))</f>
        <v/>
      </c>
      <c r="U40" s="703" t="str">
        <f>IF($E40="","",IF(INDEX(E_SourceStreams!$A:$N,CZ40,U$7)="","",INDEX(E_SourceStreams!$A:$N,CZ40,U$7)))</f>
        <v/>
      </c>
      <c r="V40" s="703" t="str">
        <f>IF($E40="","",IF(INDEX(E_SourceStreams!$A:$N,DA40,V$7)="","",INDEX(E_SourceStreams!$A:$N,DA40,V$7)))</f>
        <v/>
      </c>
      <c r="W40" s="704" t="str">
        <f>IF($E40="","",IF(INDEX(E_SourceStreams!$A:$N,DB40,W$7)="","",INDEX(E_SourceStreams!$A:$N,DB40,W$7)))</f>
        <v/>
      </c>
      <c r="X40" s="703" t="str">
        <f>IF($E40="","",IF(INDEX(E_SourceStreams!$A:$N,DC40,X$7)="","",INDEX(E_SourceStreams!$A:$N,DC40,X$7)))</f>
        <v/>
      </c>
      <c r="Y40" s="703" t="str">
        <f>IF($E40="","",IF(INDEX(E_SourceStreams!$A:$N,DD40,Y$7)="","",INDEX(E_SourceStreams!$A:$N,DD40,Y$7)))</f>
        <v/>
      </c>
      <c r="Z40" s="703" t="str">
        <f>IF($E40="","",IF(INDEX(E_SourceStreams!$A:$N,DE40,Z$7)="","",INDEX(E_SourceStreams!$A:$N,DE40,Z$7)))</f>
        <v/>
      </c>
      <c r="AA40" s="703" t="str">
        <f>IF($E40="","",IF(INDEX(E_SourceStreams!$A:$N,DF40,AA$7)="","",INDEX(E_SourceStreams!$A:$N,DF40,AA$7)))</f>
        <v/>
      </c>
      <c r="AB40" s="703" t="str">
        <f>IF($E40="","",IF(INDEX(E_SourceStreams!$A:$N,DG40,AB$7)="","",INDEX(E_SourceStreams!$A:$N,DG40,AB$7)))</f>
        <v/>
      </c>
      <c r="AC40" s="703" t="str">
        <f>IF($E40="","",IF(INDEX(E_SourceStreams!$A:$N,DH40,AC$7)="","",INDEX(E_SourceStreams!$A:$N,DH40,AC$7)))</f>
        <v/>
      </c>
      <c r="AD40" s="703" t="str">
        <f>IF($E40="","",IF(INDEX(E_SourceStreams!$A:$N,DI40,AD$7)="","",INDEX(E_SourceStreams!$A:$N,DI40,AD$7)))</f>
        <v/>
      </c>
      <c r="AE40" s="703" t="str">
        <f>IF($E40="","",IF(INDEX(E_SourceStreams!$A:$N,DJ40,AE$7)="","",INDEX(E_SourceStreams!$A:$N,DJ40,AE$7)))</f>
        <v/>
      </c>
      <c r="AF40" s="703" t="str">
        <f>IF($E40="","",IF(INDEX(E_SourceStreams!$A:$N,DK40,AF$7)="","",INDEX(E_SourceStreams!$A:$N,DK40,AF$7)))</f>
        <v/>
      </c>
      <c r="AG40" s="703" t="str">
        <f>IF($E40="","",IF(INDEX(E_SourceStreams!$A:$N,DL40,AG$7)="","",INDEX(E_SourceStreams!$A:$N,DL40,AG$7)))</f>
        <v/>
      </c>
      <c r="AH40" s="703" t="str">
        <f>IF($E40="","",IF(INDEX(E_SourceStreams!$A:$N,DM40,AH$7)="","",INDEX(E_SourceStreams!$A:$N,DM40,AH$7)))</f>
        <v/>
      </c>
      <c r="AI40" s="703" t="str">
        <f>IF($E40="","",IF(INDEX(E_SourceStreams!$A:$N,DN40,AI$7)="","",INDEX(E_SourceStreams!$A:$N,DN40,AI$7)))</f>
        <v/>
      </c>
      <c r="AJ40" s="703" t="str">
        <f>IF($E40="","",IF(INDEX(E_SourceStreams!$A:$N,DO40,AJ$7)="","",INDEX(E_SourceStreams!$A:$N,DO40,AJ$7)))</f>
        <v/>
      </c>
      <c r="AK40" s="703" t="str">
        <f>IF($E40="","",IF(INDEX(E_SourceStreams!$A:$N,DP40,AK$7)="","",INDEX(E_SourceStreams!$A:$N,DP40,AK$7)))</f>
        <v/>
      </c>
      <c r="AL40" s="703" t="str">
        <f>IF($E40="","",IF(INDEX(E_SourceStreams!$A:$N,DQ40,AL$7)="","",INDEX(E_SourceStreams!$A:$N,DQ40,AL$7)))</f>
        <v/>
      </c>
      <c r="AM40" s="703" t="str">
        <f>IF($E40="","",IF(INDEX(E_SourceStreams!$A:$N,DR40,AM$7)="","",INDEX(E_SourceStreams!$A:$N,DR40,AM$7)))</f>
        <v/>
      </c>
      <c r="AN40" s="703" t="str">
        <f>IF($E40="","",IF(INDEX(E_SourceStreams!$A:$N,DS40,AN$7)="","",INDEX(E_SourceStreams!$A:$N,DS40,AN$7)))</f>
        <v/>
      </c>
      <c r="AO40" s="703" t="str">
        <f>IF($E40="","",IF(INDEX(E_SourceStreams!$A:$N,DT40,AO$7)="","",INDEX(E_SourceStreams!$A:$N,DT40,AO$7)))</f>
        <v/>
      </c>
      <c r="AP40" s="703" t="str">
        <f>IF($E40="","",IF(INDEX(E_SourceStreams!$A:$N,DU40,AP$7)="","",INDEX(E_SourceStreams!$A:$N,DU40,AP$7)))</f>
        <v/>
      </c>
      <c r="AQ40" s="703" t="str">
        <f>IF($E40="","",IF(INDEX(E_SourceStreams!$A:$N,DV40,AQ$7)="","",INDEX(E_SourceStreams!$A:$N,DV40,AQ$7)))</f>
        <v/>
      </c>
      <c r="AR40" s="703" t="str">
        <f>IF($E40="","",IF(INDEX(E_SourceStreams!$A:$N,DW40,AR$7)="","",INDEX(E_SourceStreams!$A:$N,DW40,AR$7)))</f>
        <v/>
      </c>
      <c r="AS40" s="703" t="str">
        <f>IF($E40="","",IF(INDEX(E_SourceStreams!$A:$N,DX40,AS$7)="","",INDEX(E_SourceStreams!$A:$N,DX40,AS$7)))</f>
        <v/>
      </c>
      <c r="AT40" s="703" t="str">
        <f>IF($E40="","",IF(INDEX(E_SourceStreams!$A:$N,DY40,AT$7)="","",INDEX(E_SourceStreams!$A:$N,DY40,AT$7)))</f>
        <v/>
      </c>
      <c r="AU40" s="703" t="str">
        <f>IF($E40="","",IF(INDEX(E_SourceStreams!$A:$N,DZ40,AU$7)="","",INDEX(E_SourceStreams!$A:$N,DZ40,AU$7)))</f>
        <v/>
      </c>
      <c r="AV40" s="703" t="str">
        <f>IF($E40="","",IF(INDEX(E_SourceStreams!$A:$N,EA40,AV$7)="","",INDEX(E_SourceStreams!$A:$N,EA40,AV$7)))</f>
        <v/>
      </c>
      <c r="AW40" s="703" t="str">
        <f>IF($E40="","",IF(INDEX(E_SourceStreams!$A:$N,EB40,AW$7)="","",INDEX(E_SourceStreams!$A:$N,EB40,AW$7)))</f>
        <v/>
      </c>
      <c r="AX40" s="703" t="str">
        <f>IF($E40="","",IF(INDEX(E_SourceStreams!$A:$N,EC40,AX$7)="","",INDEX(E_SourceStreams!$A:$N,EC40,AX$7)))</f>
        <v/>
      </c>
      <c r="AY40" s="703" t="str">
        <f>IF($E40="","",IF(INDEX(E_SourceStreams!$A:$N,ED40,AY$7)="","",INDEX(E_SourceStreams!$A:$N,ED40,AY$7)))</f>
        <v/>
      </c>
      <c r="AZ40" s="703" t="str">
        <f>IF($E40="","",IF(INDEX(E_SourceStreams!$A:$N,EE40,AZ$7)="","",INDEX(E_SourceStreams!$A:$N,EE40,AZ$7)))</f>
        <v/>
      </c>
      <c r="BA40" s="703" t="str">
        <f>IF($E40="","",IF(INDEX(E_SourceStreams!$A:$N,EF40,BA$7)="","",INDEX(E_SourceStreams!$A:$N,EF40,BA$7)))</f>
        <v/>
      </c>
      <c r="BB40" s="703" t="str">
        <f>IF($E40="","",IF(INDEX(E_SourceStreams!$A:$N,EG40,BB$7)="","",INDEX(E_SourceStreams!$A:$N,EG40,BB$7)))</f>
        <v/>
      </c>
      <c r="BC40" s="703" t="str">
        <f>IF($E40="","",IF(INDEX(E_SourceStreams!$A:$N,EH40,BC$7)="","",INDEX(E_SourceStreams!$A:$N,EH40,BC$7)))</f>
        <v/>
      </c>
      <c r="BD40" s="703" t="str">
        <f>IF($E40="","",IF(INDEX(E_SourceStreams!$A:$N,EI40,BD$7)="","",INDEX(E_SourceStreams!$A:$N,EI40,BD$7)))</f>
        <v/>
      </c>
      <c r="BE40" s="703" t="str">
        <f>IF($E40="","",IF(INDEX(E_SourceStreams!$A:$N,EJ40,BE$7)="","",INDEX(E_SourceStreams!$A:$N,EJ40,BE$7)))</f>
        <v/>
      </c>
      <c r="BF40" s="703" t="str">
        <f>IF($E40="","",IF(INDEX(E_SourceStreams!$A:$N,EK40,BF$7)="","",INDEX(E_SourceStreams!$A:$N,EK40,BF$7)))</f>
        <v/>
      </c>
      <c r="BG40" s="703" t="str">
        <f>IF($E40="","",IF(INDEX(E_SourceStreams!$A:$N,EL40,BG$7)="","",INDEX(E_SourceStreams!$A:$N,EL40,BG$7)))</f>
        <v/>
      </c>
      <c r="BH40" s="703" t="str">
        <f>IF($E40="","",IF(INDEX(E_SourceStreams!$A:$N,EM40,BH$7)="","",INDEX(E_SourceStreams!$A:$N,EM40,BH$7)))</f>
        <v/>
      </c>
      <c r="BI40" s="703" t="str">
        <f>IF($E40="","",IF(INDEX(E_SourceStreams!$A:$N,EN40,BI$7)="","",INDEX(E_SourceStreams!$A:$N,EN40,BI$7)))</f>
        <v/>
      </c>
      <c r="BJ40" s="703" t="str">
        <f>IF($E40="","",IF(INDEX(E_SourceStreams!$A:$N,EO40,BJ$7)="","",INDEX(E_SourceStreams!$A:$N,EO40,BJ$7)))</f>
        <v/>
      </c>
      <c r="BK40" s="703" t="str">
        <f>IF($E40="","",IF(INDEX(E_SourceStreams!$A:$N,EP40,BK$7)="","",INDEX(E_SourceStreams!$A:$N,EP40,BK$7)))</f>
        <v/>
      </c>
      <c r="BL40" s="703" t="str">
        <f>IF($E40="","",IF(INDEX(E_SourceStreams!$A:$N,EQ40,BL$7)="","",INDEX(E_SourceStreams!$A:$N,EQ40,BL$7)))</f>
        <v/>
      </c>
      <c r="BM40" s="703" t="str">
        <f>IF($E40="","",IF(INDEX(E_SourceStreams!$A:$N,ER40,BM$7)="","",INDEX(E_SourceStreams!$A:$N,ER40,BM$7)))</f>
        <v/>
      </c>
      <c r="BN40" s="703" t="str">
        <f>IF($E40="","",IF(INDEX(E_SourceStreams!$A:$N,ES40,BN$7)="","",INDEX(E_SourceStreams!$A:$N,ES40,BN$7)))</f>
        <v/>
      </c>
      <c r="BO40" s="703" t="str">
        <f>IF($E40="","",IF(INDEX(E_SourceStreams!$A:$N,ET40,BO$7)="","",INDEX(E_SourceStreams!$A:$N,ET40,BO$7)))</f>
        <v/>
      </c>
      <c r="BP40" s="703" t="str">
        <f>IF($E40="","",IF(INDEX(E_SourceStreams!$A:$N,EU40,BP$7)="","",INDEX(E_SourceStreams!$A:$N,EU40,BP$7)))</f>
        <v/>
      </c>
      <c r="BQ40" s="703" t="str">
        <f>IF($E40="","",IF(INDEX(E_SourceStreams!$A:$N,EV40,BQ$7)="","",INDEX(E_SourceStreams!$A:$N,EV40,BQ$7)))</f>
        <v/>
      </c>
      <c r="BR40" s="703" t="str">
        <f>IF($E40="","",IF(INDEX(E_SourceStreams!$A:$N,EW40,BR$7)="","",INDEX(E_SourceStreams!$A:$N,EW40,BR$7)))</f>
        <v/>
      </c>
      <c r="BS40" s="703" t="str">
        <f>IF($E40="","",IF(INDEX(E_SourceStreams!$A:$N,EX40,BS$7)="","",INDEX(E_SourceStreams!$A:$N,EX40,BS$7)))</f>
        <v/>
      </c>
      <c r="BT40" s="703" t="str">
        <f>IF($E40="","",IF(INDEX(E_SourceStreams!$A:$N,EY40,BT$7)="","",INDEX(E_SourceStreams!$A:$N,EY40,BT$7)))</f>
        <v/>
      </c>
      <c r="BU40" s="625"/>
      <c r="CJ40" s="679" t="str">
        <f t="shared" si="0"/>
        <v>SourceCategory_</v>
      </c>
      <c r="CK40" s="679" t="b">
        <f>INDEX(C_InstallationDescription!$A$226:$A$332,ROWS($CI$11:CI40))="ausblenden"</f>
        <v>0</v>
      </c>
      <c r="CL40" s="679" t="str">
        <f t="shared" si="1"/>
        <v>SourceStreamName_</v>
      </c>
      <c r="CN40" s="679">
        <f t="shared" si="65"/>
        <v>2049</v>
      </c>
      <c r="CO40" s="679">
        <f t="shared" si="2"/>
        <v>2051</v>
      </c>
      <c r="CP40" s="679">
        <f t="shared" si="3"/>
        <v>2053</v>
      </c>
      <c r="CQ40" s="679">
        <f t="shared" si="4"/>
        <v>2055</v>
      </c>
      <c r="CR40" s="679">
        <f t="shared" si="5"/>
        <v>2057</v>
      </c>
      <c r="CS40" s="679">
        <f t="shared" si="6"/>
        <v>2059</v>
      </c>
      <c r="CT40" s="679">
        <f t="shared" si="7"/>
        <v>2061</v>
      </c>
      <c r="CU40" s="679">
        <f t="shared" si="8"/>
        <v>2061</v>
      </c>
      <c r="CV40" s="679">
        <f t="shared" si="9"/>
        <v>2061</v>
      </c>
      <c r="CW40" s="679">
        <f t="shared" si="10"/>
        <v>2061</v>
      </c>
      <c r="CX40" s="679">
        <f t="shared" si="11"/>
        <v>2061</v>
      </c>
      <c r="CY40" s="679">
        <f t="shared" si="12"/>
        <v>2064</v>
      </c>
      <c r="CZ40" s="679">
        <f t="shared" si="13"/>
        <v>2068</v>
      </c>
      <c r="DA40" s="679">
        <f t="shared" si="14"/>
        <v>2069</v>
      </c>
      <c r="DB40" s="679">
        <f t="shared" si="15"/>
        <v>2070</v>
      </c>
      <c r="DC40" s="679">
        <f t="shared" si="16"/>
        <v>2077</v>
      </c>
      <c r="DD40" s="679">
        <f t="shared" si="17"/>
        <v>2087</v>
      </c>
      <c r="DE40" s="679">
        <f t="shared" si="18"/>
        <v>2087</v>
      </c>
      <c r="DF40" s="679">
        <f t="shared" si="19"/>
        <v>2087</v>
      </c>
      <c r="DG40" s="679">
        <f t="shared" si="20"/>
        <v>2087</v>
      </c>
      <c r="DH40" s="679">
        <f t="shared" si="21"/>
        <v>2087</v>
      </c>
      <c r="DI40" s="679">
        <f t="shared" si="22"/>
        <v>2087</v>
      </c>
      <c r="DJ40" s="679">
        <f t="shared" si="23"/>
        <v>2087</v>
      </c>
      <c r="DK40" s="679">
        <f t="shared" si="24"/>
        <v>2078</v>
      </c>
      <c r="DL40" s="679">
        <f t="shared" si="25"/>
        <v>2088</v>
      </c>
      <c r="DM40" s="679">
        <f t="shared" si="26"/>
        <v>2088</v>
      </c>
      <c r="DN40" s="679">
        <f t="shared" si="27"/>
        <v>2088</v>
      </c>
      <c r="DO40" s="679">
        <f t="shared" si="28"/>
        <v>2088</v>
      </c>
      <c r="DP40" s="679">
        <f t="shared" si="29"/>
        <v>2088</v>
      </c>
      <c r="DQ40" s="679">
        <f t="shared" si="30"/>
        <v>2088</v>
      </c>
      <c r="DR40" s="679">
        <f t="shared" si="31"/>
        <v>2088</v>
      </c>
      <c r="DS40" s="679">
        <f t="shared" si="32"/>
        <v>2079</v>
      </c>
      <c r="DT40" s="679">
        <f t="shared" si="33"/>
        <v>2089</v>
      </c>
      <c r="DU40" s="679">
        <f t="shared" si="34"/>
        <v>2089</v>
      </c>
      <c r="DV40" s="679">
        <f t="shared" si="35"/>
        <v>2089</v>
      </c>
      <c r="DW40" s="679">
        <f t="shared" si="36"/>
        <v>2089</v>
      </c>
      <c r="DX40" s="679">
        <f t="shared" si="37"/>
        <v>2089</v>
      </c>
      <c r="DY40" s="679">
        <f t="shared" si="38"/>
        <v>2089</v>
      </c>
      <c r="DZ40" s="679">
        <f t="shared" si="39"/>
        <v>2089</v>
      </c>
      <c r="EA40" s="679">
        <f t="shared" si="40"/>
        <v>2080</v>
      </c>
      <c r="EB40" s="679">
        <f t="shared" si="41"/>
        <v>2090</v>
      </c>
      <c r="EC40" s="679">
        <f t="shared" si="42"/>
        <v>2090</v>
      </c>
      <c r="ED40" s="679">
        <f t="shared" si="43"/>
        <v>2090</v>
      </c>
      <c r="EE40" s="679">
        <f t="shared" si="44"/>
        <v>2090</v>
      </c>
      <c r="EF40" s="679">
        <f t="shared" si="45"/>
        <v>2090</v>
      </c>
      <c r="EG40" s="679">
        <f t="shared" si="46"/>
        <v>2090</v>
      </c>
      <c r="EH40" s="679">
        <f t="shared" si="47"/>
        <v>2090</v>
      </c>
      <c r="EI40" s="679">
        <f t="shared" si="48"/>
        <v>2081</v>
      </c>
      <c r="EJ40" s="679">
        <f t="shared" si="49"/>
        <v>2091</v>
      </c>
      <c r="EK40" s="679">
        <f t="shared" si="50"/>
        <v>2091</v>
      </c>
      <c r="EL40" s="679">
        <f t="shared" si="51"/>
        <v>2091</v>
      </c>
      <c r="EM40" s="679">
        <f t="shared" si="52"/>
        <v>2091</v>
      </c>
      <c r="EN40" s="679">
        <f t="shared" si="53"/>
        <v>2091</v>
      </c>
      <c r="EO40" s="679">
        <f t="shared" si="54"/>
        <v>2091</v>
      </c>
      <c r="EP40" s="679">
        <f t="shared" si="55"/>
        <v>2091</v>
      </c>
      <c r="EQ40" s="679">
        <f t="shared" si="56"/>
        <v>2082</v>
      </c>
      <c r="ER40" s="679">
        <f t="shared" si="57"/>
        <v>2092</v>
      </c>
      <c r="ES40" s="679">
        <f t="shared" si="58"/>
        <v>2092</v>
      </c>
      <c r="ET40" s="679">
        <f t="shared" si="59"/>
        <v>2092</v>
      </c>
      <c r="EU40" s="679">
        <f t="shared" si="60"/>
        <v>2092</v>
      </c>
      <c r="EV40" s="679">
        <f t="shared" si="61"/>
        <v>2092</v>
      </c>
      <c r="EW40" s="679">
        <f t="shared" si="62"/>
        <v>2092</v>
      </c>
      <c r="EX40" s="679">
        <f t="shared" si="63"/>
        <v>2092</v>
      </c>
      <c r="EY40" s="679">
        <f t="shared" si="64"/>
        <v>2098</v>
      </c>
    </row>
    <row r="41" spans="2:155" ht="12.75" customHeight="1" x14ac:dyDescent="0.2">
      <c r="B41" s="700" t="str">
        <f>IF(COUNTIF($CK$10:CK41,TRUE)&gt;0,"",INDEX(C_InstallationDescription!$E$226:$E$242,ROWS($A$11:A41)))</f>
        <v/>
      </c>
      <c r="C41" s="581" t="str">
        <f>IF($E41="","",INDEX(C_InstallationDescription!F:F,MATCH($B41,C_InstallationDescription!$E:$E,0)))</f>
        <v/>
      </c>
      <c r="D41" s="581" t="str">
        <f>IF($E41="","",INDEX(C_InstallationDescription!I:I,MATCH($B41,C_InstallationDescription!$E:$E,0)))</f>
        <v/>
      </c>
      <c r="E41" s="581" t="str">
        <f>IF($B41="","",INDEX(C_InstallationDescription!F:F,MATCH($CJ41,C_InstallationDescription!$Q:$Q,0)))</f>
        <v/>
      </c>
      <c r="F41" s="706" t="str">
        <f>IF($E41="","",INDEX(C_InstallationDescription!L:L,MATCH($CJ41,C_InstallationDescription!$Q:$Q,0)))</f>
        <v/>
      </c>
      <c r="G41" s="581" t="str">
        <f>IF($E41="","",INDEX(C_InstallationDescription!M:M,MATCH($CJ41,C_InstallationDescription!$Q:$Q,0)))</f>
        <v/>
      </c>
      <c r="H41" s="581" t="str">
        <f>IF($E41="","",INDEX(C_InstallationDescription!N:N,MATCH($CJ41,C_InstallationDescription!$Q:$Q,0)))</f>
        <v/>
      </c>
      <c r="I41" s="703" t="str">
        <f>IF($E41="","",IF(INDEX(E_SourceStreams!$A:$N,CN41,I$7)="","",INDEX(E_SourceStreams!$A:$N,CN41,I$7)))</f>
        <v/>
      </c>
      <c r="J41" s="703" t="str">
        <f>IF($E41="","",IF(INDEX(E_SourceStreams!$A:$N,CO41,J$7)="","",INDEX(E_SourceStreams!$A:$N,CO41,J$7)))</f>
        <v/>
      </c>
      <c r="K41" s="703" t="str">
        <f>IF($E41="","",IF(INDEX(E_SourceStreams!$A:$N,CP41,K$7)="","",INDEX(E_SourceStreams!$A:$N,CP41,K$7)))</f>
        <v/>
      </c>
      <c r="L41" s="703" t="str">
        <f>IF($E41="","",IF(INDEX(E_SourceStreams!$A:$N,CQ41,L$7)="","",INDEX(E_SourceStreams!$A:$N,CQ41,L$7)))</f>
        <v/>
      </c>
      <c r="M41" s="703" t="str">
        <f>IF($E41="","",IF(INDEX(E_SourceStreams!$A:$N,CR41,M$7)="","",INDEX(E_SourceStreams!$A:$N,CR41,M$7)))</f>
        <v/>
      </c>
      <c r="N41" s="703" t="str">
        <f>IF($E41="","",IF(INDEX(E_SourceStreams!$A:$N,CS41,N$7)="","",INDEX(E_SourceStreams!$A:$N,CS41,N$7)))</f>
        <v/>
      </c>
      <c r="O41" s="703" t="str">
        <f>IF($E41="","",IF(INDEX(E_SourceStreams!$A:$N,CT41,O$7)="","",INDEX(E_SourceStreams!$A:$N,CT41,O$7)))</f>
        <v/>
      </c>
      <c r="P41" s="703" t="str">
        <f>IF($E41="","",IF(INDEX(E_SourceStreams!$A:$N,CU41,P$7)="","",INDEX(E_SourceStreams!$A:$N,CU41,P$7)))</f>
        <v/>
      </c>
      <c r="Q41" s="703" t="str">
        <f>IF($E41="","",IF(INDEX(E_SourceStreams!$A:$N,CV41,Q$7)="","",INDEX(E_SourceStreams!$A:$N,CV41,Q$7)))</f>
        <v/>
      </c>
      <c r="R41" s="703" t="str">
        <f>IF($E41="","",IF(INDEX(E_SourceStreams!$A:$N,CW41,R$7)="","",INDEX(E_SourceStreams!$A:$N,CW41,R$7)))</f>
        <v/>
      </c>
      <c r="S41" s="703" t="str">
        <f>IF($E41="","",IF(INDEX(E_SourceStreams!$A:$N,CX41,S$7)="","",INDEX(E_SourceStreams!$A:$N,CX41,S$7)))</f>
        <v/>
      </c>
      <c r="T41" s="703" t="str">
        <f>IF($E41="","",IF(INDEX(E_SourceStreams!$A:$N,CY41,T$7)="","",INDEX(E_SourceStreams!$A:$N,CY41,T$7)))</f>
        <v/>
      </c>
      <c r="U41" s="703" t="str">
        <f>IF($E41="","",IF(INDEX(E_SourceStreams!$A:$N,CZ41,U$7)="","",INDEX(E_SourceStreams!$A:$N,CZ41,U$7)))</f>
        <v/>
      </c>
      <c r="V41" s="703" t="str">
        <f>IF($E41="","",IF(INDEX(E_SourceStreams!$A:$N,DA41,V$7)="","",INDEX(E_SourceStreams!$A:$N,DA41,V$7)))</f>
        <v/>
      </c>
      <c r="W41" s="704" t="str">
        <f>IF($E41="","",IF(INDEX(E_SourceStreams!$A:$N,DB41,W$7)="","",INDEX(E_SourceStreams!$A:$N,DB41,W$7)))</f>
        <v/>
      </c>
      <c r="X41" s="703" t="str">
        <f>IF($E41="","",IF(INDEX(E_SourceStreams!$A:$N,DC41,X$7)="","",INDEX(E_SourceStreams!$A:$N,DC41,X$7)))</f>
        <v/>
      </c>
      <c r="Y41" s="703" t="str">
        <f>IF($E41="","",IF(INDEX(E_SourceStreams!$A:$N,DD41,Y$7)="","",INDEX(E_SourceStreams!$A:$N,DD41,Y$7)))</f>
        <v/>
      </c>
      <c r="Z41" s="703" t="str">
        <f>IF($E41="","",IF(INDEX(E_SourceStreams!$A:$N,DE41,Z$7)="","",INDEX(E_SourceStreams!$A:$N,DE41,Z$7)))</f>
        <v/>
      </c>
      <c r="AA41" s="703" t="str">
        <f>IF($E41="","",IF(INDEX(E_SourceStreams!$A:$N,DF41,AA$7)="","",INDEX(E_SourceStreams!$A:$N,DF41,AA$7)))</f>
        <v/>
      </c>
      <c r="AB41" s="703" t="str">
        <f>IF($E41="","",IF(INDEX(E_SourceStreams!$A:$N,DG41,AB$7)="","",INDEX(E_SourceStreams!$A:$N,DG41,AB$7)))</f>
        <v/>
      </c>
      <c r="AC41" s="703" t="str">
        <f>IF($E41="","",IF(INDEX(E_SourceStreams!$A:$N,DH41,AC$7)="","",INDEX(E_SourceStreams!$A:$N,DH41,AC$7)))</f>
        <v/>
      </c>
      <c r="AD41" s="703" t="str">
        <f>IF($E41="","",IF(INDEX(E_SourceStreams!$A:$N,DI41,AD$7)="","",INDEX(E_SourceStreams!$A:$N,DI41,AD$7)))</f>
        <v/>
      </c>
      <c r="AE41" s="703" t="str">
        <f>IF($E41="","",IF(INDEX(E_SourceStreams!$A:$N,DJ41,AE$7)="","",INDEX(E_SourceStreams!$A:$N,DJ41,AE$7)))</f>
        <v/>
      </c>
      <c r="AF41" s="703" t="str">
        <f>IF($E41="","",IF(INDEX(E_SourceStreams!$A:$N,DK41,AF$7)="","",INDEX(E_SourceStreams!$A:$N,DK41,AF$7)))</f>
        <v/>
      </c>
      <c r="AG41" s="703" t="str">
        <f>IF($E41="","",IF(INDEX(E_SourceStreams!$A:$N,DL41,AG$7)="","",INDEX(E_SourceStreams!$A:$N,DL41,AG$7)))</f>
        <v/>
      </c>
      <c r="AH41" s="703" t="str">
        <f>IF($E41="","",IF(INDEX(E_SourceStreams!$A:$N,DM41,AH$7)="","",INDEX(E_SourceStreams!$A:$N,DM41,AH$7)))</f>
        <v/>
      </c>
      <c r="AI41" s="703" t="str">
        <f>IF($E41="","",IF(INDEX(E_SourceStreams!$A:$N,DN41,AI$7)="","",INDEX(E_SourceStreams!$A:$N,DN41,AI$7)))</f>
        <v/>
      </c>
      <c r="AJ41" s="703" t="str">
        <f>IF($E41="","",IF(INDEX(E_SourceStreams!$A:$N,DO41,AJ$7)="","",INDEX(E_SourceStreams!$A:$N,DO41,AJ$7)))</f>
        <v/>
      </c>
      <c r="AK41" s="703" t="str">
        <f>IF($E41="","",IF(INDEX(E_SourceStreams!$A:$N,DP41,AK$7)="","",INDEX(E_SourceStreams!$A:$N,DP41,AK$7)))</f>
        <v/>
      </c>
      <c r="AL41" s="703" t="str">
        <f>IF($E41="","",IF(INDEX(E_SourceStreams!$A:$N,DQ41,AL$7)="","",INDEX(E_SourceStreams!$A:$N,DQ41,AL$7)))</f>
        <v/>
      </c>
      <c r="AM41" s="703" t="str">
        <f>IF($E41="","",IF(INDEX(E_SourceStreams!$A:$N,DR41,AM$7)="","",INDEX(E_SourceStreams!$A:$N,DR41,AM$7)))</f>
        <v/>
      </c>
      <c r="AN41" s="703" t="str">
        <f>IF($E41="","",IF(INDEX(E_SourceStreams!$A:$N,DS41,AN$7)="","",INDEX(E_SourceStreams!$A:$N,DS41,AN$7)))</f>
        <v/>
      </c>
      <c r="AO41" s="703" t="str">
        <f>IF($E41="","",IF(INDEX(E_SourceStreams!$A:$N,DT41,AO$7)="","",INDEX(E_SourceStreams!$A:$N,DT41,AO$7)))</f>
        <v/>
      </c>
      <c r="AP41" s="703" t="str">
        <f>IF($E41="","",IF(INDEX(E_SourceStreams!$A:$N,DU41,AP$7)="","",INDEX(E_SourceStreams!$A:$N,DU41,AP$7)))</f>
        <v/>
      </c>
      <c r="AQ41" s="703" t="str">
        <f>IF($E41="","",IF(INDEX(E_SourceStreams!$A:$N,DV41,AQ$7)="","",INDEX(E_SourceStreams!$A:$N,DV41,AQ$7)))</f>
        <v/>
      </c>
      <c r="AR41" s="703" t="str">
        <f>IF($E41="","",IF(INDEX(E_SourceStreams!$A:$N,DW41,AR$7)="","",INDEX(E_SourceStreams!$A:$N,DW41,AR$7)))</f>
        <v/>
      </c>
      <c r="AS41" s="703" t="str">
        <f>IF($E41="","",IF(INDEX(E_SourceStreams!$A:$N,DX41,AS$7)="","",INDEX(E_SourceStreams!$A:$N,DX41,AS$7)))</f>
        <v/>
      </c>
      <c r="AT41" s="703" t="str">
        <f>IF($E41="","",IF(INDEX(E_SourceStreams!$A:$N,DY41,AT$7)="","",INDEX(E_SourceStreams!$A:$N,DY41,AT$7)))</f>
        <v/>
      </c>
      <c r="AU41" s="703" t="str">
        <f>IF($E41="","",IF(INDEX(E_SourceStreams!$A:$N,DZ41,AU$7)="","",INDEX(E_SourceStreams!$A:$N,DZ41,AU$7)))</f>
        <v/>
      </c>
      <c r="AV41" s="703" t="str">
        <f>IF($E41="","",IF(INDEX(E_SourceStreams!$A:$N,EA41,AV$7)="","",INDEX(E_SourceStreams!$A:$N,EA41,AV$7)))</f>
        <v/>
      </c>
      <c r="AW41" s="703" t="str">
        <f>IF($E41="","",IF(INDEX(E_SourceStreams!$A:$N,EB41,AW$7)="","",INDEX(E_SourceStreams!$A:$N,EB41,AW$7)))</f>
        <v/>
      </c>
      <c r="AX41" s="703" t="str">
        <f>IF($E41="","",IF(INDEX(E_SourceStreams!$A:$N,EC41,AX$7)="","",INDEX(E_SourceStreams!$A:$N,EC41,AX$7)))</f>
        <v/>
      </c>
      <c r="AY41" s="703" t="str">
        <f>IF($E41="","",IF(INDEX(E_SourceStreams!$A:$N,ED41,AY$7)="","",INDEX(E_SourceStreams!$A:$N,ED41,AY$7)))</f>
        <v/>
      </c>
      <c r="AZ41" s="703" t="str">
        <f>IF($E41="","",IF(INDEX(E_SourceStreams!$A:$N,EE41,AZ$7)="","",INDEX(E_SourceStreams!$A:$N,EE41,AZ$7)))</f>
        <v/>
      </c>
      <c r="BA41" s="703" t="str">
        <f>IF($E41="","",IF(INDEX(E_SourceStreams!$A:$N,EF41,BA$7)="","",INDEX(E_SourceStreams!$A:$N,EF41,BA$7)))</f>
        <v/>
      </c>
      <c r="BB41" s="703" t="str">
        <f>IF($E41="","",IF(INDEX(E_SourceStreams!$A:$N,EG41,BB$7)="","",INDEX(E_SourceStreams!$A:$N,EG41,BB$7)))</f>
        <v/>
      </c>
      <c r="BC41" s="703" t="str">
        <f>IF($E41="","",IF(INDEX(E_SourceStreams!$A:$N,EH41,BC$7)="","",INDEX(E_SourceStreams!$A:$N,EH41,BC$7)))</f>
        <v/>
      </c>
      <c r="BD41" s="703" t="str">
        <f>IF($E41="","",IF(INDEX(E_SourceStreams!$A:$N,EI41,BD$7)="","",INDEX(E_SourceStreams!$A:$N,EI41,BD$7)))</f>
        <v/>
      </c>
      <c r="BE41" s="703" t="str">
        <f>IF($E41="","",IF(INDEX(E_SourceStreams!$A:$N,EJ41,BE$7)="","",INDEX(E_SourceStreams!$A:$N,EJ41,BE$7)))</f>
        <v/>
      </c>
      <c r="BF41" s="703" t="str">
        <f>IF($E41="","",IF(INDEX(E_SourceStreams!$A:$N,EK41,BF$7)="","",INDEX(E_SourceStreams!$A:$N,EK41,BF$7)))</f>
        <v/>
      </c>
      <c r="BG41" s="703" t="str">
        <f>IF($E41="","",IF(INDEX(E_SourceStreams!$A:$N,EL41,BG$7)="","",INDEX(E_SourceStreams!$A:$N,EL41,BG$7)))</f>
        <v/>
      </c>
      <c r="BH41" s="703" t="str">
        <f>IF($E41="","",IF(INDEX(E_SourceStreams!$A:$N,EM41,BH$7)="","",INDEX(E_SourceStreams!$A:$N,EM41,BH$7)))</f>
        <v/>
      </c>
      <c r="BI41" s="703" t="str">
        <f>IF($E41="","",IF(INDEX(E_SourceStreams!$A:$N,EN41,BI$7)="","",INDEX(E_SourceStreams!$A:$N,EN41,BI$7)))</f>
        <v/>
      </c>
      <c r="BJ41" s="703" t="str">
        <f>IF($E41="","",IF(INDEX(E_SourceStreams!$A:$N,EO41,BJ$7)="","",INDEX(E_SourceStreams!$A:$N,EO41,BJ$7)))</f>
        <v/>
      </c>
      <c r="BK41" s="703" t="str">
        <f>IF($E41="","",IF(INDEX(E_SourceStreams!$A:$N,EP41,BK$7)="","",INDEX(E_SourceStreams!$A:$N,EP41,BK$7)))</f>
        <v/>
      </c>
      <c r="BL41" s="703" t="str">
        <f>IF($E41="","",IF(INDEX(E_SourceStreams!$A:$N,EQ41,BL$7)="","",INDEX(E_SourceStreams!$A:$N,EQ41,BL$7)))</f>
        <v/>
      </c>
      <c r="BM41" s="703" t="str">
        <f>IF($E41="","",IF(INDEX(E_SourceStreams!$A:$N,ER41,BM$7)="","",INDEX(E_SourceStreams!$A:$N,ER41,BM$7)))</f>
        <v/>
      </c>
      <c r="BN41" s="703" t="str">
        <f>IF($E41="","",IF(INDEX(E_SourceStreams!$A:$N,ES41,BN$7)="","",INDEX(E_SourceStreams!$A:$N,ES41,BN$7)))</f>
        <v/>
      </c>
      <c r="BO41" s="703" t="str">
        <f>IF($E41="","",IF(INDEX(E_SourceStreams!$A:$N,ET41,BO$7)="","",INDEX(E_SourceStreams!$A:$N,ET41,BO$7)))</f>
        <v/>
      </c>
      <c r="BP41" s="703" t="str">
        <f>IF($E41="","",IF(INDEX(E_SourceStreams!$A:$N,EU41,BP$7)="","",INDEX(E_SourceStreams!$A:$N,EU41,BP$7)))</f>
        <v/>
      </c>
      <c r="BQ41" s="703" t="str">
        <f>IF($E41="","",IF(INDEX(E_SourceStreams!$A:$N,EV41,BQ$7)="","",INDEX(E_SourceStreams!$A:$N,EV41,BQ$7)))</f>
        <v/>
      </c>
      <c r="BR41" s="703" t="str">
        <f>IF($E41="","",IF(INDEX(E_SourceStreams!$A:$N,EW41,BR$7)="","",INDEX(E_SourceStreams!$A:$N,EW41,BR$7)))</f>
        <v/>
      </c>
      <c r="BS41" s="703" t="str">
        <f>IF($E41="","",IF(INDEX(E_SourceStreams!$A:$N,EX41,BS$7)="","",INDEX(E_SourceStreams!$A:$N,EX41,BS$7)))</f>
        <v/>
      </c>
      <c r="BT41" s="703" t="str">
        <f>IF($E41="","",IF(INDEX(E_SourceStreams!$A:$N,EY41,BT$7)="","",INDEX(E_SourceStreams!$A:$N,EY41,BT$7)))</f>
        <v/>
      </c>
      <c r="BU41" s="625"/>
      <c r="CJ41" s="679" t="str">
        <f t="shared" si="0"/>
        <v>SourceCategory_</v>
      </c>
      <c r="CK41" s="679" t="b">
        <f>INDEX(C_InstallationDescription!$A$226:$A$332,ROWS($CI$11:CI41))="ausblenden"</f>
        <v>0</v>
      </c>
      <c r="CL41" s="679" t="str">
        <f t="shared" si="1"/>
        <v>SourceStreamName_</v>
      </c>
      <c r="CN41" s="679">
        <f t="shared" si="65"/>
        <v>2115</v>
      </c>
      <c r="CO41" s="679">
        <f t="shared" si="2"/>
        <v>2117</v>
      </c>
      <c r="CP41" s="679">
        <f t="shared" si="3"/>
        <v>2119</v>
      </c>
      <c r="CQ41" s="679">
        <f t="shared" si="4"/>
        <v>2121</v>
      </c>
      <c r="CR41" s="679">
        <f t="shared" si="5"/>
        <v>2123</v>
      </c>
      <c r="CS41" s="679">
        <f t="shared" si="6"/>
        <v>2125</v>
      </c>
      <c r="CT41" s="679">
        <f t="shared" si="7"/>
        <v>2127</v>
      </c>
      <c r="CU41" s="679">
        <f t="shared" si="8"/>
        <v>2127</v>
      </c>
      <c r="CV41" s="679">
        <f t="shared" si="9"/>
        <v>2127</v>
      </c>
      <c r="CW41" s="679">
        <f t="shared" si="10"/>
        <v>2127</v>
      </c>
      <c r="CX41" s="679">
        <f t="shared" si="11"/>
        <v>2127</v>
      </c>
      <c r="CY41" s="679">
        <f t="shared" si="12"/>
        <v>2130</v>
      </c>
      <c r="CZ41" s="679">
        <f t="shared" si="13"/>
        <v>2134</v>
      </c>
      <c r="DA41" s="679">
        <f t="shared" si="14"/>
        <v>2135</v>
      </c>
      <c r="DB41" s="679">
        <f t="shared" si="15"/>
        <v>2136</v>
      </c>
      <c r="DC41" s="679">
        <f t="shared" si="16"/>
        <v>2143</v>
      </c>
      <c r="DD41" s="679">
        <f t="shared" si="17"/>
        <v>2153</v>
      </c>
      <c r="DE41" s="679">
        <f t="shared" si="18"/>
        <v>2153</v>
      </c>
      <c r="DF41" s="679">
        <f t="shared" si="19"/>
        <v>2153</v>
      </c>
      <c r="DG41" s="679">
        <f t="shared" si="20"/>
        <v>2153</v>
      </c>
      <c r="DH41" s="679">
        <f t="shared" si="21"/>
        <v>2153</v>
      </c>
      <c r="DI41" s="679">
        <f t="shared" si="22"/>
        <v>2153</v>
      </c>
      <c r="DJ41" s="679">
        <f t="shared" si="23"/>
        <v>2153</v>
      </c>
      <c r="DK41" s="679">
        <f t="shared" si="24"/>
        <v>2144</v>
      </c>
      <c r="DL41" s="679">
        <f t="shared" si="25"/>
        <v>2154</v>
      </c>
      <c r="DM41" s="679">
        <f t="shared" si="26"/>
        <v>2154</v>
      </c>
      <c r="DN41" s="679">
        <f t="shared" si="27"/>
        <v>2154</v>
      </c>
      <c r="DO41" s="679">
        <f t="shared" si="28"/>
        <v>2154</v>
      </c>
      <c r="DP41" s="679">
        <f t="shared" si="29"/>
        <v>2154</v>
      </c>
      <c r="DQ41" s="679">
        <f t="shared" si="30"/>
        <v>2154</v>
      </c>
      <c r="DR41" s="679">
        <f t="shared" si="31"/>
        <v>2154</v>
      </c>
      <c r="DS41" s="679">
        <f t="shared" si="32"/>
        <v>2145</v>
      </c>
      <c r="DT41" s="679">
        <f t="shared" si="33"/>
        <v>2155</v>
      </c>
      <c r="DU41" s="679">
        <f t="shared" si="34"/>
        <v>2155</v>
      </c>
      <c r="DV41" s="679">
        <f t="shared" si="35"/>
        <v>2155</v>
      </c>
      <c r="DW41" s="679">
        <f t="shared" si="36"/>
        <v>2155</v>
      </c>
      <c r="DX41" s="679">
        <f t="shared" si="37"/>
        <v>2155</v>
      </c>
      <c r="DY41" s="679">
        <f t="shared" si="38"/>
        <v>2155</v>
      </c>
      <c r="DZ41" s="679">
        <f t="shared" si="39"/>
        <v>2155</v>
      </c>
      <c r="EA41" s="679">
        <f t="shared" si="40"/>
        <v>2146</v>
      </c>
      <c r="EB41" s="679">
        <f t="shared" si="41"/>
        <v>2156</v>
      </c>
      <c r="EC41" s="679">
        <f t="shared" si="42"/>
        <v>2156</v>
      </c>
      <c r="ED41" s="679">
        <f t="shared" si="43"/>
        <v>2156</v>
      </c>
      <c r="EE41" s="679">
        <f t="shared" si="44"/>
        <v>2156</v>
      </c>
      <c r="EF41" s="679">
        <f t="shared" si="45"/>
        <v>2156</v>
      </c>
      <c r="EG41" s="679">
        <f t="shared" si="46"/>
        <v>2156</v>
      </c>
      <c r="EH41" s="679">
        <f t="shared" si="47"/>
        <v>2156</v>
      </c>
      <c r="EI41" s="679">
        <f t="shared" si="48"/>
        <v>2147</v>
      </c>
      <c r="EJ41" s="679">
        <f t="shared" si="49"/>
        <v>2157</v>
      </c>
      <c r="EK41" s="679">
        <f t="shared" si="50"/>
        <v>2157</v>
      </c>
      <c r="EL41" s="679">
        <f t="shared" si="51"/>
        <v>2157</v>
      </c>
      <c r="EM41" s="679">
        <f t="shared" si="52"/>
        <v>2157</v>
      </c>
      <c r="EN41" s="679">
        <f t="shared" si="53"/>
        <v>2157</v>
      </c>
      <c r="EO41" s="679">
        <f t="shared" si="54"/>
        <v>2157</v>
      </c>
      <c r="EP41" s="679">
        <f t="shared" si="55"/>
        <v>2157</v>
      </c>
      <c r="EQ41" s="679">
        <f t="shared" si="56"/>
        <v>2148</v>
      </c>
      <c r="ER41" s="679">
        <f t="shared" si="57"/>
        <v>2158</v>
      </c>
      <c r="ES41" s="679">
        <f t="shared" si="58"/>
        <v>2158</v>
      </c>
      <c r="ET41" s="679">
        <f t="shared" si="59"/>
        <v>2158</v>
      </c>
      <c r="EU41" s="679">
        <f t="shared" si="60"/>
        <v>2158</v>
      </c>
      <c r="EV41" s="679">
        <f t="shared" si="61"/>
        <v>2158</v>
      </c>
      <c r="EW41" s="679">
        <f t="shared" si="62"/>
        <v>2158</v>
      </c>
      <c r="EX41" s="679">
        <f t="shared" si="63"/>
        <v>2158</v>
      </c>
      <c r="EY41" s="679">
        <f t="shared" si="64"/>
        <v>2164</v>
      </c>
    </row>
    <row r="42" spans="2:155" ht="12.75" customHeight="1" x14ac:dyDescent="0.2">
      <c r="B42" s="700" t="str">
        <f>IF(COUNTIF($CK$10:CK42,TRUE)&gt;0,"",INDEX(C_InstallationDescription!$E$226:$E$242,ROWS($A$11:A42)))</f>
        <v/>
      </c>
      <c r="C42" s="581" t="str">
        <f>IF($E42="","",INDEX(C_InstallationDescription!F:F,MATCH($B42,C_InstallationDescription!$E:$E,0)))</f>
        <v/>
      </c>
      <c r="D42" s="581" t="str">
        <f>IF($E42="","",INDEX(C_InstallationDescription!I:I,MATCH($B42,C_InstallationDescription!$E:$E,0)))</f>
        <v/>
      </c>
      <c r="E42" s="581" t="str">
        <f>IF($B42="","",INDEX(C_InstallationDescription!F:F,MATCH($CJ42,C_InstallationDescription!$Q:$Q,0)))</f>
        <v/>
      </c>
      <c r="F42" s="706" t="str">
        <f>IF($E42="","",INDEX(C_InstallationDescription!L:L,MATCH($CJ42,C_InstallationDescription!$Q:$Q,0)))</f>
        <v/>
      </c>
      <c r="G42" s="581" t="str">
        <f>IF($E42="","",INDEX(C_InstallationDescription!M:M,MATCH($CJ42,C_InstallationDescription!$Q:$Q,0)))</f>
        <v/>
      </c>
      <c r="H42" s="581" t="str">
        <f>IF($E42="","",INDEX(C_InstallationDescription!N:N,MATCH($CJ42,C_InstallationDescription!$Q:$Q,0)))</f>
        <v/>
      </c>
      <c r="I42" s="703" t="str">
        <f>IF($E42="","",IF(INDEX(E_SourceStreams!$A:$N,CN42,I$7)="","",INDEX(E_SourceStreams!$A:$N,CN42,I$7)))</f>
        <v/>
      </c>
      <c r="J42" s="703" t="str">
        <f>IF($E42="","",IF(INDEX(E_SourceStreams!$A:$N,CO42,J$7)="","",INDEX(E_SourceStreams!$A:$N,CO42,J$7)))</f>
        <v/>
      </c>
      <c r="K42" s="703" t="str">
        <f>IF($E42="","",IF(INDEX(E_SourceStreams!$A:$N,CP42,K$7)="","",INDEX(E_SourceStreams!$A:$N,CP42,K$7)))</f>
        <v/>
      </c>
      <c r="L42" s="703" t="str">
        <f>IF($E42="","",IF(INDEX(E_SourceStreams!$A:$N,CQ42,L$7)="","",INDEX(E_SourceStreams!$A:$N,CQ42,L$7)))</f>
        <v/>
      </c>
      <c r="M42" s="703" t="str">
        <f>IF($E42="","",IF(INDEX(E_SourceStreams!$A:$N,CR42,M$7)="","",INDEX(E_SourceStreams!$A:$N,CR42,M$7)))</f>
        <v/>
      </c>
      <c r="N42" s="703" t="str">
        <f>IF($E42="","",IF(INDEX(E_SourceStreams!$A:$N,CS42,N$7)="","",INDEX(E_SourceStreams!$A:$N,CS42,N$7)))</f>
        <v/>
      </c>
      <c r="O42" s="703" t="str">
        <f>IF($E42="","",IF(INDEX(E_SourceStreams!$A:$N,CT42,O$7)="","",INDEX(E_SourceStreams!$A:$N,CT42,O$7)))</f>
        <v/>
      </c>
      <c r="P42" s="703" t="str">
        <f>IF($E42="","",IF(INDEX(E_SourceStreams!$A:$N,CU42,P$7)="","",INDEX(E_SourceStreams!$A:$N,CU42,P$7)))</f>
        <v/>
      </c>
      <c r="Q42" s="703" t="str">
        <f>IF($E42="","",IF(INDEX(E_SourceStreams!$A:$N,CV42,Q$7)="","",INDEX(E_SourceStreams!$A:$N,CV42,Q$7)))</f>
        <v/>
      </c>
      <c r="R42" s="703" t="str">
        <f>IF($E42="","",IF(INDEX(E_SourceStreams!$A:$N,CW42,R$7)="","",INDEX(E_SourceStreams!$A:$N,CW42,R$7)))</f>
        <v/>
      </c>
      <c r="S42" s="703" t="str">
        <f>IF($E42="","",IF(INDEX(E_SourceStreams!$A:$N,CX42,S$7)="","",INDEX(E_SourceStreams!$A:$N,CX42,S$7)))</f>
        <v/>
      </c>
      <c r="T42" s="703" t="str">
        <f>IF($E42="","",IF(INDEX(E_SourceStreams!$A:$N,CY42,T$7)="","",INDEX(E_SourceStreams!$A:$N,CY42,T$7)))</f>
        <v/>
      </c>
      <c r="U42" s="703" t="str">
        <f>IF($E42="","",IF(INDEX(E_SourceStreams!$A:$N,CZ42,U$7)="","",INDEX(E_SourceStreams!$A:$N,CZ42,U$7)))</f>
        <v/>
      </c>
      <c r="V42" s="703" t="str">
        <f>IF($E42="","",IF(INDEX(E_SourceStreams!$A:$N,DA42,V$7)="","",INDEX(E_SourceStreams!$A:$N,DA42,V$7)))</f>
        <v/>
      </c>
      <c r="W42" s="704" t="str">
        <f>IF($E42="","",IF(INDEX(E_SourceStreams!$A:$N,DB42,W$7)="","",INDEX(E_SourceStreams!$A:$N,DB42,W$7)))</f>
        <v/>
      </c>
      <c r="X42" s="703" t="str">
        <f>IF($E42="","",IF(INDEX(E_SourceStreams!$A:$N,DC42,X$7)="","",INDEX(E_SourceStreams!$A:$N,DC42,X$7)))</f>
        <v/>
      </c>
      <c r="Y42" s="703" t="str">
        <f>IF($E42="","",IF(INDEX(E_SourceStreams!$A:$N,DD42,Y$7)="","",INDEX(E_SourceStreams!$A:$N,DD42,Y$7)))</f>
        <v/>
      </c>
      <c r="Z42" s="703" t="str">
        <f>IF($E42="","",IF(INDEX(E_SourceStreams!$A:$N,DE42,Z$7)="","",INDEX(E_SourceStreams!$A:$N,DE42,Z$7)))</f>
        <v/>
      </c>
      <c r="AA42" s="703" t="str">
        <f>IF($E42="","",IF(INDEX(E_SourceStreams!$A:$N,DF42,AA$7)="","",INDEX(E_SourceStreams!$A:$N,DF42,AA$7)))</f>
        <v/>
      </c>
      <c r="AB42" s="703" t="str">
        <f>IF($E42="","",IF(INDEX(E_SourceStreams!$A:$N,DG42,AB$7)="","",INDEX(E_SourceStreams!$A:$N,DG42,AB$7)))</f>
        <v/>
      </c>
      <c r="AC42" s="703" t="str">
        <f>IF($E42="","",IF(INDEX(E_SourceStreams!$A:$N,DH42,AC$7)="","",INDEX(E_SourceStreams!$A:$N,DH42,AC$7)))</f>
        <v/>
      </c>
      <c r="AD42" s="703" t="str">
        <f>IF($E42="","",IF(INDEX(E_SourceStreams!$A:$N,DI42,AD$7)="","",INDEX(E_SourceStreams!$A:$N,DI42,AD$7)))</f>
        <v/>
      </c>
      <c r="AE42" s="703" t="str">
        <f>IF($E42="","",IF(INDEX(E_SourceStreams!$A:$N,DJ42,AE$7)="","",INDEX(E_SourceStreams!$A:$N,DJ42,AE$7)))</f>
        <v/>
      </c>
      <c r="AF42" s="703" t="str">
        <f>IF($E42="","",IF(INDEX(E_SourceStreams!$A:$N,DK42,AF$7)="","",INDEX(E_SourceStreams!$A:$N,DK42,AF$7)))</f>
        <v/>
      </c>
      <c r="AG42" s="703" t="str">
        <f>IF($E42="","",IF(INDEX(E_SourceStreams!$A:$N,DL42,AG$7)="","",INDEX(E_SourceStreams!$A:$N,DL42,AG$7)))</f>
        <v/>
      </c>
      <c r="AH42" s="703" t="str">
        <f>IF($E42="","",IF(INDEX(E_SourceStreams!$A:$N,DM42,AH$7)="","",INDEX(E_SourceStreams!$A:$N,DM42,AH$7)))</f>
        <v/>
      </c>
      <c r="AI42" s="703" t="str">
        <f>IF($E42="","",IF(INDEX(E_SourceStreams!$A:$N,DN42,AI$7)="","",INDEX(E_SourceStreams!$A:$N,DN42,AI$7)))</f>
        <v/>
      </c>
      <c r="AJ42" s="703" t="str">
        <f>IF($E42="","",IF(INDEX(E_SourceStreams!$A:$N,DO42,AJ$7)="","",INDEX(E_SourceStreams!$A:$N,DO42,AJ$7)))</f>
        <v/>
      </c>
      <c r="AK42" s="703" t="str">
        <f>IF($E42="","",IF(INDEX(E_SourceStreams!$A:$N,DP42,AK$7)="","",INDEX(E_SourceStreams!$A:$N,DP42,AK$7)))</f>
        <v/>
      </c>
      <c r="AL42" s="703" t="str">
        <f>IF($E42="","",IF(INDEX(E_SourceStreams!$A:$N,DQ42,AL$7)="","",INDEX(E_SourceStreams!$A:$N,DQ42,AL$7)))</f>
        <v/>
      </c>
      <c r="AM42" s="703" t="str">
        <f>IF($E42="","",IF(INDEX(E_SourceStreams!$A:$N,DR42,AM$7)="","",INDEX(E_SourceStreams!$A:$N,DR42,AM$7)))</f>
        <v/>
      </c>
      <c r="AN42" s="703" t="str">
        <f>IF($E42="","",IF(INDEX(E_SourceStreams!$A:$N,DS42,AN$7)="","",INDEX(E_SourceStreams!$A:$N,DS42,AN$7)))</f>
        <v/>
      </c>
      <c r="AO42" s="703" t="str">
        <f>IF($E42="","",IF(INDEX(E_SourceStreams!$A:$N,DT42,AO$7)="","",INDEX(E_SourceStreams!$A:$N,DT42,AO$7)))</f>
        <v/>
      </c>
      <c r="AP42" s="703" t="str">
        <f>IF($E42="","",IF(INDEX(E_SourceStreams!$A:$N,DU42,AP$7)="","",INDEX(E_SourceStreams!$A:$N,DU42,AP$7)))</f>
        <v/>
      </c>
      <c r="AQ42" s="703" t="str">
        <f>IF($E42="","",IF(INDEX(E_SourceStreams!$A:$N,DV42,AQ$7)="","",INDEX(E_SourceStreams!$A:$N,DV42,AQ$7)))</f>
        <v/>
      </c>
      <c r="AR42" s="703" t="str">
        <f>IF($E42="","",IF(INDEX(E_SourceStreams!$A:$N,DW42,AR$7)="","",INDEX(E_SourceStreams!$A:$N,DW42,AR$7)))</f>
        <v/>
      </c>
      <c r="AS42" s="703" t="str">
        <f>IF($E42="","",IF(INDEX(E_SourceStreams!$A:$N,DX42,AS$7)="","",INDEX(E_SourceStreams!$A:$N,DX42,AS$7)))</f>
        <v/>
      </c>
      <c r="AT42" s="703" t="str">
        <f>IF($E42="","",IF(INDEX(E_SourceStreams!$A:$N,DY42,AT$7)="","",INDEX(E_SourceStreams!$A:$N,DY42,AT$7)))</f>
        <v/>
      </c>
      <c r="AU42" s="703" t="str">
        <f>IF($E42="","",IF(INDEX(E_SourceStreams!$A:$N,DZ42,AU$7)="","",INDEX(E_SourceStreams!$A:$N,DZ42,AU$7)))</f>
        <v/>
      </c>
      <c r="AV42" s="703" t="str">
        <f>IF($E42="","",IF(INDEX(E_SourceStreams!$A:$N,EA42,AV$7)="","",INDEX(E_SourceStreams!$A:$N,EA42,AV$7)))</f>
        <v/>
      </c>
      <c r="AW42" s="703" t="str">
        <f>IF($E42="","",IF(INDEX(E_SourceStreams!$A:$N,EB42,AW$7)="","",INDEX(E_SourceStreams!$A:$N,EB42,AW$7)))</f>
        <v/>
      </c>
      <c r="AX42" s="703" t="str">
        <f>IF($E42="","",IF(INDEX(E_SourceStreams!$A:$N,EC42,AX$7)="","",INDEX(E_SourceStreams!$A:$N,EC42,AX$7)))</f>
        <v/>
      </c>
      <c r="AY42" s="703" t="str">
        <f>IF($E42="","",IF(INDEX(E_SourceStreams!$A:$N,ED42,AY$7)="","",INDEX(E_SourceStreams!$A:$N,ED42,AY$7)))</f>
        <v/>
      </c>
      <c r="AZ42" s="703" t="str">
        <f>IF($E42="","",IF(INDEX(E_SourceStreams!$A:$N,EE42,AZ$7)="","",INDEX(E_SourceStreams!$A:$N,EE42,AZ$7)))</f>
        <v/>
      </c>
      <c r="BA42" s="703" t="str">
        <f>IF($E42="","",IF(INDEX(E_SourceStreams!$A:$N,EF42,BA$7)="","",INDEX(E_SourceStreams!$A:$N,EF42,BA$7)))</f>
        <v/>
      </c>
      <c r="BB42" s="703" t="str">
        <f>IF($E42="","",IF(INDEX(E_SourceStreams!$A:$N,EG42,BB$7)="","",INDEX(E_SourceStreams!$A:$N,EG42,BB$7)))</f>
        <v/>
      </c>
      <c r="BC42" s="703" t="str">
        <f>IF($E42="","",IF(INDEX(E_SourceStreams!$A:$N,EH42,BC$7)="","",INDEX(E_SourceStreams!$A:$N,EH42,BC$7)))</f>
        <v/>
      </c>
      <c r="BD42" s="703" t="str">
        <f>IF($E42="","",IF(INDEX(E_SourceStreams!$A:$N,EI42,BD$7)="","",INDEX(E_SourceStreams!$A:$N,EI42,BD$7)))</f>
        <v/>
      </c>
      <c r="BE42" s="703" t="str">
        <f>IF($E42="","",IF(INDEX(E_SourceStreams!$A:$N,EJ42,BE$7)="","",INDEX(E_SourceStreams!$A:$N,EJ42,BE$7)))</f>
        <v/>
      </c>
      <c r="BF42" s="703" t="str">
        <f>IF($E42="","",IF(INDEX(E_SourceStreams!$A:$N,EK42,BF$7)="","",INDEX(E_SourceStreams!$A:$N,EK42,BF$7)))</f>
        <v/>
      </c>
      <c r="BG42" s="703" t="str">
        <f>IF($E42="","",IF(INDEX(E_SourceStreams!$A:$N,EL42,BG$7)="","",INDEX(E_SourceStreams!$A:$N,EL42,BG$7)))</f>
        <v/>
      </c>
      <c r="BH42" s="703" t="str">
        <f>IF($E42="","",IF(INDEX(E_SourceStreams!$A:$N,EM42,BH$7)="","",INDEX(E_SourceStreams!$A:$N,EM42,BH$7)))</f>
        <v/>
      </c>
      <c r="BI42" s="703" t="str">
        <f>IF($E42="","",IF(INDEX(E_SourceStreams!$A:$N,EN42,BI$7)="","",INDEX(E_SourceStreams!$A:$N,EN42,BI$7)))</f>
        <v/>
      </c>
      <c r="BJ42" s="703" t="str">
        <f>IF($E42="","",IF(INDEX(E_SourceStreams!$A:$N,EO42,BJ$7)="","",INDEX(E_SourceStreams!$A:$N,EO42,BJ$7)))</f>
        <v/>
      </c>
      <c r="BK42" s="703" t="str">
        <f>IF($E42="","",IF(INDEX(E_SourceStreams!$A:$N,EP42,BK$7)="","",INDEX(E_SourceStreams!$A:$N,EP42,BK$7)))</f>
        <v/>
      </c>
      <c r="BL42" s="703" t="str">
        <f>IF($E42="","",IF(INDEX(E_SourceStreams!$A:$N,EQ42,BL$7)="","",INDEX(E_SourceStreams!$A:$N,EQ42,BL$7)))</f>
        <v/>
      </c>
      <c r="BM42" s="703" t="str">
        <f>IF($E42="","",IF(INDEX(E_SourceStreams!$A:$N,ER42,BM$7)="","",INDEX(E_SourceStreams!$A:$N,ER42,BM$7)))</f>
        <v/>
      </c>
      <c r="BN42" s="703" t="str">
        <f>IF($E42="","",IF(INDEX(E_SourceStreams!$A:$N,ES42,BN$7)="","",INDEX(E_SourceStreams!$A:$N,ES42,BN$7)))</f>
        <v/>
      </c>
      <c r="BO42" s="703" t="str">
        <f>IF($E42="","",IF(INDEX(E_SourceStreams!$A:$N,ET42,BO$7)="","",INDEX(E_SourceStreams!$A:$N,ET42,BO$7)))</f>
        <v/>
      </c>
      <c r="BP42" s="703" t="str">
        <f>IF($E42="","",IF(INDEX(E_SourceStreams!$A:$N,EU42,BP$7)="","",INDEX(E_SourceStreams!$A:$N,EU42,BP$7)))</f>
        <v/>
      </c>
      <c r="BQ42" s="703" t="str">
        <f>IF($E42="","",IF(INDEX(E_SourceStreams!$A:$N,EV42,BQ$7)="","",INDEX(E_SourceStreams!$A:$N,EV42,BQ$7)))</f>
        <v/>
      </c>
      <c r="BR42" s="703" t="str">
        <f>IF($E42="","",IF(INDEX(E_SourceStreams!$A:$N,EW42,BR$7)="","",INDEX(E_SourceStreams!$A:$N,EW42,BR$7)))</f>
        <v/>
      </c>
      <c r="BS42" s="703" t="str">
        <f>IF($E42="","",IF(INDEX(E_SourceStreams!$A:$N,EX42,BS$7)="","",INDEX(E_SourceStreams!$A:$N,EX42,BS$7)))</f>
        <v/>
      </c>
      <c r="BT42" s="703" t="str">
        <f>IF($E42="","",IF(INDEX(E_SourceStreams!$A:$N,EY42,BT$7)="","",INDEX(E_SourceStreams!$A:$N,EY42,BT$7)))</f>
        <v/>
      </c>
      <c r="BU42" s="625"/>
      <c r="CJ42" s="679" t="str">
        <f t="shared" si="0"/>
        <v>SourceCategory_</v>
      </c>
      <c r="CK42" s="679" t="b">
        <f>INDEX(C_InstallationDescription!$A$226:$A$332,ROWS($CI$11:CI42))="ausblenden"</f>
        <v>0</v>
      </c>
      <c r="CL42" s="679" t="str">
        <f t="shared" si="1"/>
        <v>SourceStreamName_</v>
      </c>
      <c r="CN42" s="679">
        <f t="shared" si="65"/>
        <v>2181</v>
      </c>
      <c r="CO42" s="679">
        <f t="shared" si="2"/>
        <v>2183</v>
      </c>
      <c r="CP42" s="679">
        <f t="shared" si="3"/>
        <v>2185</v>
      </c>
      <c r="CQ42" s="679">
        <f t="shared" si="4"/>
        <v>2187</v>
      </c>
      <c r="CR42" s="679">
        <f t="shared" si="5"/>
        <v>2189</v>
      </c>
      <c r="CS42" s="679">
        <f t="shared" si="6"/>
        <v>2191</v>
      </c>
      <c r="CT42" s="679">
        <f t="shared" si="7"/>
        <v>2193</v>
      </c>
      <c r="CU42" s="679">
        <f t="shared" si="8"/>
        <v>2193</v>
      </c>
      <c r="CV42" s="679">
        <f t="shared" si="9"/>
        <v>2193</v>
      </c>
      <c r="CW42" s="679">
        <f t="shared" si="10"/>
        <v>2193</v>
      </c>
      <c r="CX42" s="679">
        <f t="shared" si="11"/>
        <v>2193</v>
      </c>
      <c r="CY42" s="679">
        <f t="shared" si="12"/>
        <v>2196</v>
      </c>
      <c r="CZ42" s="679">
        <f t="shared" si="13"/>
        <v>2200</v>
      </c>
      <c r="DA42" s="679">
        <f t="shared" si="14"/>
        <v>2201</v>
      </c>
      <c r="DB42" s="679">
        <f t="shared" si="15"/>
        <v>2202</v>
      </c>
      <c r="DC42" s="679">
        <f t="shared" si="16"/>
        <v>2209</v>
      </c>
      <c r="DD42" s="679">
        <f t="shared" si="17"/>
        <v>2219</v>
      </c>
      <c r="DE42" s="679">
        <f t="shared" si="18"/>
        <v>2219</v>
      </c>
      <c r="DF42" s="679">
        <f t="shared" si="19"/>
        <v>2219</v>
      </c>
      <c r="DG42" s="679">
        <f t="shared" si="20"/>
        <v>2219</v>
      </c>
      <c r="DH42" s="679">
        <f t="shared" si="21"/>
        <v>2219</v>
      </c>
      <c r="DI42" s="679">
        <f t="shared" si="22"/>
        <v>2219</v>
      </c>
      <c r="DJ42" s="679">
        <f t="shared" si="23"/>
        <v>2219</v>
      </c>
      <c r="DK42" s="679">
        <f t="shared" si="24"/>
        <v>2210</v>
      </c>
      <c r="DL42" s="679">
        <f t="shared" si="25"/>
        <v>2220</v>
      </c>
      <c r="DM42" s="679">
        <f t="shared" si="26"/>
        <v>2220</v>
      </c>
      <c r="DN42" s="679">
        <f t="shared" si="27"/>
        <v>2220</v>
      </c>
      <c r="DO42" s="679">
        <f t="shared" si="28"/>
        <v>2220</v>
      </c>
      <c r="DP42" s="679">
        <f t="shared" si="29"/>
        <v>2220</v>
      </c>
      <c r="DQ42" s="679">
        <f t="shared" si="30"/>
        <v>2220</v>
      </c>
      <c r="DR42" s="679">
        <f t="shared" si="31"/>
        <v>2220</v>
      </c>
      <c r="DS42" s="679">
        <f t="shared" si="32"/>
        <v>2211</v>
      </c>
      <c r="DT42" s="679">
        <f t="shared" si="33"/>
        <v>2221</v>
      </c>
      <c r="DU42" s="679">
        <f t="shared" si="34"/>
        <v>2221</v>
      </c>
      <c r="DV42" s="679">
        <f t="shared" si="35"/>
        <v>2221</v>
      </c>
      <c r="DW42" s="679">
        <f t="shared" si="36"/>
        <v>2221</v>
      </c>
      <c r="DX42" s="679">
        <f t="shared" si="37"/>
        <v>2221</v>
      </c>
      <c r="DY42" s="679">
        <f t="shared" si="38"/>
        <v>2221</v>
      </c>
      <c r="DZ42" s="679">
        <f t="shared" si="39"/>
        <v>2221</v>
      </c>
      <c r="EA42" s="679">
        <f t="shared" si="40"/>
        <v>2212</v>
      </c>
      <c r="EB42" s="679">
        <f t="shared" si="41"/>
        <v>2222</v>
      </c>
      <c r="EC42" s="679">
        <f t="shared" si="42"/>
        <v>2222</v>
      </c>
      <c r="ED42" s="679">
        <f t="shared" si="43"/>
        <v>2222</v>
      </c>
      <c r="EE42" s="679">
        <f t="shared" si="44"/>
        <v>2222</v>
      </c>
      <c r="EF42" s="679">
        <f t="shared" si="45"/>
        <v>2222</v>
      </c>
      <c r="EG42" s="679">
        <f t="shared" si="46"/>
        <v>2222</v>
      </c>
      <c r="EH42" s="679">
        <f t="shared" si="47"/>
        <v>2222</v>
      </c>
      <c r="EI42" s="679">
        <f t="shared" si="48"/>
        <v>2213</v>
      </c>
      <c r="EJ42" s="679">
        <f t="shared" si="49"/>
        <v>2223</v>
      </c>
      <c r="EK42" s="679">
        <f t="shared" si="50"/>
        <v>2223</v>
      </c>
      <c r="EL42" s="679">
        <f t="shared" si="51"/>
        <v>2223</v>
      </c>
      <c r="EM42" s="679">
        <f t="shared" si="52"/>
        <v>2223</v>
      </c>
      <c r="EN42" s="679">
        <f t="shared" si="53"/>
        <v>2223</v>
      </c>
      <c r="EO42" s="679">
        <f t="shared" si="54"/>
        <v>2223</v>
      </c>
      <c r="EP42" s="679">
        <f t="shared" si="55"/>
        <v>2223</v>
      </c>
      <c r="EQ42" s="679">
        <f t="shared" si="56"/>
        <v>2214</v>
      </c>
      <c r="ER42" s="679">
        <f t="shared" si="57"/>
        <v>2224</v>
      </c>
      <c r="ES42" s="679">
        <f t="shared" si="58"/>
        <v>2224</v>
      </c>
      <c r="ET42" s="679">
        <f t="shared" si="59"/>
        <v>2224</v>
      </c>
      <c r="EU42" s="679">
        <f t="shared" si="60"/>
        <v>2224</v>
      </c>
      <c r="EV42" s="679">
        <f t="shared" si="61"/>
        <v>2224</v>
      </c>
      <c r="EW42" s="679">
        <f t="shared" si="62"/>
        <v>2224</v>
      </c>
      <c r="EX42" s="679">
        <f t="shared" si="63"/>
        <v>2224</v>
      </c>
      <c r="EY42" s="679">
        <f t="shared" si="64"/>
        <v>2230</v>
      </c>
    </row>
    <row r="43" spans="2:155" ht="12.75" customHeight="1" x14ac:dyDescent="0.2">
      <c r="B43" s="700" t="str">
        <f>IF(COUNTIF($CK$10:CK43,TRUE)&gt;0,"",INDEX(C_InstallationDescription!$E$226:$E$242,ROWS($A$11:A43)))</f>
        <v/>
      </c>
      <c r="C43" s="581" t="str">
        <f>IF($E43="","",INDEX(C_InstallationDescription!F:F,MATCH($B43,C_InstallationDescription!$E:$E,0)))</f>
        <v/>
      </c>
      <c r="D43" s="581" t="str">
        <f>IF($E43="","",INDEX(C_InstallationDescription!I:I,MATCH($B43,C_InstallationDescription!$E:$E,0)))</f>
        <v/>
      </c>
      <c r="E43" s="581" t="str">
        <f>IF($B43="","",INDEX(C_InstallationDescription!F:F,MATCH($CJ43,C_InstallationDescription!$Q:$Q,0)))</f>
        <v/>
      </c>
      <c r="F43" s="706" t="str">
        <f>IF($E43="","",INDEX(C_InstallationDescription!L:L,MATCH($CJ43,C_InstallationDescription!$Q:$Q,0)))</f>
        <v/>
      </c>
      <c r="G43" s="581" t="str">
        <f>IF($E43="","",INDEX(C_InstallationDescription!M:M,MATCH($CJ43,C_InstallationDescription!$Q:$Q,0)))</f>
        <v/>
      </c>
      <c r="H43" s="581" t="str">
        <f>IF($E43="","",INDEX(C_InstallationDescription!N:N,MATCH($CJ43,C_InstallationDescription!$Q:$Q,0)))</f>
        <v/>
      </c>
      <c r="I43" s="703" t="str">
        <f>IF($E43="","",IF(INDEX(E_SourceStreams!$A:$N,CN43,I$7)="","",INDEX(E_SourceStreams!$A:$N,CN43,I$7)))</f>
        <v/>
      </c>
      <c r="J43" s="703" t="str">
        <f>IF($E43="","",IF(INDEX(E_SourceStreams!$A:$N,CO43,J$7)="","",INDEX(E_SourceStreams!$A:$N,CO43,J$7)))</f>
        <v/>
      </c>
      <c r="K43" s="703" t="str">
        <f>IF($E43="","",IF(INDEX(E_SourceStreams!$A:$N,CP43,K$7)="","",INDEX(E_SourceStreams!$A:$N,CP43,K$7)))</f>
        <v/>
      </c>
      <c r="L43" s="703" t="str">
        <f>IF($E43="","",IF(INDEX(E_SourceStreams!$A:$N,CQ43,L$7)="","",INDEX(E_SourceStreams!$A:$N,CQ43,L$7)))</f>
        <v/>
      </c>
      <c r="M43" s="703" t="str">
        <f>IF($E43="","",IF(INDEX(E_SourceStreams!$A:$N,CR43,M$7)="","",INDEX(E_SourceStreams!$A:$N,CR43,M$7)))</f>
        <v/>
      </c>
      <c r="N43" s="703" t="str">
        <f>IF($E43="","",IF(INDEX(E_SourceStreams!$A:$N,CS43,N$7)="","",INDEX(E_SourceStreams!$A:$N,CS43,N$7)))</f>
        <v/>
      </c>
      <c r="O43" s="703" t="str">
        <f>IF($E43="","",IF(INDEX(E_SourceStreams!$A:$N,CT43,O$7)="","",INDEX(E_SourceStreams!$A:$N,CT43,O$7)))</f>
        <v/>
      </c>
      <c r="P43" s="703" t="str">
        <f>IF($E43="","",IF(INDEX(E_SourceStreams!$A:$N,CU43,P$7)="","",INDEX(E_SourceStreams!$A:$N,CU43,P$7)))</f>
        <v/>
      </c>
      <c r="Q43" s="703" t="str">
        <f>IF($E43="","",IF(INDEX(E_SourceStreams!$A:$N,CV43,Q$7)="","",INDEX(E_SourceStreams!$A:$N,CV43,Q$7)))</f>
        <v/>
      </c>
      <c r="R43" s="703" t="str">
        <f>IF($E43="","",IF(INDEX(E_SourceStreams!$A:$N,CW43,R$7)="","",INDEX(E_SourceStreams!$A:$N,CW43,R$7)))</f>
        <v/>
      </c>
      <c r="S43" s="703" t="str">
        <f>IF($E43="","",IF(INDEX(E_SourceStreams!$A:$N,CX43,S$7)="","",INDEX(E_SourceStreams!$A:$N,CX43,S$7)))</f>
        <v/>
      </c>
      <c r="T43" s="703" t="str">
        <f>IF($E43="","",IF(INDEX(E_SourceStreams!$A:$N,CY43,T$7)="","",INDEX(E_SourceStreams!$A:$N,CY43,T$7)))</f>
        <v/>
      </c>
      <c r="U43" s="703" t="str">
        <f>IF($E43="","",IF(INDEX(E_SourceStreams!$A:$N,CZ43,U$7)="","",INDEX(E_SourceStreams!$A:$N,CZ43,U$7)))</f>
        <v/>
      </c>
      <c r="V43" s="703" t="str">
        <f>IF($E43="","",IF(INDEX(E_SourceStreams!$A:$N,DA43,V$7)="","",INDEX(E_SourceStreams!$A:$N,DA43,V$7)))</f>
        <v/>
      </c>
      <c r="W43" s="704" t="str">
        <f>IF($E43="","",IF(INDEX(E_SourceStreams!$A:$N,DB43,W$7)="","",INDEX(E_SourceStreams!$A:$N,DB43,W$7)))</f>
        <v/>
      </c>
      <c r="X43" s="703" t="str">
        <f>IF($E43="","",IF(INDEX(E_SourceStreams!$A:$N,DC43,X$7)="","",INDEX(E_SourceStreams!$A:$N,DC43,X$7)))</f>
        <v/>
      </c>
      <c r="Y43" s="703" t="str">
        <f>IF($E43="","",IF(INDEX(E_SourceStreams!$A:$N,DD43,Y$7)="","",INDEX(E_SourceStreams!$A:$N,DD43,Y$7)))</f>
        <v/>
      </c>
      <c r="Z43" s="703" t="str">
        <f>IF($E43="","",IF(INDEX(E_SourceStreams!$A:$N,DE43,Z$7)="","",INDEX(E_SourceStreams!$A:$N,DE43,Z$7)))</f>
        <v/>
      </c>
      <c r="AA43" s="703" t="str">
        <f>IF($E43="","",IF(INDEX(E_SourceStreams!$A:$N,DF43,AA$7)="","",INDEX(E_SourceStreams!$A:$N,DF43,AA$7)))</f>
        <v/>
      </c>
      <c r="AB43" s="703" t="str">
        <f>IF($E43="","",IF(INDEX(E_SourceStreams!$A:$N,DG43,AB$7)="","",INDEX(E_SourceStreams!$A:$N,DG43,AB$7)))</f>
        <v/>
      </c>
      <c r="AC43" s="703" t="str">
        <f>IF($E43="","",IF(INDEX(E_SourceStreams!$A:$N,DH43,AC$7)="","",INDEX(E_SourceStreams!$A:$N,DH43,AC$7)))</f>
        <v/>
      </c>
      <c r="AD43" s="703" t="str">
        <f>IF($E43="","",IF(INDEX(E_SourceStreams!$A:$N,DI43,AD$7)="","",INDEX(E_SourceStreams!$A:$N,DI43,AD$7)))</f>
        <v/>
      </c>
      <c r="AE43" s="703" t="str">
        <f>IF($E43="","",IF(INDEX(E_SourceStreams!$A:$N,DJ43,AE$7)="","",INDEX(E_SourceStreams!$A:$N,DJ43,AE$7)))</f>
        <v/>
      </c>
      <c r="AF43" s="703" t="str">
        <f>IF($E43="","",IF(INDEX(E_SourceStreams!$A:$N,DK43,AF$7)="","",INDEX(E_SourceStreams!$A:$N,DK43,AF$7)))</f>
        <v/>
      </c>
      <c r="AG43" s="703" t="str">
        <f>IF($E43="","",IF(INDEX(E_SourceStreams!$A:$N,DL43,AG$7)="","",INDEX(E_SourceStreams!$A:$N,DL43,AG$7)))</f>
        <v/>
      </c>
      <c r="AH43" s="703" t="str">
        <f>IF($E43="","",IF(INDEX(E_SourceStreams!$A:$N,DM43,AH$7)="","",INDEX(E_SourceStreams!$A:$N,DM43,AH$7)))</f>
        <v/>
      </c>
      <c r="AI43" s="703" t="str">
        <f>IF($E43="","",IF(INDEX(E_SourceStreams!$A:$N,DN43,AI$7)="","",INDEX(E_SourceStreams!$A:$N,DN43,AI$7)))</f>
        <v/>
      </c>
      <c r="AJ43" s="703" t="str">
        <f>IF($E43="","",IF(INDEX(E_SourceStreams!$A:$N,DO43,AJ$7)="","",INDEX(E_SourceStreams!$A:$N,DO43,AJ$7)))</f>
        <v/>
      </c>
      <c r="AK43" s="703" t="str">
        <f>IF($E43="","",IF(INDEX(E_SourceStreams!$A:$N,DP43,AK$7)="","",INDEX(E_SourceStreams!$A:$N,DP43,AK$7)))</f>
        <v/>
      </c>
      <c r="AL43" s="703" t="str">
        <f>IF($E43="","",IF(INDEX(E_SourceStreams!$A:$N,DQ43,AL$7)="","",INDEX(E_SourceStreams!$A:$N,DQ43,AL$7)))</f>
        <v/>
      </c>
      <c r="AM43" s="703" t="str">
        <f>IF($E43="","",IF(INDEX(E_SourceStreams!$A:$N,DR43,AM$7)="","",INDEX(E_SourceStreams!$A:$N,DR43,AM$7)))</f>
        <v/>
      </c>
      <c r="AN43" s="703" t="str">
        <f>IF($E43="","",IF(INDEX(E_SourceStreams!$A:$N,DS43,AN$7)="","",INDEX(E_SourceStreams!$A:$N,DS43,AN$7)))</f>
        <v/>
      </c>
      <c r="AO43" s="703" t="str">
        <f>IF($E43="","",IF(INDEX(E_SourceStreams!$A:$N,DT43,AO$7)="","",INDEX(E_SourceStreams!$A:$N,DT43,AO$7)))</f>
        <v/>
      </c>
      <c r="AP43" s="703" t="str">
        <f>IF($E43="","",IF(INDEX(E_SourceStreams!$A:$N,DU43,AP$7)="","",INDEX(E_SourceStreams!$A:$N,DU43,AP$7)))</f>
        <v/>
      </c>
      <c r="AQ43" s="703" t="str">
        <f>IF($E43="","",IF(INDEX(E_SourceStreams!$A:$N,DV43,AQ$7)="","",INDEX(E_SourceStreams!$A:$N,DV43,AQ$7)))</f>
        <v/>
      </c>
      <c r="AR43" s="703" t="str">
        <f>IF($E43="","",IF(INDEX(E_SourceStreams!$A:$N,DW43,AR$7)="","",INDEX(E_SourceStreams!$A:$N,DW43,AR$7)))</f>
        <v/>
      </c>
      <c r="AS43" s="703" t="str">
        <f>IF($E43="","",IF(INDEX(E_SourceStreams!$A:$N,DX43,AS$7)="","",INDEX(E_SourceStreams!$A:$N,DX43,AS$7)))</f>
        <v/>
      </c>
      <c r="AT43" s="703" t="str">
        <f>IF($E43="","",IF(INDEX(E_SourceStreams!$A:$N,DY43,AT$7)="","",INDEX(E_SourceStreams!$A:$N,DY43,AT$7)))</f>
        <v/>
      </c>
      <c r="AU43" s="703" t="str">
        <f>IF($E43="","",IF(INDEX(E_SourceStreams!$A:$N,DZ43,AU$7)="","",INDEX(E_SourceStreams!$A:$N,DZ43,AU$7)))</f>
        <v/>
      </c>
      <c r="AV43" s="703" t="str">
        <f>IF($E43="","",IF(INDEX(E_SourceStreams!$A:$N,EA43,AV$7)="","",INDEX(E_SourceStreams!$A:$N,EA43,AV$7)))</f>
        <v/>
      </c>
      <c r="AW43" s="703" t="str">
        <f>IF($E43="","",IF(INDEX(E_SourceStreams!$A:$N,EB43,AW$7)="","",INDEX(E_SourceStreams!$A:$N,EB43,AW$7)))</f>
        <v/>
      </c>
      <c r="AX43" s="703" t="str">
        <f>IF($E43="","",IF(INDEX(E_SourceStreams!$A:$N,EC43,AX$7)="","",INDEX(E_SourceStreams!$A:$N,EC43,AX$7)))</f>
        <v/>
      </c>
      <c r="AY43" s="703" t="str">
        <f>IF($E43="","",IF(INDEX(E_SourceStreams!$A:$N,ED43,AY$7)="","",INDEX(E_SourceStreams!$A:$N,ED43,AY$7)))</f>
        <v/>
      </c>
      <c r="AZ43" s="703" t="str">
        <f>IF($E43="","",IF(INDEX(E_SourceStreams!$A:$N,EE43,AZ$7)="","",INDEX(E_SourceStreams!$A:$N,EE43,AZ$7)))</f>
        <v/>
      </c>
      <c r="BA43" s="703" t="str">
        <f>IF($E43="","",IF(INDEX(E_SourceStreams!$A:$N,EF43,BA$7)="","",INDEX(E_SourceStreams!$A:$N,EF43,BA$7)))</f>
        <v/>
      </c>
      <c r="BB43" s="703" t="str">
        <f>IF($E43="","",IF(INDEX(E_SourceStreams!$A:$N,EG43,BB$7)="","",INDEX(E_SourceStreams!$A:$N,EG43,BB$7)))</f>
        <v/>
      </c>
      <c r="BC43" s="703" t="str">
        <f>IF($E43="","",IF(INDEX(E_SourceStreams!$A:$N,EH43,BC$7)="","",INDEX(E_SourceStreams!$A:$N,EH43,BC$7)))</f>
        <v/>
      </c>
      <c r="BD43" s="703" t="str">
        <f>IF($E43="","",IF(INDEX(E_SourceStreams!$A:$N,EI43,BD$7)="","",INDEX(E_SourceStreams!$A:$N,EI43,BD$7)))</f>
        <v/>
      </c>
      <c r="BE43" s="703" t="str">
        <f>IF($E43="","",IF(INDEX(E_SourceStreams!$A:$N,EJ43,BE$7)="","",INDEX(E_SourceStreams!$A:$N,EJ43,BE$7)))</f>
        <v/>
      </c>
      <c r="BF43" s="703" t="str">
        <f>IF($E43="","",IF(INDEX(E_SourceStreams!$A:$N,EK43,BF$7)="","",INDEX(E_SourceStreams!$A:$N,EK43,BF$7)))</f>
        <v/>
      </c>
      <c r="BG43" s="703" t="str">
        <f>IF($E43="","",IF(INDEX(E_SourceStreams!$A:$N,EL43,BG$7)="","",INDEX(E_SourceStreams!$A:$N,EL43,BG$7)))</f>
        <v/>
      </c>
      <c r="BH43" s="703" t="str">
        <f>IF($E43="","",IF(INDEX(E_SourceStreams!$A:$N,EM43,BH$7)="","",INDEX(E_SourceStreams!$A:$N,EM43,BH$7)))</f>
        <v/>
      </c>
      <c r="BI43" s="703" t="str">
        <f>IF($E43="","",IF(INDEX(E_SourceStreams!$A:$N,EN43,BI$7)="","",INDEX(E_SourceStreams!$A:$N,EN43,BI$7)))</f>
        <v/>
      </c>
      <c r="BJ43" s="703" t="str">
        <f>IF($E43="","",IF(INDEX(E_SourceStreams!$A:$N,EO43,BJ$7)="","",INDEX(E_SourceStreams!$A:$N,EO43,BJ$7)))</f>
        <v/>
      </c>
      <c r="BK43" s="703" t="str">
        <f>IF($E43="","",IF(INDEX(E_SourceStreams!$A:$N,EP43,BK$7)="","",INDEX(E_SourceStreams!$A:$N,EP43,BK$7)))</f>
        <v/>
      </c>
      <c r="BL43" s="703" t="str">
        <f>IF($E43="","",IF(INDEX(E_SourceStreams!$A:$N,EQ43,BL$7)="","",INDEX(E_SourceStreams!$A:$N,EQ43,BL$7)))</f>
        <v/>
      </c>
      <c r="BM43" s="703" t="str">
        <f>IF($E43="","",IF(INDEX(E_SourceStreams!$A:$N,ER43,BM$7)="","",INDEX(E_SourceStreams!$A:$N,ER43,BM$7)))</f>
        <v/>
      </c>
      <c r="BN43" s="703" t="str">
        <f>IF($E43="","",IF(INDEX(E_SourceStreams!$A:$N,ES43,BN$7)="","",INDEX(E_SourceStreams!$A:$N,ES43,BN$7)))</f>
        <v/>
      </c>
      <c r="BO43" s="703" t="str">
        <f>IF($E43="","",IF(INDEX(E_SourceStreams!$A:$N,ET43,BO$7)="","",INDEX(E_SourceStreams!$A:$N,ET43,BO$7)))</f>
        <v/>
      </c>
      <c r="BP43" s="703" t="str">
        <f>IF($E43="","",IF(INDEX(E_SourceStreams!$A:$N,EU43,BP$7)="","",INDEX(E_SourceStreams!$A:$N,EU43,BP$7)))</f>
        <v/>
      </c>
      <c r="BQ43" s="703" t="str">
        <f>IF($E43="","",IF(INDEX(E_SourceStreams!$A:$N,EV43,BQ$7)="","",INDEX(E_SourceStreams!$A:$N,EV43,BQ$7)))</f>
        <v/>
      </c>
      <c r="BR43" s="703" t="str">
        <f>IF($E43="","",IF(INDEX(E_SourceStreams!$A:$N,EW43,BR$7)="","",INDEX(E_SourceStreams!$A:$N,EW43,BR$7)))</f>
        <v/>
      </c>
      <c r="BS43" s="703" t="str">
        <f>IF($E43="","",IF(INDEX(E_SourceStreams!$A:$N,EX43,BS$7)="","",INDEX(E_SourceStreams!$A:$N,EX43,BS$7)))</f>
        <v/>
      </c>
      <c r="BT43" s="703" t="str">
        <f>IF($E43="","",IF(INDEX(E_SourceStreams!$A:$N,EY43,BT$7)="","",INDEX(E_SourceStreams!$A:$N,EY43,BT$7)))</f>
        <v/>
      </c>
      <c r="BU43" s="625"/>
      <c r="CJ43" s="679" t="str">
        <f t="shared" ref="CJ43:CJ74" si="66">EUconst_CNTR_SourceCategory&amp;B43</f>
        <v>SourceCategory_</v>
      </c>
      <c r="CK43" s="679" t="b">
        <f>INDEX(C_InstallationDescription!$A$226:$A$332,ROWS($CI$11:CI43))="ausblenden"</f>
        <v>0</v>
      </c>
      <c r="CL43" s="679" t="str">
        <f t="shared" ref="CL43:CL74" si="67">EUconst_CNTR_SourceStreamName&amp;B43</f>
        <v>SourceStreamName_</v>
      </c>
      <c r="CN43" s="679">
        <f t="shared" si="65"/>
        <v>2247</v>
      </c>
      <c r="CO43" s="679">
        <f t="shared" si="2"/>
        <v>2249</v>
      </c>
      <c r="CP43" s="679">
        <f t="shared" si="3"/>
        <v>2251</v>
      </c>
      <c r="CQ43" s="679">
        <f t="shared" si="4"/>
        <v>2253</v>
      </c>
      <c r="CR43" s="679">
        <f t="shared" si="5"/>
        <v>2255</v>
      </c>
      <c r="CS43" s="679">
        <f t="shared" si="6"/>
        <v>2257</v>
      </c>
      <c r="CT43" s="679">
        <f t="shared" si="7"/>
        <v>2259</v>
      </c>
      <c r="CU43" s="679">
        <f t="shared" si="8"/>
        <v>2259</v>
      </c>
      <c r="CV43" s="679">
        <f t="shared" si="9"/>
        <v>2259</v>
      </c>
      <c r="CW43" s="679">
        <f t="shared" si="10"/>
        <v>2259</v>
      </c>
      <c r="CX43" s="679">
        <f t="shared" si="11"/>
        <v>2259</v>
      </c>
      <c r="CY43" s="679">
        <f t="shared" si="12"/>
        <v>2262</v>
      </c>
      <c r="CZ43" s="679">
        <f t="shared" si="13"/>
        <v>2266</v>
      </c>
      <c r="DA43" s="679">
        <f t="shared" si="14"/>
        <v>2267</v>
      </c>
      <c r="DB43" s="679">
        <f t="shared" si="15"/>
        <v>2268</v>
      </c>
      <c r="DC43" s="679">
        <f t="shared" si="16"/>
        <v>2275</v>
      </c>
      <c r="DD43" s="679">
        <f t="shared" si="17"/>
        <v>2285</v>
      </c>
      <c r="DE43" s="679">
        <f t="shared" si="18"/>
        <v>2285</v>
      </c>
      <c r="DF43" s="679">
        <f t="shared" si="19"/>
        <v>2285</v>
      </c>
      <c r="DG43" s="679">
        <f t="shared" si="20"/>
        <v>2285</v>
      </c>
      <c r="DH43" s="679">
        <f t="shared" si="21"/>
        <v>2285</v>
      </c>
      <c r="DI43" s="679">
        <f t="shared" si="22"/>
        <v>2285</v>
      </c>
      <c r="DJ43" s="679">
        <f t="shared" si="23"/>
        <v>2285</v>
      </c>
      <c r="DK43" s="679">
        <f t="shared" si="24"/>
        <v>2276</v>
      </c>
      <c r="DL43" s="679">
        <f t="shared" si="25"/>
        <v>2286</v>
      </c>
      <c r="DM43" s="679">
        <f t="shared" si="26"/>
        <v>2286</v>
      </c>
      <c r="DN43" s="679">
        <f t="shared" si="27"/>
        <v>2286</v>
      </c>
      <c r="DO43" s="679">
        <f t="shared" si="28"/>
        <v>2286</v>
      </c>
      <c r="DP43" s="679">
        <f t="shared" si="29"/>
        <v>2286</v>
      </c>
      <c r="DQ43" s="679">
        <f t="shared" si="30"/>
        <v>2286</v>
      </c>
      <c r="DR43" s="679">
        <f t="shared" si="31"/>
        <v>2286</v>
      </c>
      <c r="DS43" s="679">
        <f t="shared" si="32"/>
        <v>2277</v>
      </c>
      <c r="DT43" s="679">
        <f t="shared" si="33"/>
        <v>2287</v>
      </c>
      <c r="DU43" s="679">
        <f t="shared" si="34"/>
        <v>2287</v>
      </c>
      <c r="DV43" s="679">
        <f t="shared" si="35"/>
        <v>2287</v>
      </c>
      <c r="DW43" s="679">
        <f t="shared" si="36"/>
        <v>2287</v>
      </c>
      <c r="DX43" s="679">
        <f t="shared" si="37"/>
        <v>2287</v>
      </c>
      <c r="DY43" s="679">
        <f t="shared" si="38"/>
        <v>2287</v>
      </c>
      <c r="DZ43" s="679">
        <f t="shared" si="39"/>
        <v>2287</v>
      </c>
      <c r="EA43" s="679">
        <f t="shared" si="40"/>
        <v>2278</v>
      </c>
      <c r="EB43" s="679">
        <f t="shared" si="41"/>
        <v>2288</v>
      </c>
      <c r="EC43" s="679">
        <f t="shared" si="42"/>
        <v>2288</v>
      </c>
      <c r="ED43" s="679">
        <f t="shared" si="43"/>
        <v>2288</v>
      </c>
      <c r="EE43" s="679">
        <f t="shared" si="44"/>
        <v>2288</v>
      </c>
      <c r="EF43" s="679">
        <f t="shared" si="45"/>
        <v>2288</v>
      </c>
      <c r="EG43" s="679">
        <f t="shared" si="46"/>
        <v>2288</v>
      </c>
      <c r="EH43" s="679">
        <f t="shared" si="47"/>
        <v>2288</v>
      </c>
      <c r="EI43" s="679">
        <f t="shared" si="48"/>
        <v>2279</v>
      </c>
      <c r="EJ43" s="679">
        <f t="shared" si="49"/>
        <v>2289</v>
      </c>
      <c r="EK43" s="679">
        <f t="shared" si="50"/>
        <v>2289</v>
      </c>
      <c r="EL43" s="679">
        <f t="shared" si="51"/>
        <v>2289</v>
      </c>
      <c r="EM43" s="679">
        <f t="shared" si="52"/>
        <v>2289</v>
      </c>
      <c r="EN43" s="679">
        <f t="shared" si="53"/>
        <v>2289</v>
      </c>
      <c r="EO43" s="679">
        <f t="shared" si="54"/>
        <v>2289</v>
      </c>
      <c r="EP43" s="679">
        <f t="shared" si="55"/>
        <v>2289</v>
      </c>
      <c r="EQ43" s="679">
        <f t="shared" si="56"/>
        <v>2280</v>
      </c>
      <c r="ER43" s="679">
        <f t="shared" si="57"/>
        <v>2290</v>
      </c>
      <c r="ES43" s="679">
        <f t="shared" si="58"/>
        <v>2290</v>
      </c>
      <c r="ET43" s="679">
        <f t="shared" si="59"/>
        <v>2290</v>
      </c>
      <c r="EU43" s="679">
        <f t="shared" si="60"/>
        <v>2290</v>
      </c>
      <c r="EV43" s="679">
        <f t="shared" si="61"/>
        <v>2290</v>
      </c>
      <c r="EW43" s="679">
        <f t="shared" si="62"/>
        <v>2290</v>
      </c>
      <c r="EX43" s="679">
        <f t="shared" si="63"/>
        <v>2290</v>
      </c>
      <c r="EY43" s="679">
        <f t="shared" si="64"/>
        <v>2296</v>
      </c>
    </row>
    <row r="44" spans="2:155" ht="12.75" customHeight="1" x14ac:dyDescent="0.2">
      <c r="B44" s="700" t="str">
        <f>IF(COUNTIF($CK$10:CK44,TRUE)&gt;0,"",INDEX(C_InstallationDescription!$E$226:$E$242,ROWS($A$11:A44)))</f>
        <v/>
      </c>
      <c r="C44" s="581" t="str">
        <f>IF($E44="","",INDEX(C_InstallationDescription!F:F,MATCH($B44,C_InstallationDescription!$E:$E,0)))</f>
        <v/>
      </c>
      <c r="D44" s="581" t="str">
        <f>IF($E44="","",INDEX(C_InstallationDescription!I:I,MATCH($B44,C_InstallationDescription!$E:$E,0)))</f>
        <v/>
      </c>
      <c r="E44" s="581" t="str">
        <f>IF($B44="","",INDEX(C_InstallationDescription!F:F,MATCH($CJ44,C_InstallationDescription!$Q:$Q,0)))</f>
        <v/>
      </c>
      <c r="F44" s="706" t="str">
        <f>IF($E44="","",INDEX(C_InstallationDescription!L:L,MATCH($CJ44,C_InstallationDescription!$Q:$Q,0)))</f>
        <v/>
      </c>
      <c r="G44" s="581" t="str">
        <f>IF($E44="","",INDEX(C_InstallationDescription!M:M,MATCH($CJ44,C_InstallationDescription!$Q:$Q,0)))</f>
        <v/>
      </c>
      <c r="H44" s="581" t="str">
        <f>IF($E44="","",INDEX(C_InstallationDescription!N:N,MATCH($CJ44,C_InstallationDescription!$Q:$Q,0)))</f>
        <v/>
      </c>
      <c r="I44" s="703" t="str">
        <f>IF($E44="","",IF(INDEX(E_SourceStreams!$A:$N,CN44,I$7)="","",INDEX(E_SourceStreams!$A:$N,CN44,I$7)))</f>
        <v/>
      </c>
      <c r="J44" s="703" t="str">
        <f>IF($E44="","",IF(INDEX(E_SourceStreams!$A:$N,CO44,J$7)="","",INDEX(E_SourceStreams!$A:$N,CO44,J$7)))</f>
        <v/>
      </c>
      <c r="K44" s="703" t="str">
        <f>IF($E44="","",IF(INDEX(E_SourceStreams!$A:$N,CP44,K$7)="","",INDEX(E_SourceStreams!$A:$N,CP44,K$7)))</f>
        <v/>
      </c>
      <c r="L44" s="703" t="str">
        <f>IF($E44="","",IF(INDEX(E_SourceStreams!$A:$N,CQ44,L$7)="","",INDEX(E_SourceStreams!$A:$N,CQ44,L$7)))</f>
        <v/>
      </c>
      <c r="M44" s="703" t="str">
        <f>IF($E44="","",IF(INDEX(E_SourceStreams!$A:$N,CR44,M$7)="","",INDEX(E_SourceStreams!$A:$N,CR44,M$7)))</f>
        <v/>
      </c>
      <c r="N44" s="703" t="str">
        <f>IF($E44="","",IF(INDEX(E_SourceStreams!$A:$N,CS44,N$7)="","",INDEX(E_SourceStreams!$A:$N,CS44,N$7)))</f>
        <v/>
      </c>
      <c r="O44" s="703" t="str">
        <f>IF($E44="","",IF(INDEX(E_SourceStreams!$A:$N,CT44,O$7)="","",INDEX(E_SourceStreams!$A:$N,CT44,O$7)))</f>
        <v/>
      </c>
      <c r="P44" s="703" t="str">
        <f>IF($E44="","",IF(INDEX(E_SourceStreams!$A:$N,CU44,P$7)="","",INDEX(E_SourceStreams!$A:$N,CU44,P$7)))</f>
        <v/>
      </c>
      <c r="Q44" s="703" t="str">
        <f>IF($E44="","",IF(INDEX(E_SourceStreams!$A:$N,CV44,Q$7)="","",INDEX(E_SourceStreams!$A:$N,CV44,Q$7)))</f>
        <v/>
      </c>
      <c r="R44" s="703" t="str">
        <f>IF($E44="","",IF(INDEX(E_SourceStreams!$A:$N,CW44,R$7)="","",INDEX(E_SourceStreams!$A:$N,CW44,R$7)))</f>
        <v/>
      </c>
      <c r="S44" s="703" t="str">
        <f>IF($E44="","",IF(INDEX(E_SourceStreams!$A:$N,CX44,S$7)="","",INDEX(E_SourceStreams!$A:$N,CX44,S$7)))</f>
        <v/>
      </c>
      <c r="T44" s="703" t="str">
        <f>IF($E44="","",IF(INDEX(E_SourceStreams!$A:$N,CY44,T$7)="","",INDEX(E_SourceStreams!$A:$N,CY44,T$7)))</f>
        <v/>
      </c>
      <c r="U44" s="703" t="str">
        <f>IF($E44="","",IF(INDEX(E_SourceStreams!$A:$N,CZ44,U$7)="","",INDEX(E_SourceStreams!$A:$N,CZ44,U$7)))</f>
        <v/>
      </c>
      <c r="V44" s="703" t="str">
        <f>IF($E44="","",IF(INDEX(E_SourceStreams!$A:$N,DA44,V$7)="","",INDEX(E_SourceStreams!$A:$N,DA44,V$7)))</f>
        <v/>
      </c>
      <c r="W44" s="704" t="str">
        <f>IF($E44="","",IF(INDEX(E_SourceStreams!$A:$N,DB44,W$7)="","",INDEX(E_SourceStreams!$A:$N,DB44,W$7)))</f>
        <v/>
      </c>
      <c r="X44" s="703" t="str">
        <f>IF($E44="","",IF(INDEX(E_SourceStreams!$A:$N,DC44,X$7)="","",INDEX(E_SourceStreams!$A:$N,DC44,X$7)))</f>
        <v/>
      </c>
      <c r="Y44" s="703" t="str">
        <f>IF($E44="","",IF(INDEX(E_SourceStreams!$A:$N,DD44,Y$7)="","",INDEX(E_SourceStreams!$A:$N,DD44,Y$7)))</f>
        <v/>
      </c>
      <c r="Z44" s="703" t="str">
        <f>IF($E44="","",IF(INDEX(E_SourceStreams!$A:$N,DE44,Z$7)="","",INDEX(E_SourceStreams!$A:$N,DE44,Z$7)))</f>
        <v/>
      </c>
      <c r="AA44" s="703" t="str">
        <f>IF($E44="","",IF(INDEX(E_SourceStreams!$A:$N,DF44,AA$7)="","",INDEX(E_SourceStreams!$A:$N,DF44,AA$7)))</f>
        <v/>
      </c>
      <c r="AB44" s="703" t="str">
        <f>IF($E44="","",IF(INDEX(E_SourceStreams!$A:$N,DG44,AB$7)="","",INDEX(E_SourceStreams!$A:$N,DG44,AB$7)))</f>
        <v/>
      </c>
      <c r="AC44" s="703" t="str">
        <f>IF($E44="","",IF(INDEX(E_SourceStreams!$A:$N,DH44,AC$7)="","",INDEX(E_SourceStreams!$A:$N,DH44,AC$7)))</f>
        <v/>
      </c>
      <c r="AD44" s="703" t="str">
        <f>IF($E44="","",IF(INDEX(E_SourceStreams!$A:$N,DI44,AD$7)="","",INDEX(E_SourceStreams!$A:$N,DI44,AD$7)))</f>
        <v/>
      </c>
      <c r="AE44" s="703" t="str">
        <f>IF($E44="","",IF(INDEX(E_SourceStreams!$A:$N,DJ44,AE$7)="","",INDEX(E_SourceStreams!$A:$N,DJ44,AE$7)))</f>
        <v/>
      </c>
      <c r="AF44" s="703" t="str">
        <f>IF($E44="","",IF(INDEX(E_SourceStreams!$A:$N,DK44,AF$7)="","",INDEX(E_SourceStreams!$A:$N,DK44,AF$7)))</f>
        <v/>
      </c>
      <c r="AG44" s="703" t="str">
        <f>IF($E44="","",IF(INDEX(E_SourceStreams!$A:$N,DL44,AG$7)="","",INDEX(E_SourceStreams!$A:$N,DL44,AG$7)))</f>
        <v/>
      </c>
      <c r="AH44" s="703" t="str">
        <f>IF($E44="","",IF(INDEX(E_SourceStreams!$A:$N,DM44,AH$7)="","",INDEX(E_SourceStreams!$A:$N,DM44,AH$7)))</f>
        <v/>
      </c>
      <c r="AI44" s="703" t="str">
        <f>IF($E44="","",IF(INDEX(E_SourceStreams!$A:$N,DN44,AI$7)="","",INDEX(E_SourceStreams!$A:$N,DN44,AI$7)))</f>
        <v/>
      </c>
      <c r="AJ44" s="703" t="str">
        <f>IF($E44="","",IF(INDEX(E_SourceStreams!$A:$N,DO44,AJ$7)="","",INDEX(E_SourceStreams!$A:$N,DO44,AJ$7)))</f>
        <v/>
      </c>
      <c r="AK44" s="703" t="str">
        <f>IF($E44="","",IF(INDEX(E_SourceStreams!$A:$N,DP44,AK$7)="","",INDEX(E_SourceStreams!$A:$N,DP44,AK$7)))</f>
        <v/>
      </c>
      <c r="AL44" s="703" t="str">
        <f>IF($E44="","",IF(INDEX(E_SourceStreams!$A:$N,DQ44,AL$7)="","",INDEX(E_SourceStreams!$A:$N,DQ44,AL$7)))</f>
        <v/>
      </c>
      <c r="AM44" s="703" t="str">
        <f>IF($E44="","",IF(INDEX(E_SourceStreams!$A:$N,DR44,AM$7)="","",INDEX(E_SourceStreams!$A:$N,DR44,AM$7)))</f>
        <v/>
      </c>
      <c r="AN44" s="703" t="str">
        <f>IF($E44="","",IF(INDEX(E_SourceStreams!$A:$N,DS44,AN$7)="","",INDEX(E_SourceStreams!$A:$N,DS44,AN$7)))</f>
        <v/>
      </c>
      <c r="AO44" s="703" t="str">
        <f>IF($E44="","",IF(INDEX(E_SourceStreams!$A:$N,DT44,AO$7)="","",INDEX(E_SourceStreams!$A:$N,DT44,AO$7)))</f>
        <v/>
      </c>
      <c r="AP44" s="703" t="str">
        <f>IF($E44="","",IF(INDEX(E_SourceStreams!$A:$N,DU44,AP$7)="","",INDEX(E_SourceStreams!$A:$N,DU44,AP$7)))</f>
        <v/>
      </c>
      <c r="AQ44" s="703" t="str">
        <f>IF($E44="","",IF(INDEX(E_SourceStreams!$A:$N,DV44,AQ$7)="","",INDEX(E_SourceStreams!$A:$N,DV44,AQ$7)))</f>
        <v/>
      </c>
      <c r="AR44" s="703" t="str">
        <f>IF($E44="","",IF(INDEX(E_SourceStreams!$A:$N,DW44,AR$7)="","",INDEX(E_SourceStreams!$A:$N,DW44,AR$7)))</f>
        <v/>
      </c>
      <c r="AS44" s="703" t="str">
        <f>IF($E44="","",IF(INDEX(E_SourceStreams!$A:$N,DX44,AS$7)="","",INDEX(E_SourceStreams!$A:$N,DX44,AS$7)))</f>
        <v/>
      </c>
      <c r="AT44" s="703" t="str">
        <f>IF($E44="","",IF(INDEX(E_SourceStreams!$A:$N,DY44,AT$7)="","",INDEX(E_SourceStreams!$A:$N,DY44,AT$7)))</f>
        <v/>
      </c>
      <c r="AU44" s="703" t="str">
        <f>IF($E44="","",IF(INDEX(E_SourceStreams!$A:$N,DZ44,AU$7)="","",INDEX(E_SourceStreams!$A:$N,DZ44,AU$7)))</f>
        <v/>
      </c>
      <c r="AV44" s="703" t="str">
        <f>IF($E44="","",IF(INDEX(E_SourceStreams!$A:$N,EA44,AV$7)="","",INDEX(E_SourceStreams!$A:$N,EA44,AV$7)))</f>
        <v/>
      </c>
      <c r="AW44" s="703" t="str">
        <f>IF($E44="","",IF(INDEX(E_SourceStreams!$A:$N,EB44,AW$7)="","",INDEX(E_SourceStreams!$A:$N,EB44,AW$7)))</f>
        <v/>
      </c>
      <c r="AX44" s="703" t="str">
        <f>IF($E44="","",IF(INDEX(E_SourceStreams!$A:$N,EC44,AX$7)="","",INDEX(E_SourceStreams!$A:$N,EC44,AX$7)))</f>
        <v/>
      </c>
      <c r="AY44" s="703" t="str">
        <f>IF($E44="","",IF(INDEX(E_SourceStreams!$A:$N,ED44,AY$7)="","",INDEX(E_SourceStreams!$A:$N,ED44,AY$7)))</f>
        <v/>
      </c>
      <c r="AZ44" s="703" t="str">
        <f>IF($E44="","",IF(INDEX(E_SourceStreams!$A:$N,EE44,AZ$7)="","",INDEX(E_SourceStreams!$A:$N,EE44,AZ$7)))</f>
        <v/>
      </c>
      <c r="BA44" s="703" t="str">
        <f>IF($E44="","",IF(INDEX(E_SourceStreams!$A:$N,EF44,BA$7)="","",INDEX(E_SourceStreams!$A:$N,EF44,BA$7)))</f>
        <v/>
      </c>
      <c r="BB44" s="703" t="str">
        <f>IF($E44="","",IF(INDEX(E_SourceStreams!$A:$N,EG44,BB$7)="","",INDEX(E_SourceStreams!$A:$N,EG44,BB$7)))</f>
        <v/>
      </c>
      <c r="BC44" s="703" t="str">
        <f>IF($E44="","",IF(INDEX(E_SourceStreams!$A:$N,EH44,BC$7)="","",INDEX(E_SourceStreams!$A:$N,EH44,BC$7)))</f>
        <v/>
      </c>
      <c r="BD44" s="703" t="str">
        <f>IF($E44="","",IF(INDEX(E_SourceStreams!$A:$N,EI44,BD$7)="","",INDEX(E_SourceStreams!$A:$N,EI44,BD$7)))</f>
        <v/>
      </c>
      <c r="BE44" s="703" t="str">
        <f>IF($E44="","",IF(INDEX(E_SourceStreams!$A:$N,EJ44,BE$7)="","",INDEX(E_SourceStreams!$A:$N,EJ44,BE$7)))</f>
        <v/>
      </c>
      <c r="BF44" s="703" t="str">
        <f>IF($E44="","",IF(INDEX(E_SourceStreams!$A:$N,EK44,BF$7)="","",INDEX(E_SourceStreams!$A:$N,EK44,BF$7)))</f>
        <v/>
      </c>
      <c r="BG44" s="703" t="str">
        <f>IF($E44="","",IF(INDEX(E_SourceStreams!$A:$N,EL44,BG$7)="","",INDEX(E_SourceStreams!$A:$N,EL44,BG$7)))</f>
        <v/>
      </c>
      <c r="BH44" s="703" t="str">
        <f>IF($E44="","",IF(INDEX(E_SourceStreams!$A:$N,EM44,BH$7)="","",INDEX(E_SourceStreams!$A:$N,EM44,BH$7)))</f>
        <v/>
      </c>
      <c r="BI44" s="703" t="str">
        <f>IF($E44="","",IF(INDEX(E_SourceStreams!$A:$N,EN44,BI$7)="","",INDEX(E_SourceStreams!$A:$N,EN44,BI$7)))</f>
        <v/>
      </c>
      <c r="BJ44" s="703" t="str">
        <f>IF($E44="","",IF(INDEX(E_SourceStreams!$A:$N,EO44,BJ$7)="","",INDEX(E_SourceStreams!$A:$N,EO44,BJ$7)))</f>
        <v/>
      </c>
      <c r="BK44" s="703" t="str">
        <f>IF($E44="","",IF(INDEX(E_SourceStreams!$A:$N,EP44,BK$7)="","",INDEX(E_SourceStreams!$A:$N,EP44,BK$7)))</f>
        <v/>
      </c>
      <c r="BL44" s="703" t="str">
        <f>IF($E44="","",IF(INDEX(E_SourceStreams!$A:$N,EQ44,BL$7)="","",INDEX(E_SourceStreams!$A:$N,EQ44,BL$7)))</f>
        <v/>
      </c>
      <c r="BM44" s="703" t="str">
        <f>IF($E44="","",IF(INDEX(E_SourceStreams!$A:$N,ER44,BM$7)="","",INDEX(E_SourceStreams!$A:$N,ER44,BM$7)))</f>
        <v/>
      </c>
      <c r="BN44" s="703" t="str">
        <f>IF($E44="","",IF(INDEX(E_SourceStreams!$A:$N,ES44,BN$7)="","",INDEX(E_SourceStreams!$A:$N,ES44,BN$7)))</f>
        <v/>
      </c>
      <c r="BO44" s="703" t="str">
        <f>IF($E44="","",IF(INDEX(E_SourceStreams!$A:$N,ET44,BO$7)="","",INDEX(E_SourceStreams!$A:$N,ET44,BO$7)))</f>
        <v/>
      </c>
      <c r="BP44" s="703" t="str">
        <f>IF($E44="","",IF(INDEX(E_SourceStreams!$A:$N,EU44,BP$7)="","",INDEX(E_SourceStreams!$A:$N,EU44,BP$7)))</f>
        <v/>
      </c>
      <c r="BQ44" s="703" t="str">
        <f>IF($E44="","",IF(INDEX(E_SourceStreams!$A:$N,EV44,BQ$7)="","",INDEX(E_SourceStreams!$A:$N,EV44,BQ$7)))</f>
        <v/>
      </c>
      <c r="BR44" s="703" t="str">
        <f>IF($E44="","",IF(INDEX(E_SourceStreams!$A:$N,EW44,BR$7)="","",INDEX(E_SourceStreams!$A:$N,EW44,BR$7)))</f>
        <v/>
      </c>
      <c r="BS44" s="703" t="str">
        <f>IF($E44="","",IF(INDEX(E_SourceStreams!$A:$N,EX44,BS$7)="","",INDEX(E_SourceStreams!$A:$N,EX44,BS$7)))</f>
        <v/>
      </c>
      <c r="BT44" s="703" t="str">
        <f>IF($E44="","",IF(INDEX(E_SourceStreams!$A:$N,EY44,BT$7)="","",INDEX(E_SourceStreams!$A:$N,EY44,BT$7)))</f>
        <v/>
      </c>
      <c r="BU44" s="625"/>
      <c r="CJ44" s="679" t="str">
        <f t="shared" si="66"/>
        <v>SourceCategory_</v>
      </c>
      <c r="CK44" s="679" t="b">
        <f>INDEX(C_InstallationDescription!$A$226:$A$332,ROWS($CI$11:CI44))="ausblenden"</f>
        <v>0</v>
      </c>
      <c r="CL44" s="679" t="str">
        <f t="shared" si="67"/>
        <v>SourceStreamName_</v>
      </c>
      <c r="CN44" s="679">
        <f t="shared" si="65"/>
        <v>2313</v>
      </c>
      <c r="CO44" s="679">
        <f t="shared" si="2"/>
        <v>2315</v>
      </c>
      <c r="CP44" s="679">
        <f t="shared" si="3"/>
        <v>2317</v>
      </c>
      <c r="CQ44" s="679">
        <f t="shared" si="4"/>
        <v>2319</v>
      </c>
      <c r="CR44" s="679">
        <f t="shared" si="5"/>
        <v>2321</v>
      </c>
      <c r="CS44" s="679">
        <f t="shared" si="6"/>
        <v>2323</v>
      </c>
      <c r="CT44" s="679">
        <f t="shared" si="7"/>
        <v>2325</v>
      </c>
      <c r="CU44" s="679">
        <f t="shared" si="8"/>
        <v>2325</v>
      </c>
      <c r="CV44" s="679">
        <f t="shared" si="9"/>
        <v>2325</v>
      </c>
      <c r="CW44" s="679">
        <f t="shared" si="10"/>
        <v>2325</v>
      </c>
      <c r="CX44" s="679">
        <f t="shared" si="11"/>
        <v>2325</v>
      </c>
      <c r="CY44" s="679">
        <f t="shared" si="12"/>
        <v>2328</v>
      </c>
      <c r="CZ44" s="679">
        <f t="shared" si="13"/>
        <v>2332</v>
      </c>
      <c r="DA44" s="679">
        <f t="shared" si="14"/>
        <v>2333</v>
      </c>
      <c r="DB44" s="679">
        <f t="shared" si="15"/>
        <v>2334</v>
      </c>
      <c r="DC44" s="679">
        <f t="shared" si="16"/>
        <v>2341</v>
      </c>
      <c r="DD44" s="679">
        <f t="shared" si="17"/>
        <v>2351</v>
      </c>
      <c r="DE44" s="679">
        <f t="shared" si="18"/>
        <v>2351</v>
      </c>
      <c r="DF44" s="679">
        <f t="shared" si="19"/>
        <v>2351</v>
      </c>
      <c r="DG44" s="679">
        <f t="shared" si="20"/>
        <v>2351</v>
      </c>
      <c r="DH44" s="679">
        <f t="shared" si="21"/>
        <v>2351</v>
      </c>
      <c r="DI44" s="679">
        <f t="shared" si="22"/>
        <v>2351</v>
      </c>
      <c r="DJ44" s="679">
        <f t="shared" si="23"/>
        <v>2351</v>
      </c>
      <c r="DK44" s="679">
        <f t="shared" si="24"/>
        <v>2342</v>
      </c>
      <c r="DL44" s="679">
        <f t="shared" si="25"/>
        <v>2352</v>
      </c>
      <c r="DM44" s="679">
        <f t="shared" si="26"/>
        <v>2352</v>
      </c>
      <c r="DN44" s="679">
        <f t="shared" si="27"/>
        <v>2352</v>
      </c>
      <c r="DO44" s="679">
        <f t="shared" si="28"/>
        <v>2352</v>
      </c>
      <c r="DP44" s="679">
        <f t="shared" si="29"/>
        <v>2352</v>
      </c>
      <c r="DQ44" s="679">
        <f t="shared" si="30"/>
        <v>2352</v>
      </c>
      <c r="DR44" s="679">
        <f t="shared" si="31"/>
        <v>2352</v>
      </c>
      <c r="DS44" s="679">
        <f t="shared" si="32"/>
        <v>2343</v>
      </c>
      <c r="DT44" s="679">
        <f t="shared" si="33"/>
        <v>2353</v>
      </c>
      <c r="DU44" s="679">
        <f t="shared" si="34"/>
        <v>2353</v>
      </c>
      <c r="DV44" s="679">
        <f t="shared" si="35"/>
        <v>2353</v>
      </c>
      <c r="DW44" s="679">
        <f t="shared" si="36"/>
        <v>2353</v>
      </c>
      <c r="DX44" s="679">
        <f t="shared" si="37"/>
        <v>2353</v>
      </c>
      <c r="DY44" s="679">
        <f t="shared" si="38"/>
        <v>2353</v>
      </c>
      <c r="DZ44" s="679">
        <f t="shared" si="39"/>
        <v>2353</v>
      </c>
      <c r="EA44" s="679">
        <f t="shared" si="40"/>
        <v>2344</v>
      </c>
      <c r="EB44" s="679">
        <f t="shared" si="41"/>
        <v>2354</v>
      </c>
      <c r="EC44" s="679">
        <f t="shared" si="42"/>
        <v>2354</v>
      </c>
      <c r="ED44" s="679">
        <f t="shared" si="43"/>
        <v>2354</v>
      </c>
      <c r="EE44" s="679">
        <f t="shared" si="44"/>
        <v>2354</v>
      </c>
      <c r="EF44" s="679">
        <f t="shared" si="45"/>
        <v>2354</v>
      </c>
      <c r="EG44" s="679">
        <f t="shared" si="46"/>
        <v>2354</v>
      </c>
      <c r="EH44" s="679">
        <f t="shared" si="47"/>
        <v>2354</v>
      </c>
      <c r="EI44" s="679">
        <f t="shared" si="48"/>
        <v>2345</v>
      </c>
      <c r="EJ44" s="679">
        <f t="shared" si="49"/>
        <v>2355</v>
      </c>
      <c r="EK44" s="679">
        <f t="shared" si="50"/>
        <v>2355</v>
      </c>
      <c r="EL44" s="679">
        <f t="shared" si="51"/>
        <v>2355</v>
      </c>
      <c r="EM44" s="679">
        <f t="shared" si="52"/>
        <v>2355</v>
      </c>
      <c r="EN44" s="679">
        <f t="shared" si="53"/>
        <v>2355</v>
      </c>
      <c r="EO44" s="679">
        <f t="shared" si="54"/>
        <v>2355</v>
      </c>
      <c r="EP44" s="679">
        <f t="shared" si="55"/>
        <v>2355</v>
      </c>
      <c r="EQ44" s="679">
        <f t="shared" si="56"/>
        <v>2346</v>
      </c>
      <c r="ER44" s="679">
        <f t="shared" si="57"/>
        <v>2356</v>
      </c>
      <c r="ES44" s="679">
        <f t="shared" si="58"/>
        <v>2356</v>
      </c>
      <c r="ET44" s="679">
        <f t="shared" si="59"/>
        <v>2356</v>
      </c>
      <c r="EU44" s="679">
        <f t="shared" si="60"/>
        <v>2356</v>
      </c>
      <c r="EV44" s="679">
        <f t="shared" si="61"/>
        <v>2356</v>
      </c>
      <c r="EW44" s="679">
        <f t="shared" si="62"/>
        <v>2356</v>
      </c>
      <c r="EX44" s="679">
        <f t="shared" si="63"/>
        <v>2356</v>
      </c>
      <c r="EY44" s="679">
        <f t="shared" si="64"/>
        <v>2362</v>
      </c>
    </row>
    <row r="45" spans="2:155" ht="12.75" customHeight="1" x14ac:dyDescent="0.2">
      <c r="B45" s="700" t="str">
        <f>IF(COUNTIF($CK$10:CK45,TRUE)&gt;0,"",INDEX(C_InstallationDescription!$E$226:$E$242,ROWS($A$11:A45)))</f>
        <v/>
      </c>
      <c r="C45" s="581" t="str">
        <f>IF($E45="","",INDEX(C_InstallationDescription!F:F,MATCH($B45,C_InstallationDescription!$E:$E,0)))</f>
        <v/>
      </c>
      <c r="D45" s="581" t="str">
        <f>IF($E45="","",INDEX(C_InstallationDescription!I:I,MATCH($B45,C_InstallationDescription!$E:$E,0)))</f>
        <v/>
      </c>
      <c r="E45" s="581" t="str">
        <f>IF($B45="","",INDEX(C_InstallationDescription!F:F,MATCH($CJ45,C_InstallationDescription!$Q:$Q,0)))</f>
        <v/>
      </c>
      <c r="F45" s="706" t="str">
        <f>IF($E45="","",INDEX(C_InstallationDescription!L:L,MATCH($CJ45,C_InstallationDescription!$Q:$Q,0)))</f>
        <v/>
      </c>
      <c r="G45" s="581" t="str">
        <f>IF($E45="","",INDEX(C_InstallationDescription!M:M,MATCH($CJ45,C_InstallationDescription!$Q:$Q,0)))</f>
        <v/>
      </c>
      <c r="H45" s="581" t="str">
        <f>IF($E45="","",INDEX(C_InstallationDescription!N:N,MATCH($CJ45,C_InstallationDescription!$Q:$Q,0)))</f>
        <v/>
      </c>
      <c r="I45" s="703" t="str">
        <f>IF($E45="","",IF(INDEX(E_SourceStreams!$A:$N,CN45,I$7)="","",INDEX(E_SourceStreams!$A:$N,CN45,I$7)))</f>
        <v/>
      </c>
      <c r="J45" s="703" t="str">
        <f>IF($E45="","",IF(INDEX(E_SourceStreams!$A:$N,CO45,J$7)="","",INDEX(E_SourceStreams!$A:$N,CO45,J$7)))</f>
        <v/>
      </c>
      <c r="K45" s="703" t="str">
        <f>IF($E45="","",IF(INDEX(E_SourceStreams!$A:$N,CP45,K$7)="","",INDEX(E_SourceStreams!$A:$N,CP45,K$7)))</f>
        <v/>
      </c>
      <c r="L45" s="703" t="str">
        <f>IF($E45="","",IF(INDEX(E_SourceStreams!$A:$N,CQ45,L$7)="","",INDEX(E_SourceStreams!$A:$N,CQ45,L$7)))</f>
        <v/>
      </c>
      <c r="M45" s="703" t="str">
        <f>IF($E45="","",IF(INDEX(E_SourceStreams!$A:$N,CR45,M$7)="","",INDEX(E_SourceStreams!$A:$N,CR45,M$7)))</f>
        <v/>
      </c>
      <c r="N45" s="703" t="str">
        <f>IF($E45="","",IF(INDEX(E_SourceStreams!$A:$N,CS45,N$7)="","",INDEX(E_SourceStreams!$A:$N,CS45,N$7)))</f>
        <v/>
      </c>
      <c r="O45" s="703" t="str">
        <f>IF($E45="","",IF(INDEX(E_SourceStreams!$A:$N,CT45,O$7)="","",INDEX(E_SourceStreams!$A:$N,CT45,O$7)))</f>
        <v/>
      </c>
      <c r="P45" s="703" t="str">
        <f>IF($E45="","",IF(INDEX(E_SourceStreams!$A:$N,CU45,P$7)="","",INDEX(E_SourceStreams!$A:$N,CU45,P$7)))</f>
        <v/>
      </c>
      <c r="Q45" s="703" t="str">
        <f>IF($E45="","",IF(INDEX(E_SourceStreams!$A:$N,CV45,Q$7)="","",INDEX(E_SourceStreams!$A:$N,CV45,Q$7)))</f>
        <v/>
      </c>
      <c r="R45" s="703" t="str">
        <f>IF($E45="","",IF(INDEX(E_SourceStreams!$A:$N,CW45,R$7)="","",INDEX(E_SourceStreams!$A:$N,CW45,R$7)))</f>
        <v/>
      </c>
      <c r="S45" s="703" t="str">
        <f>IF($E45="","",IF(INDEX(E_SourceStreams!$A:$N,CX45,S$7)="","",INDEX(E_SourceStreams!$A:$N,CX45,S$7)))</f>
        <v/>
      </c>
      <c r="T45" s="703" t="str">
        <f>IF($E45="","",IF(INDEX(E_SourceStreams!$A:$N,CY45,T$7)="","",INDEX(E_SourceStreams!$A:$N,CY45,T$7)))</f>
        <v/>
      </c>
      <c r="U45" s="703" t="str">
        <f>IF($E45="","",IF(INDEX(E_SourceStreams!$A:$N,CZ45,U$7)="","",INDEX(E_SourceStreams!$A:$N,CZ45,U$7)))</f>
        <v/>
      </c>
      <c r="V45" s="703" t="str">
        <f>IF($E45="","",IF(INDEX(E_SourceStreams!$A:$N,DA45,V$7)="","",INDEX(E_SourceStreams!$A:$N,DA45,V$7)))</f>
        <v/>
      </c>
      <c r="W45" s="704" t="str">
        <f>IF($E45="","",IF(INDEX(E_SourceStreams!$A:$N,DB45,W$7)="","",INDEX(E_SourceStreams!$A:$N,DB45,W$7)))</f>
        <v/>
      </c>
      <c r="X45" s="703" t="str">
        <f>IF($E45="","",IF(INDEX(E_SourceStreams!$A:$N,DC45,X$7)="","",INDEX(E_SourceStreams!$A:$N,DC45,X$7)))</f>
        <v/>
      </c>
      <c r="Y45" s="703" t="str">
        <f>IF($E45="","",IF(INDEX(E_SourceStreams!$A:$N,DD45,Y$7)="","",INDEX(E_SourceStreams!$A:$N,DD45,Y$7)))</f>
        <v/>
      </c>
      <c r="Z45" s="703" t="str">
        <f>IF($E45="","",IF(INDEX(E_SourceStreams!$A:$N,DE45,Z$7)="","",INDEX(E_SourceStreams!$A:$N,DE45,Z$7)))</f>
        <v/>
      </c>
      <c r="AA45" s="703" t="str">
        <f>IF($E45="","",IF(INDEX(E_SourceStreams!$A:$N,DF45,AA$7)="","",INDEX(E_SourceStreams!$A:$N,DF45,AA$7)))</f>
        <v/>
      </c>
      <c r="AB45" s="703" t="str">
        <f>IF($E45="","",IF(INDEX(E_SourceStreams!$A:$N,DG45,AB$7)="","",INDEX(E_SourceStreams!$A:$N,DG45,AB$7)))</f>
        <v/>
      </c>
      <c r="AC45" s="703" t="str">
        <f>IF($E45="","",IF(INDEX(E_SourceStreams!$A:$N,DH45,AC$7)="","",INDEX(E_SourceStreams!$A:$N,DH45,AC$7)))</f>
        <v/>
      </c>
      <c r="AD45" s="703" t="str">
        <f>IF($E45="","",IF(INDEX(E_SourceStreams!$A:$N,DI45,AD$7)="","",INDEX(E_SourceStreams!$A:$N,DI45,AD$7)))</f>
        <v/>
      </c>
      <c r="AE45" s="703" t="str">
        <f>IF($E45="","",IF(INDEX(E_SourceStreams!$A:$N,DJ45,AE$7)="","",INDEX(E_SourceStreams!$A:$N,DJ45,AE$7)))</f>
        <v/>
      </c>
      <c r="AF45" s="703" t="str">
        <f>IF($E45="","",IF(INDEX(E_SourceStreams!$A:$N,DK45,AF$7)="","",INDEX(E_SourceStreams!$A:$N,DK45,AF$7)))</f>
        <v/>
      </c>
      <c r="AG45" s="703" t="str">
        <f>IF($E45="","",IF(INDEX(E_SourceStreams!$A:$N,DL45,AG$7)="","",INDEX(E_SourceStreams!$A:$N,DL45,AG$7)))</f>
        <v/>
      </c>
      <c r="AH45" s="703" t="str">
        <f>IF($E45="","",IF(INDEX(E_SourceStreams!$A:$N,DM45,AH$7)="","",INDEX(E_SourceStreams!$A:$N,DM45,AH$7)))</f>
        <v/>
      </c>
      <c r="AI45" s="703" t="str">
        <f>IF($E45="","",IF(INDEX(E_SourceStreams!$A:$N,DN45,AI$7)="","",INDEX(E_SourceStreams!$A:$N,DN45,AI$7)))</f>
        <v/>
      </c>
      <c r="AJ45" s="703" t="str">
        <f>IF($E45="","",IF(INDEX(E_SourceStreams!$A:$N,DO45,AJ$7)="","",INDEX(E_SourceStreams!$A:$N,DO45,AJ$7)))</f>
        <v/>
      </c>
      <c r="AK45" s="703" t="str">
        <f>IF($E45="","",IF(INDEX(E_SourceStreams!$A:$N,DP45,AK$7)="","",INDEX(E_SourceStreams!$A:$N,DP45,AK$7)))</f>
        <v/>
      </c>
      <c r="AL45" s="703" t="str">
        <f>IF($E45="","",IF(INDEX(E_SourceStreams!$A:$N,DQ45,AL$7)="","",INDEX(E_SourceStreams!$A:$N,DQ45,AL$7)))</f>
        <v/>
      </c>
      <c r="AM45" s="703" t="str">
        <f>IF($E45="","",IF(INDEX(E_SourceStreams!$A:$N,DR45,AM$7)="","",INDEX(E_SourceStreams!$A:$N,DR45,AM$7)))</f>
        <v/>
      </c>
      <c r="AN45" s="703" t="str">
        <f>IF($E45="","",IF(INDEX(E_SourceStreams!$A:$N,DS45,AN$7)="","",INDEX(E_SourceStreams!$A:$N,DS45,AN$7)))</f>
        <v/>
      </c>
      <c r="AO45" s="703" t="str">
        <f>IF($E45="","",IF(INDEX(E_SourceStreams!$A:$N,DT45,AO$7)="","",INDEX(E_SourceStreams!$A:$N,DT45,AO$7)))</f>
        <v/>
      </c>
      <c r="AP45" s="703" t="str">
        <f>IF($E45="","",IF(INDEX(E_SourceStreams!$A:$N,DU45,AP$7)="","",INDEX(E_SourceStreams!$A:$N,DU45,AP$7)))</f>
        <v/>
      </c>
      <c r="AQ45" s="703" t="str">
        <f>IF($E45="","",IF(INDEX(E_SourceStreams!$A:$N,DV45,AQ$7)="","",INDEX(E_SourceStreams!$A:$N,DV45,AQ$7)))</f>
        <v/>
      </c>
      <c r="AR45" s="703" t="str">
        <f>IF($E45="","",IF(INDEX(E_SourceStreams!$A:$N,DW45,AR$7)="","",INDEX(E_SourceStreams!$A:$N,DW45,AR$7)))</f>
        <v/>
      </c>
      <c r="AS45" s="703" t="str">
        <f>IF($E45="","",IF(INDEX(E_SourceStreams!$A:$N,DX45,AS$7)="","",INDEX(E_SourceStreams!$A:$N,DX45,AS$7)))</f>
        <v/>
      </c>
      <c r="AT45" s="703" t="str">
        <f>IF($E45="","",IF(INDEX(E_SourceStreams!$A:$N,DY45,AT$7)="","",INDEX(E_SourceStreams!$A:$N,DY45,AT$7)))</f>
        <v/>
      </c>
      <c r="AU45" s="703" t="str">
        <f>IF($E45="","",IF(INDEX(E_SourceStreams!$A:$N,DZ45,AU$7)="","",INDEX(E_SourceStreams!$A:$N,DZ45,AU$7)))</f>
        <v/>
      </c>
      <c r="AV45" s="703" t="str">
        <f>IF($E45="","",IF(INDEX(E_SourceStreams!$A:$N,EA45,AV$7)="","",INDEX(E_SourceStreams!$A:$N,EA45,AV$7)))</f>
        <v/>
      </c>
      <c r="AW45" s="703" t="str">
        <f>IF($E45="","",IF(INDEX(E_SourceStreams!$A:$N,EB45,AW$7)="","",INDEX(E_SourceStreams!$A:$N,EB45,AW$7)))</f>
        <v/>
      </c>
      <c r="AX45" s="703" t="str">
        <f>IF($E45="","",IF(INDEX(E_SourceStreams!$A:$N,EC45,AX$7)="","",INDEX(E_SourceStreams!$A:$N,EC45,AX$7)))</f>
        <v/>
      </c>
      <c r="AY45" s="703" t="str">
        <f>IF($E45="","",IF(INDEX(E_SourceStreams!$A:$N,ED45,AY$7)="","",INDEX(E_SourceStreams!$A:$N,ED45,AY$7)))</f>
        <v/>
      </c>
      <c r="AZ45" s="703" t="str">
        <f>IF($E45="","",IF(INDEX(E_SourceStreams!$A:$N,EE45,AZ$7)="","",INDEX(E_SourceStreams!$A:$N,EE45,AZ$7)))</f>
        <v/>
      </c>
      <c r="BA45" s="703" t="str">
        <f>IF($E45="","",IF(INDEX(E_SourceStreams!$A:$N,EF45,BA$7)="","",INDEX(E_SourceStreams!$A:$N,EF45,BA$7)))</f>
        <v/>
      </c>
      <c r="BB45" s="703" t="str">
        <f>IF($E45="","",IF(INDEX(E_SourceStreams!$A:$N,EG45,BB$7)="","",INDEX(E_SourceStreams!$A:$N,EG45,BB$7)))</f>
        <v/>
      </c>
      <c r="BC45" s="703" t="str">
        <f>IF($E45="","",IF(INDEX(E_SourceStreams!$A:$N,EH45,BC$7)="","",INDEX(E_SourceStreams!$A:$N,EH45,BC$7)))</f>
        <v/>
      </c>
      <c r="BD45" s="703" t="str">
        <f>IF($E45="","",IF(INDEX(E_SourceStreams!$A:$N,EI45,BD$7)="","",INDEX(E_SourceStreams!$A:$N,EI45,BD$7)))</f>
        <v/>
      </c>
      <c r="BE45" s="703" t="str">
        <f>IF($E45="","",IF(INDEX(E_SourceStreams!$A:$N,EJ45,BE$7)="","",INDEX(E_SourceStreams!$A:$N,EJ45,BE$7)))</f>
        <v/>
      </c>
      <c r="BF45" s="703" t="str">
        <f>IF($E45="","",IF(INDEX(E_SourceStreams!$A:$N,EK45,BF$7)="","",INDEX(E_SourceStreams!$A:$N,EK45,BF$7)))</f>
        <v/>
      </c>
      <c r="BG45" s="703" t="str">
        <f>IF($E45="","",IF(INDEX(E_SourceStreams!$A:$N,EL45,BG$7)="","",INDEX(E_SourceStreams!$A:$N,EL45,BG$7)))</f>
        <v/>
      </c>
      <c r="BH45" s="703" t="str">
        <f>IF($E45="","",IF(INDEX(E_SourceStreams!$A:$N,EM45,BH$7)="","",INDEX(E_SourceStreams!$A:$N,EM45,BH$7)))</f>
        <v/>
      </c>
      <c r="BI45" s="703" t="str">
        <f>IF($E45="","",IF(INDEX(E_SourceStreams!$A:$N,EN45,BI$7)="","",INDEX(E_SourceStreams!$A:$N,EN45,BI$7)))</f>
        <v/>
      </c>
      <c r="BJ45" s="703" t="str">
        <f>IF($E45="","",IF(INDEX(E_SourceStreams!$A:$N,EO45,BJ$7)="","",INDEX(E_SourceStreams!$A:$N,EO45,BJ$7)))</f>
        <v/>
      </c>
      <c r="BK45" s="703" t="str">
        <f>IF($E45="","",IF(INDEX(E_SourceStreams!$A:$N,EP45,BK$7)="","",INDEX(E_SourceStreams!$A:$N,EP45,BK$7)))</f>
        <v/>
      </c>
      <c r="BL45" s="703" t="str">
        <f>IF($E45="","",IF(INDEX(E_SourceStreams!$A:$N,EQ45,BL$7)="","",INDEX(E_SourceStreams!$A:$N,EQ45,BL$7)))</f>
        <v/>
      </c>
      <c r="BM45" s="703" t="str">
        <f>IF($E45="","",IF(INDEX(E_SourceStreams!$A:$N,ER45,BM$7)="","",INDEX(E_SourceStreams!$A:$N,ER45,BM$7)))</f>
        <v/>
      </c>
      <c r="BN45" s="703" t="str">
        <f>IF($E45="","",IF(INDEX(E_SourceStreams!$A:$N,ES45,BN$7)="","",INDEX(E_SourceStreams!$A:$N,ES45,BN$7)))</f>
        <v/>
      </c>
      <c r="BO45" s="703" t="str">
        <f>IF($E45="","",IF(INDEX(E_SourceStreams!$A:$N,ET45,BO$7)="","",INDEX(E_SourceStreams!$A:$N,ET45,BO$7)))</f>
        <v/>
      </c>
      <c r="BP45" s="703" t="str">
        <f>IF($E45="","",IF(INDEX(E_SourceStreams!$A:$N,EU45,BP$7)="","",INDEX(E_SourceStreams!$A:$N,EU45,BP$7)))</f>
        <v/>
      </c>
      <c r="BQ45" s="703" t="str">
        <f>IF($E45="","",IF(INDEX(E_SourceStreams!$A:$N,EV45,BQ$7)="","",INDEX(E_SourceStreams!$A:$N,EV45,BQ$7)))</f>
        <v/>
      </c>
      <c r="BR45" s="703" t="str">
        <f>IF($E45="","",IF(INDEX(E_SourceStreams!$A:$N,EW45,BR$7)="","",INDEX(E_SourceStreams!$A:$N,EW45,BR$7)))</f>
        <v/>
      </c>
      <c r="BS45" s="703" t="str">
        <f>IF($E45="","",IF(INDEX(E_SourceStreams!$A:$N,EX45,BS$7)="","",INDEX(E_SourceStreams!$A:$N,EX45,BS$7)))</f>
        <v/>
      </c>
      <c r="BT45" s="703" t="str">
        <f>IF($E45="","",IF(INDEX(E_SourceStreams!$A:$N,EY45,BT$7)="","",INDEX(E_SourceStreams!$A:$N,EY45,BT$7)))</f>
        <v/>
      </c>
      <c r="BU45" s="625"/>
      <c r="CJ45" s="679" t="str">
        <f t="shared" si="66"/>
        <v>SourceCategory_</v>
      </c>
      <c r="CK45" s="679" t="b">
        <f>INDEX(C_InstallationDescription!$A$226:$A$332,ROWS($CI$11:CI45))="ausblenden"</f>
        <v>1</v>
      </c>
      <c r="CL45" s="679" t="str">
        <f t="shared" si="67"/>
        <v>SourceStreamName_</v>
      </c>
      <c r="CN45" s="679">
        <f t="shared" si="65"/>
        <v>2379</v>
      </c>
      <c r="CO45" s="679">
        <f t="shared" si="2"/>
        <v>2381</v>
      </c>
      <c r="CP45" s="679">
        <f t="shared" si="3"/>
        <v>2383</v>
      </c>
      <c r="CQ45" s="679">
        <f t="shared" si="4"/>
        <v>2385</v>
      </c>
      <c r="CR45" s="679">
        <f t="shared" si="5"/>
        <v>2387</v>
      </c>
      <c r="CS45" s="679">
        <f t="shared" si="6"/>
        <v>2389</v>
      </c>
      <c r="CT45" s="679">
        <f t="shared" si="7"/>
        <v>2391</v>
      </c>
      <c r="CU45" s="679">
        <f t="shared" si="8"/>
        <v>2391</v>
      </c>
      <c r="CV45" s="679">
        <f t="shared" si="9"/>
        <v>2391</v>
      </c>
      <c r="CW45" s="679">
        <f t="shared" si="10"/>
        <v>2391</v>
      </c>
      <c r="CX45" s="679">
        <f t="shared" si="11"/>
        <v>2391</v>
      </c>
      <c r="CY45" s="679">
        <f t="shared" si="12"/>
        <v>2394</v>
      </c>
      <c r="CZ45" s="679">
        <f t="shared" si="13"/>
        <v>2398</v>
      </c>
      <c r="DA45" s="679">
        <f t="shared" si="14"/>
        <v>2399</v>
      </c>
      <c r="DB45" s="679">
        <f t="shared" si="15"/>
        <v>2400</v>
      </c>
      <c r="DC45" s="679">
        <f t="shared" si="16"/>
        <v>2407</v>
      </c>
      <c r="DD45" s="679">
        <f t="shared" si="17"/>
        <v>2417</v>
      </c>
      <c r="DE45" s="679">
        <f t="shared" si="18"/>
        <v>2417</v>
      </c>
      <c r="DF45" s="679">
        <f t="shared" si="19"/>
        <v>2417</v>
      </c>
      <c r="DG45" s="679">
        <f t="shared" si="20"/>
        <v>2417</v>
      </c>
      <c r="DH45" s="679">
        <f t="shared" si="21"/>
        <v>2417</v>
      </c>
      <c r="DI45" s="679">
        <f t="shared" si="22"/>
        <v>2417</v>
      </c>
      <c r="DJ45" s="679">
        <f t="shared" si="23"/>
        <v>2417</v>
      </c>
      <c r="DK45" s="679">
        <f t="shared" si="24"/>
        <v>2408</v>
      </c>
      <c r="DL45" s="679">
        <f t="shared" si="25"/>
        <v>2418</v>
      </c>
      <c r="DM45" s="679">
        <f t="shared" si="26"/>
        <v>2418</v>
      </c>
      <c r="DN45" s="679">
        <f t="shared" si="27"/>
        <v>2418</v>
      </c>
      <c r="DO45" s="679">
        <f t="shared" si="28"/>
        <v>2418</v>
      </c>
      <c r="DP45" s="679">
        <f t="shared" si="29"/>
        <v>2418</v>
      </c>
      <c r="DQ45" s="679">
        <f t="shared" si="30"/>
        <v>2418</v>
      </c>
      <c r="DR45" s="679">
        <f t="shared" si="31"/>
        <v>2418</v>
      </c>
      <c r="DS45" s="679">
        <f t="shared" si="32"/>
        <v>2409</v>
      </c>
      <c r="DT45" s="679">
        <f t="shared" si="33"/>
        <v>2419</v>
      </c>
      <c r="DU45" s="679">
        <f t="shared" si="34"/>
        <v>2419</v>
      </c>
      <c r="DV45" s="679">
        <f t="shared" si="35"/>
        <v>2419</v>
      </c>
      <c r="DW45" s="679">
        <f t="shared" si="36"/>
        <v>2419</v>
      </c>
      <c r="DX45" s="679">
        <f t="shared" si="37"/>
        <v>2419</v>
      </c>
      <c r="DY45" s="679">
        <f t="shared" si="38"/>
        <v>2419</v>
      </c>
      <c r="DZ45" s="679">
        <f t="shared" si="39"/>
        <v>2419</v>
      </c>
      <c r="EA45" s="679">
        <f t="shared" si="40"/>
        <v>2410</v>
      </c>
      <c r="EB45" s="679">
        <f t="shared" si="41"/>
        <v>2420</v>
      </c>
      <c r="EC45" s="679">
        <f t="shared" si="42"/>
        <v>2420</v>
      </c>
      <c r="ED45" s="679">
        <f t="shared" si="43"/>
        <v>2420</v>
      </c>
      <c r="EE45" s="679">
        <f t="shared" si="44"/>
        <v>2420</v>
      </c>
      <c r="EF45" s="679">
        <f t="shared" si="45"/>
        <v>2420</v>
      </c>
      <c r="EG45" s="679">
        <f t="shared" si="46"/>
        <v>2420</v>
      </c>
      <c r="EH45" s="679">
        <f t="shared" si="47"/>
        <v>2420</v>
      </c>
      <c r="EI45" s="679">
        <f t="shared" si="48"/>
        <v>2411</v>
      </c>
      <c r="EJ45" s="679">
        <f t="shared" si="49"/>
        <v>2421</v>
      </c>
      <c r="EK45" s="679">
        <f t="shared" si="50"/>
        <v>2421</v>
      </c>
      <c r="EL45" s="679">
        <f t="shared" si="51"/>
        <v>2421</v>
      </c>
      <c r="EM45" s="679">
        <f t="shared" si="52"/>
        <v>2421</v>
      </c>
      <c r="EN45" s="679">
        <f t="shared" si="53"/>
        <v>2421</v>
      </c>
      <c r="EO45" s="679">
        <f t="shared" si="54"/>
        <v>2421</v>
      </c>
      <c r="EP45" s="679">
        <f t="shared" si="55"/>
        <v>2421</v>
      </c>
      <c r="EQ45" s="679">
        <f t="shared" si="56"/>
        <v>2412</v>
      </c>
      <c r="ER45" s="679">
        <f t="shared" si="57"/>
        <v>2422</v>
      </c>
      <c r="ES45" s="679">
        <f t="shared" si="58"/>
        <v>2422</v>
      </c>
      <c r="ET45" s="679">
        <f t="shared" si="59"/>
        <v>2422</v>
      </c>
      <c r="EU45" s="679">
        <f t="shared" si="60"/>
        <v>2422</v>
      </c>
      <c r="EV45" s="679">
        <f t="shared" si="61"/>
        <v>2422</v>
      </c>
      <c r="EW45" s="679">
        <f t="shared" si="62"/>
        <v>2422</v>
      </c>
      <c r="EX45" s="679">
        <f t="shared" si="63"/>
        <v>2422</v>
      </c>
      <c r="EY45" s="679">
        <f t="shared" si="64"/>
        <v>2428</v>
      </c>
    </row>
    <row r="46" spans="2:155" ht="12.75" customHeight="1" x14ac:dyDescent="0.2">
      <c r="B46" s="700" t="str">
        <f>IF(COUNTIF($CK$10:CK46,TRUE)&gt;0,"",INDEX(C_InstallationDescription!$E$226:$E$242,ROWS($A$11:A46)))</f>
        <v/>
      </c>
      <c r="C46" s="581" t="str">
        <f>IF($E46="","",INDEX(C_InstallationDescription!F:F,MATCH($B46,C_InstallationDescription!$E:$E,0)))</f>
        <v/>
      </c>
      <c r="D46" s="581" t="str">
        <f>IF($E46="","",INDEX(C_InstallationDescription!I:I,MATCH($B46,C_InstallationDescription!$E:$E,0)))</f>
        <v/>
      </c>
      <c r="E46" s="581" t="str">
        <f>IF($B46="","",INDEX(C_InstallationDescription!F:F,MATCH($CJ46,C_InstallationDescription!$Q:$Q,0)))</f>
        <v/>
      </c>
      <c r="F46" s="706" t="str">
        <f>IF($E46="","",INDEX(C_InstallationDescription!L:L,MATCH($CJ46,C_InstallationDescription!$Q:$Q,0)))</f>
        <v/>
      </c>
      <c r="G46" s="581" t="str">
        <f>IF($E46="","",INDEX(C_InstallationDescription!M:M,MATCH($CJ46,C_InstallationDescription!$Q:$Q,0)))</f>
        <v/>
      </c>
      <c r="H46" s="581" t="str">
        <f>IF($E46="","",INDEX(C_InstallationDescription!N:N,MATCH($CJ46,C_InstallationDescription!$Q:$Q,0)))</f>
        <v/>
      </c>
      <c r="I46" s="703" t="str">
        <f>IF($E46="","",IF(INDEX(E_SourceStreams!$A:$N,CN46,I$7)="","",INDEX(E_SourceStreams!$A:$N,CN46,I$7)))</f>
        <v/>
      </c>
      <c r="J46" s="703" t="str">
        <f>IF($E46="","",IF(INDEX(E_SourceStreams!$A:$N,CO46,J$7)="","",INDEX(E_SourceStreams!$A:$N,CO46,J$7)))</f>
        <v/>
      </c>
      <c r="K46" s="703" t="str">
        <f>IF($E46="","",IF(INDEX(E_SourceStreams!$A:$N,CP46,K$7)="","",INDEX(E_SourceStreams!$A:$N,CP46,K$7)))</f>
        <v/>
      </c>
      <c r="L46" s="703" t="str">
        <f>IF($E46="","",IF(INDEX(E_SourceStreams!$A:$N,CQ46,L$7)="","",INDEX(E_SourceStreams!$A:$N,CQ46,L$7)))</f>
        <v/>
      </c>
      <c r="M46" s="703" t="str">
        <f>IF($E46="","",IF(INDEX(E_SourceStreams!$A:$N,CR46,M$7)="","",INDEX(E_SourceStreams!$A:$N,CR46,M$7)))</f>
        <v/>
      </c>
      <c r="N46" s="703" t="str">
        <f>IF($E46="","",IF(INDEX(E_SourceStreams!$A:$N,CS46,N$7)="","",INDEX(E_SourceStreams!$A:$N,CS46,N$7)))</f>
        <v/>
      </c>
      <c r="O46" s="703" t="str">
        <f>IF($E46="","",IF(INDEX(E_SourceStreams!$A:$N,CT46,O$7)="","",INDEX(E_SourceStreams!$A:$N,CT46,O$7)))</f>
        <v/>
      </c>
      <c r="P46" s="703" t="str">
        <f>IF($E46="","",IF(INDEX(E_SourceStreams!$A:$N,CU46,P$7)="","",INDEX(E_SourceStreams!$A:$N,CU46,P$7)))</f>
        <v/>
      </c>
      <c r="Q46" s="703" t="str">
        <f>IF($E46="","",IF(INDEX(E_SourceStreams!$A:$N,CV46,Q$7)="","",INDEX(E_SourceStreams!$A:$N,CV46,Q$7)))</f>
        <v/>
      </c>
      <c r="R46" s="703" t="str">
        <f>IF($E46="","",IF(INDEX(E_SourceStreams!$A:$N,CW46,R$7)="","",INDEX(E_SourceStreams!$A:$N,CW46,R$7)))</f>
        <v/>
      </c>
      <c r="S46" s="703" t="str">
        <f>IF($E46="","",IF(INDEX(E_SourceStreams!$A:$N,CX46,S$7)="","",INDEX(E_SourceStreams!$A:$N,CX46,S$7)))</f>
        <v/>
      </c>
      <c r="T46" s="703" t="str">
        <f>IF($E46="","",IF(INDEX(E_SourceStreams!$A:$N,CY46,T$7)="","",INDEX(E_SourceStreams!$A:$N,CY46,T$7)))</f>
        <v/>
      </c>
      <c r="U46" s="703" t="str">
        <f>IF($E46="","",IF(INDEX(E_SourceStreams!$A:$N,CZ46,U$7)="","",INDEX(E_SourceStreams!$A:$N,CZ46,U$7)))</f>
        <v/>
      </c>
      <c r="V46" s="703" t="str">
        <f>IF($E46="","",IF(INDEX(E_SourceStreams!$A:$N,DA46,V$7)="","",INDEX(E_SourceStreams!$A:$N,DA46,V$7)))</f>
        <v/>
      </c>
      <c r="W46" s="704" t="str">
        <f>IF($E46="","",IF(INDEX(E_SourceStreams!$A:$N,DB46,W$7)="","",INDEX(E_SourceStreams!$A:$N,DB46,W$7)))</f>
        <v/>
      </c>
      <c r="X46" s="703" t="str">
        <f>IF($E46="","",IF(INDEX(E_SourceStreams!$A:$N,DC46,X$7)="","",INDEX(E_SourceStreams!$A:$N,DC46,X$7)))</f>
        <v/>
      </c>
      <c r="Y46" s="703" t="str">
        <f>IF($E46="","",IF(INDEX(E_SourceStreams!$A:$N,DD46,Y$7)="","",INDEX(E_SourceStreams!$A:$N,DD46,Y$7)))</f>
        <v/>
      </c>
      <c r="Z46" s="703" t="str">
        <f>IF($E46="","",IF(INDEX(E_SourceStreams!$A:$N,DE46,Z$7)="","",INDEX(E_SourceStreams!$A:$N,DE46,Z$7)))</f>
        <v/>
      </c>
      <c r="AA46" s="703" t="str">
        <f>IF($E46="","",IF(INDEX(E_SourceStreams!$A:$N,DF46,AA$7)="","",INDEX(E_SourceStreams!$A:$N,DF46,AA$7)))</f>
        <v/>
      </c>
      <c r="AB46" s="703" t="str">
        <f>IF($E46="","",IF(INDEX(E_SourceStreams!$A:$N,DG46,AB$7)="","",INDEX(E_SourceStreams!$A:$N,DG46,AB$7)))</f>
        <v/>
      </c>
      <c r="AC46" s="703" t="str">
        <f>IF($E46="","",IF(INDEX(E_SourceStreams!$A:$N,DH46,AC$7)="","",INDEX(E_SourceStreams!$A:$N,DH46,AC$7)))</f>
        <v/>
      </c>
      <c r="AD46" s="703" t="str">
        <f>IF($E46="","",IF(INDEX(E_SourceStreams!$A:$N,DI46,AD$7)="","",INDEX(E_SourceStreams!$A:$N,DI46,AD$7)))</f>
        <v/>
      </c>
      <c r="AE46" s="703" t="str">
        <f>IF($E46="","",IF(INDEX(E_SourceStreams!$A:$N,DJ46,AE$7)="","",INDEX(E_SourceStreams!$A:$N,DJ46,AE$7)))</f>
        <v/>
      </c>
      <c r="AF46" s="703" t="str">
        <f>IF($E46="","",IF(INDEX(E_SourceStreams!$A:$N,DK46,AF$7)="","",INDEX(E_SourceStreams!$A:$N,DK46,AF$7)))</f>
        <v/>
      </c>
      <c r="AG46" s="703" t="str">
        <f>IF($E46="","",IF(INDEX(E_SourceStreams!$A:$N,DL46,AG$7)="","",INDEX(E_SourceStreams!$A:$N,DL46,AG$7)))</f>
        <v/>
      </c>
      <c r="AH46" s="703" t="str">
        <f>IF($E46="","",IF(INDEX(E_SourceStreams!$A:$N,DM46,AH$7)="","",INDEX(E_SourceStreams!$A:$N,DM46,AH$7)))</f>
        <v/>
      </c>
      <c r="AI46" s="703" t="str">
        <f>IF($E46="","",IF(INDEX(E_SourceStreams!$A:$N,DN46,AI$7)="","",INDEX(E_SourceStreams!$A:$N,DN46,AI$7)))</f>
        <v/>
      </c>
      <c r="AJ46" s="703" t="str">
        <f>IF($E46="","",IF(INDEX(E_SourceStreams!$A:$N,DO46,AJ$7)="","",INDEX(E_SourceStreams!$A:$N,DO46,AJ$7)))</f>
        <v/>
      </c>
      <c r="AK46" s="703" t="str">
        <f>IF($E46="","",IF(INDEX(E_SourceStreams!$A:$N,DP46,AK$7)="","",INDEX(E_SourceStreams!$A:$N,DP46,AK$7)))</f>
        <v/>
      </c>
      <c r="AL46" s="703" t="str">
        <f>IF($E46="","",IF(INDEX(E_SourceStreams!$A:$N,DQ46,AL$7)="","",INDEX(E_SourceStreams!$A:$N,DQ46,AL$7)))</f>
        <v/>
      </c>
      <c r="AM46" s="703" t="str">
        <f>IF($E46="","",IF(INDEX(E_SourceStreams!$A:$N,DR46,AM$7)="","",INDEX(E_SourceStreams!$A:$N,DR46,AM$7)))</f>
        <v/>
      </c>
      <c r="AN46" s="703" t="str">
        <f>IF($E46="","",IF(INDEX(E_SourceStreams!$A:$N,DS46,AN$7)="","",INDEX(E_SourceStreams!$A:$N,DS46,AN$7)))</f>
        <v/>
      </c>
      <c r="AO46" s="703" t="str">
        <f>IF($E46="","",IF(INDEX(E_SourceStreams!$A:$N,DT46,AO$7)="","",INDEX(E_SourceStreams!$A:$N,DT46,AO$7)))</f>
        <v/>
      </c>
      <c r="AP46" s="703" t="str">
        <f>IF($E46="","",IF(INDEX(E_SourceStreams!$A:$N,DU46,AP$7)="","",INDEX(E_SourceStreams!$A:$N,DU46,AP$7)))</f>
        <v/>
      </c>
      <c r="AQ46" s="703" t="str">
        <f>IF($E46="","",IF(INDEX(E_SourceStreams!$A:$N,DV46,AQ$7)="","",INDEX(E_SourceStreams!$A:$N,DV46,AQ$7)))</f>
        <v/>
      </c>
      <c r="AR46" s="703" t="str">
        <f>IF($E46="","",IF(INDEX(E_SourceStreams!$A:$N,DW46,AR$7)="","",INDEX(E_SourceStreams!$A:$N,DW46,AR$7)))</f>
        <v/>
      </c>
      <c r="AS46" s="703" t="str">
        <f>IF($E46="","",IF(INDEX(E_SourceStreams!$A:$N,DX46,AS$7)="","",INDEX(E_SourceStreams!$A:$N,DX46,AS$7)))</f>
        <v/>
      </c>
      <c r="AT46" s="703" t="str">
        <f>IF($E46="","",IF(INDEX(E_SourceStreams!$A:$N,DY46,AT$7)="","",INDEX(E_SourceStreams!$A:$N,DY46,AT$7)))</f>
        <v/>
      </c>
      <c r="AU46" s="703" t="str">
        <f>IF($E46="","",IF(INDEX(E_SourceStreams!$A:$N,DZ46,AU$7)="","",INDEX(E_SourceStreams!$A:$N,DZ46,AU$7)))</f>
        <v/>
      </c>
      <c r="AV46" s="703" t="str">
        <f>IF($E46="","",IF(INDEX(E_SourceStreams!$A:$N,EA46,AV$7)="","",INDEX(E_SourceStreams!$A:$N,EA46,AV$7)))</f>
        <v/>
      </c>
      <c r="AW46" s="703" t="str">
        <f>IF($E46="","",IF(INDEX(E_SourceStreams!$A:$N,EB46,AW$7)="","",INDEX(E_SourceStreams!$A:$N,EB46,AW$7)))</f>
        <v/>
      </c>
      <c r="AX46" s="703" t="str">
        <f>IF($E46="","",IF(INDEX(E_SourceStreams!$A:$N,EC46,AX$7)="","",INDEX(E_SourceStreams!$A:$N,EC46,AX$7)))</f>
        <v/>
      </c>
      <c r="AY46" s="703" t="str">
        <f>IF($E46="","",IF(INDEX(E_SourceStreams!$A:$N,ED46,AY$7)="","",INDEX(E_SourceStreams!$A:$N,ED46,AY$7)))</f>
        <v/>
      </c>
      <c r="AZ46" s="703" t="str">
        <f>IF($E46="","",IF(INDEX(E_SourceStreams!$A:$N,EE46,AZ$7)="","",INDEX(E_SourceStreams!$A:$N,EE46,AZ$7)))</f>
        <v/>
      </c>
      <c r="BA46" s="703" t="str">
        <f>IF($E46="","",IF(INDEX(E_SourceStreams!$A:$N,EF46,BA$7)="","",INDEX(E_SourceStreams!$A:$N,EF46,BA$7)))</f>
        <v/>
      </c>
      <c r="BB46" s="703" t="str">
        <f>IF($E46="","",IF(INDEX(E_SourceStreams!$A:$N,EG46,BB$7)="","",INDEX(E_SourceStreams!$A:$N,EG46,BB$7)))</f>
        <v/>
      </c>
      <c r="BC46" s="703" t="str">
        <f>IF($E46="","",IF(INDEX(E_SourceStreams!$A:$N,EH46,BC$7)="","",INDEX(E_SourceStreams!$A:$N,EH46,BC$7)))</f>
        <v/>
      </c>
      <c r="BD46" s="703" t="str">
        <f>IF($E46="","",IF(INDEX(E_SourceStreams!$A:$N,EI46,BD$7)="","",INDEX(E_SourceStreams!$A:$N,EI46,BD$7)))</f>
        <v/>
      </c>
      <c r="BE46" s="703" t="str">
        <f>IF($E46="","",IF(INDEX(E_SourceStreams!$A:$N,EJ46,BE$7)="","",INDEX(E_SourceStreams!$A:$N,EJ46,BE$7)))</f>
        <v/>
      </c>
      <c r="BF46" s="703" t="str">
        <f>IF($E46="","",IF(INDEX(E_SourceStreams!$A:$N,EK46,BF$7)="","",INDEX(E_SourceStreams!$A:$N,EK46,BF$7)))</f>
        <v/>
      </c>
      <c r="BG46" s="703" t="str">
        <f>IF($E46="","",IF(INDEX(E_SourceStreams!$A:$N,EL46,BG$7)="","",INDEX(E_SourceStreams!$A:$N,EL46,BG$7)))</f>
        <v/>
      </c>
      <c r="BH46" s="703" t="str">
        <f>IF($E46="","",IF(INDEX(E_SourceStreams!$A:$N,EM46,BH$7)="","",INDEX(E_SourceStreams!$A:$N,EM46,BH$7)))</f>
        <v/>
      </c>
      <c r="BI46" s="703" t="str">
        <f>IF($E46="","",IF(INDEX(E_SourceStreams!$A:$N,EN46,BI$7)="","",INDEX(E_SourceStreams!$A:$N,EN46,BI$7)))</f>
        <v/>
      </c>
      <c r="BJ46" s="703" t="str">
        <f>IF($E46="","",IF(INDEX(E_SourceStreams!$A:$N,EO46,BJ$7)="","",INDEX(E_SourceStreams!$A:$N,EO46,BJ$7)))</f>
        <v/>
      </c>
      <c r="BK46" s="703" t="str">
        <f>IF($E46="","",IF(INDEX(E_SourceStreams!$A:$N,EP46,BK$7)="","",INDEX(E_SourceStreams!$A:$N,EP46,BK$7)))</f>
        <v/>
      </c>
      <c r="BL46" s="703" t="str">
        <f>IF($E46="","",IF(INDEX(E_SourceStreams!$A:$N,EQ46,BL$7)="","",INDEX(E_SourceStreams!$A:$N,EQ46,BL$7)))</f>
        <v/>
      </c>
      <c r="BM46" s="703" t="str">
        <f>IF($E46="","",IF(INDEX(E_SourceStreams!$A:$N,ER46,BM$7)="","",INDEX(E_SourceStreams!$A:$N,ER46,BM$7)))</f>
        <v/>
      </c>
      <c r="BN46" s="703" t="str">
        <f>IF($E46="","",IF(INDEX(E_SourceStreams!$A:$N,ES46,BN$7)="","",INDEX(E_SourceStreams!$A:$N,ES46,BN$7)))</f>
        <v/>
      </c>
      <c r="BO46" s="703" t="str">
        <f>IF($E46="","",IF(INDEX(E_SourceStreams!$A:$N,ET46,BO$7)="","",INDEX(E_SourceStreams!$A:$N,ET46,BO$7)))</f>
        <v/>
      </c>
      <c r="BP46" s="703" t="str">
        <f>IF($E46="","",IF(INDEX(E_SourceStreams!$A:$N,EU46,BP$7)="","",INDEX(E_SourceStreams!$A:$N,EU46,BP$7)))</f>
        <v/>
      </c>
      <c r="BQ46" s="703" t="str">
        <f>IF($E46="","",IF(INDEX(E_SourceStreams!$A:$N,EV46,BQ$7)="","",INDEX(E_SourceStreams!$A:$N,EV46,BQ$7)))</f>
        <v/>
      </c>
      <c r="BR46" s="703" t="str">
        <f>IF($E46="","",IF(INDEX(E_SourceStreams!$A:$N,EW46,BR$7)="","",INDEX(E_SourceStreams!$A:$N,EW46,BR$7)))</f>
        <v/>
      </c>
      <c r="BS46" s="703" t="str">
        <f>IF($E46="","",IF(INDEX(E_SourceStreams!$A:$N,EX46,BS$7)="","",INDEX(E_SourceStreams!$A:$N,EX46,BS$7)))</f>
        <v/>
      </c>
      <c r="BT46" s="703" t="str">
        <f>IF($E46="","",IF(INDEX(E_SourceStreams!$A:$N,EY46,BT$7)="","",INDEX(E_SourceStreams!$A:$N,EY46,BT$7)))</f>
        <v/>
      </c>
      <c r="BU46" s="625"/>
      <c r="CJ46" s="679" t="str">
        <f t="shared" si="66"/>
        <v>SourceCategory_</v>
      </c>
      <c r="CK46" s="679" t="b">
        <f>INDEX(C_InstallationDescription!$A$226:$A$332,ROWS($CI$11:CI46))="ausblenden"</f>
        <v>0</v>
      </c>
      <c r="CL46" s="679" t="str">
        <f t="shared" si="67"/>
        <v>SourceStreamName_</v>
      </c>
      <c r="CN46" s="679">
        <f t="shared" si="65"/>
        <v>2445</v>
      </c>
      <c r="CO46" s="679">
        <f t="shared" si="2"/>
        <v>2447</v>
      </c>
      <c r="CP46" s="679">
        <f t="shared" si="3"/>
        <v>2449</v>
      </c>
      <c r="CQ46" s="679">
        <f t="shared" si="4"/>
        <v>2451</v>
      </c>
      <c r="CR46" s="679">
        <f t="shared" si="5"/>
        <v>2453</v>
      </c>
      <c r="CS46" s="679">
        <f t="shared" si="6"/>
        <v>2455</v>
      </c>
      <c r="CT46" s="679">
        <f t="shared" si="7"/>
        <v>2457</v>
      </c>
      <c r="CU46" s="679">
        <f t="shared" si="8"/>
        <v>2457</v>
      </c>
      <c r="CV46" s="679">
        <f t="shared" si="9"/>
        <v>2457</v>
      </c>
      <c r="CW46" s="679">
        <f t="shared" si="10"/>
        <v>2457</v>
      </c>
      <c r="CX46" s="679">
        <f t="shared" si="11"/>
        <v>2457</v>
      </c>
      <c r="CY46" s="679">
        <f t="shared" si="12"/>
        <v>2460</v>
      </c>
      <c r="CZ46" s="679">
        <f t="shared" si="13"/>
        <v>2464</v>
      </c>
      <c r="DA46" s="679">
        <f t="shared" si="14"/>
        <v>2465</v>
      </c>
      <c r="DB46" s="679">
        <f t="shared" si="15"/>
        <v>2466</v>
      </c>
      <c r="DC46" s="679">
        <f t="shared" si="16"/>
        <v>2473</v>
      </c>
      <c r="DD46" s="679">
        <f t="shared" si="17"/>
        <v>2483</v>
      </c>
      <c r="DE46" s="679">
        <f t="shared" si="18"/>
        <v>2483</v>
      </c>
      <c r="DF46" s="679">
        <f t="shared" si="19"/>
        <v>2483</v>
      </c>
      <c r="DG46" s="679">
        <f t="shared" si="20"/>
        <v>2483</v>
      </c>
      <c r="DH46" s="679">
        <f t="shared" si="21"/>
        <v>2483</v>
      </c>
      <c r="DI46" s="679">
        <f t="shared" si="22"/>
        <v>2483</v>
      </c>
      <c r="DJ46" s="679">
        <f t="shared" si="23"/>
        <v>2483</v>
      </c>
      <c r="DK46" s="679">
        <f t="shared" si="24"/>
        <v>2474</v>
      </c>
      <c r="DL46" s="679">
        <f t="shared" si="25"/>
        <v>2484</v>
      </c>
      <c r="DM46" s="679">
        <f t="shared" si="26"/>
        <v>2484</v>
      </c>
      <c r="DN46" s="679">
        <f t="shared" si="27"/>
        <v>2484</v>
      </c>
      <c r="DO46" s="679">
        <f t="shared" si="28"/>
        <v>2484</v>
      </c>
      <c r="DP46" s="679">
        <f t="shared" si="29"/>
        <v>2484</v>
      </c>
      <c r="DQ46" s="679">
        <f t="shared" si="30"/>
        <v>2484</v>
      </c>
      <c r="DR46" s="679">
        <f t="shared" si="31"/>
        <v>2484</v>
      </c>
      <c r="DS46" s="679">
        <f t="shared" si="32"/>
        <v>2475</v>
      </c>
      <c r="DT46" s="679">
        <f t="shared" si="33"/>
        <v>2485</v>
      </c>
      <c r="DU46" s="679">
        <f t="shared" si="34"/>
        <v>2485</v>
      </c>
      <c r="DV46" s="679">
        <f t="shared" si="35"/>
        <v>2485</v>
      </c>
      <c r="DW46" s="679">
        <f t="shared" si="36"/>
        <v>2485</v>
      </c>
      <c r="DX46" s="679">
        <f t="shared" si="37"/>
        <v>2485</v>
      </c>
      <c r="DY46" s="679">
        <f t="shared" si="38"/>
        <v>2485</v>
      </c>
      <c r="DZ46" s="679">
        <f t="shared" si="39"/>
        <v>2485</v>
      </c>
      <c r="EA46" s="679">
        <f t="shared" si="40"/>
        <v>2476</v>
      </c>
      <c r="EB46" s="679">
        <f t="shared" si="41"/>
        <v>2486</v>
      </c>
      <c r="EC46" s="679">
        <f t="shared" si="42"/>
        <v>2486</v>
      </c>
      <c r="ED46" s="679">
        <f t="shared" si="43"/>
        <v>2486</v>
      </c>
      <c r="EE46" s="679">
        <f t="shared" si="44"/>
        <v>2486</v>
      </c>
      <c r="EF46" s="679">
        <f t="shared" si="45"/>
        <v>2486</v>
      </c>
      <c r="EG46" s="679">
        <f t="shared" si="46"/>
        <v>2486</v>
      </c>
      <c r="EH46" s="679">
        <f t="shared" si="47"/>
        <v>2486</v>
      </c>
      <c r="EI46" s="679">
        <f t="shared" si="48"/>
        <v>2477</v>
      </c>
      <c r="EJ46" s="679">
        <f t="shared" si="49"/>
        <v>2487</v>
      </c>
      <c r="EK46" s="679">
        <f t="shared" si="50"/>
        <v>2487</v>
      </c>
      <c r="EL46" s="679">
        <f t="shared" si="51"/>
        <v>2487</v>
      </c>
      <c r="EM46" s="679">
        <f t="shared" si="52"/>
        <v>2487</v>
      </c>
      <c r="EN46" s="679">
        <f t="shared" si="53"/>
        <v>2487</v>
      </c>
      <c r="EO46" s="679">
        <f t="shared" si="54"/>
        <v>2487</v>
      </c>
      <c r="EP46" s="679">
        <f t="shared" si="55"/>
        <v>2487</v>
      </c>
      <c r="EQ46" s="679">
        <f t="shared" si="56"/>
        <v>2478</v>
      </c>
      <c r="ER46" s="679">
        <f t="shared" si="57"/>
        <v>2488</v>
      </c>
      <c r="ES46" s="679">
        <f t="shared" si="58"/>
        <v>2488</v>
      </c>
      <c r="ET46" s="679">
        <f t="shared" si="59"/>
        <v>2488</v>
      </c>
      <c r="EU46" s="679">
        <f t="shared" si="60"/>
        <v>2488</v>
      </c>
      <c r="EV46" s="679">
        <f t="shared" si="61"/>
        <v>2488</v>
      </c>
      <c r="EW46" s="679">
        <f t="shared" si="62"/>
        <v>2488</v>
      </c>
      <c r="EX46" s="679">
        <f t="shared" si="63"/>
        <v>2488</v>
      </c>
      <c r="EY46" s="679">
        <f t="shared" si="64"/>
        <v>2494</v>
      </c>
    </row>
    <row r="47" spans="2:155" ht="12.75" customHeight="1" x14ac:dyDescent="0.2">
      <c r="B47" s="700" t="str">
        <f>IF(COUNTIF($CK$10:CK47,TRUE)&gt;0,"",INDEX(C_InstallationDescription!$E$226:$E$242,ROWS($A$11:A47)))</f>
        <v/>
      </c>
      <c r="C47" s="581" t="str">
        <f>IF($E47="","",INDEX(C_InstallationDescription!F:F,MATCH($B47,C_InstallationDescription!$E:$E,0)))</f>
        <v/>
      </c>
      <c r="D47" s="581" t="str">
        <f>IF($E47="","",INDEX(C_InstallationDescription!I:I,MATCH($B47,C_InstallationDescription!$E:$E,0)))</f>
        <v/>
      </c>
      <c r="E47" s="581" t="str">
        <f>IF($B47="","",INDEX(C_InstallationDescription!F:F,MATCH($CJ47,C_InstallationDescription!$Q:$Q,0)))</f>
        <v/>
      </c>
      <c r="F47" s="706" t="str">
        <f>IF($E47="","",INDEX(C_InstallationDescription!L:L,MATCH($CJ47,C_InstallationDescription!$Q:$Q,0)))</f>
        <v/>
      </c>
      <c r="G47" s="581" t="str">
        <f>IF($E47="","",INDEX(C_InstallationDescription!M:M,MATCH($CJ47,C_InstallationDescription!$Q:$Q,0)))</f>
        <v/>
      </c>
      <c r="H47" s="581" t="str">
        <f>IF($E47="","",INDEX(C_InstallationDescription!N:N,MATCH($CJ47,C_InstallationDescription!$Q:$Q,0)))</f>
        <v/>
      </c>
      <c r="I47" s="703" t="str">
        <f>IF($E47="","",IF(INDEX(E_SourceStreams!$A:$N,CN47,I$7)="","",INDEX(E_SourceStreams!$A:$N,CN47,I$7)))</f>
        <v/>
      </c>
      <c r="J47" s="703" t="str">
        <f>IF($E47="","",IF(INDEX(E_SourceStreams!$A:$N,CO47,J$7)="","",INDEX(E_SourceStreams!$A:$N,CO47,J$7)))</f>
        <v/>
      </c>
      <c r="K47" s="703" t="str">
        <f>IF($E47="","",IF(INDEX(E_SourceStreams!$A:$N,CP47,K$7)="","",INDEX(E_SourceStreams!$A:$N,CP47,K$7)))</f>
        <v/>
      </c>
      <c r="L47" s="703" t="str">
        <f>IF($E47="","",IF(INDEX(E_SourceStreams!$A:$N,CQ47,L$7)="","",INDEX(E_SourceStreams!$A:$N,CQ47,L$7)))</f>
        <v/>
      </c>
      <c r="M47" s="703" t="str">
        <f>IF($E47="","",IF(INDEX(E_SourceStreams!$A:$N,CR47,M$7)="","",INDEX(E_SourceStreams!$A:$N,CR47,M$7)))</f>
        <v/>
      </c>
      <c r="N47" s="703" t="str">
        <f>IF($E47="","",IF(INDEX(E_SourceStreams!$A:$N,CS47,N$7)="","",INDEX(E_SourceStreams!$A:$N,CS47,N$7)))</f>
        <v/>
      </c>
      <c r="O47" s="703" t="str">
        <f>IF($E47="","",IF(INDEX(E_SourceStreams!$A:$N,CT47,O$7)="","",INDEX(E_SourceStreams!$A:$N,CT47,O$7)))</f>
        <v/>
      </c>
      <c r="P47" s="703" t="str">
        <f>IF($E47="","",IF(INDEX(E_SourceStreams!$A:$N,CU47,P$7)="","",INDEX(E_SourceStreams!$A:$N,CU47,P$7)))</f>
        <v/>
      </c>
      <c r="Q47" s="703" t="str">
        <f>IF($E47="","",IF(INDEX(E_SourceStreams!$A:$N,CV47,Q$7)="","",INDEX(E_SourceStreams!$A:$N,CV47,Q$7)))</f>
        <v/>
      </c>
      <c r="R47" s="703" t="str">
        <f>IF($E47="","",IF(INDEX(E_SourceStreams!$A:$N,CW47,R$7)="","",INDEX(E_SourceStreams!$A:$N,CW47,R$7)))</f>
        <v/>
      </c>
      <c r="S47" s="703" t="str">
        <f>IF($E47="","",IF(INDEX(E_SourceStreams!$A:$N,CX47,S$7)="","",INDEX(E_SourceStreams!$A:$N,CX47,S$7)))</f>
        <v/>
      </c>
      <c r="T47" s="703" t="str">
        <f>IF($E47="","",IF(INDEX(E_SourceStreams!$A:$N,CY47,T$7)="","",INDEX(E_SourceStreams!$A:$N,CY47,T$7)))</f>
        <v/>
      </c>
      <c r="U47" s="703" t="str">
        <f>IF($E47="","",IF(INDEX(E_SourceStreams!$A:$N,CZ47,U$7)="","",INDEX(E_SourceStreams!$A:$N,CZ47,U$7)))</f>
        <v/>
      </c>
      <c r="V47" s="703" t="str">
        <f>IF($E47="","",IF(INDEX(E_SourceStreams!$A:$N,DA47,V$7)="","",INDEX(E_SourceStreams!$A:$N,DA47,V$7)))</f>
        <v/>
      </c>
      <c r="W47" s="704" t="str">
        <f>IF($E47="","",IF(INDEX(E_SourceStreams!$A:$N,DB47,W$7)="","",INDEX(E_SourceStreams!$A:$N,DB47,W$7)))</f>
        <v/>
      </c>
      <c r="X47" s="703" t="str">
        <f>IF($E47="","",IF(INDEX(E_SourceStreams!$A:$N,DC47,X$7)="","",INDEX(E_SourceStreams!$A:$N,DC47,X$7)))</f>
        <v/>
      </c>
      <c r="Y47" s="703" t="str">
        <f>IF($E47="","",IF(INDEX(E_SourceStreams!$A:$N,DD47,Y$7)="","",INDEX(E_SourceStreams!$A:$N,DD47,Y$7)))</f>
        <v/>
      </c>
      <c r="Z47" s="703" t="str">
        <f>IF($E47="","",IF(INDEX(E_SourceStreams!$A:$N,DE47,Z$7)="","",INDEX(E_SourceStreams!$A:$N,DE47,Z$7)))</f>
        <v/>
      </c>
      <c r="AA47" s="703" t="str">
        <f>IF($E47="","",IF(INDEX(E_SourceStreams!$A:$N,DF47,AA$7)="","",INDEX(E_SourceStreams!$A:$N,DF47,AA$7)))</f>
        <v/>
      </c>
      <c r="AB47" s="703" t="str">
        <f>IF($E47="","",IF(INDEX(E_SourceStreams!$A:$N,DG47,AB$7)="","",INDEX(E_SourceStreams!$A:$N,DG47,AB$7)))</f>
        <v/>
      </c>
      <c r="AC47" s="703" t="str">
        <f>IF($E47="","",IF(INDEX(E_SourceStreams!$A:$N,DH47,AC$7)="","",INDEX(E_SourceStreams!$A:$N,DH47,AC$7)))</f>
        <v/>
      </c>
      <c r="AD47" s="703" t="str">
        <f>IF($E47="","",IF(INDEX(E_SourceStreams!$A:$N,DI47,AD$7)="","",INDEX(E_SourceStreams!$A:$N,DI47,AD$7)))</f>
        <v/>
      </c>
      <c r="AE47" s="703" t="str">
        <f>IF($E47="","",IF(INDEX(E_SourceStreams!$A:$N,DJ47,AE$7)="","",INDEX(E_SourceStreams!$A:$N,DJ47,AE$7)))</f>
        <v/>
      </c>
      <c r="AF47" s="703" t="str">
        <f>IF($E47="","",IF(INDEX(E_SourceStreams!$A:$N,DK47,AF$7)="","",INDEX(E_SourceStreams!$A:$N,DK47,AF$7)))</f>
        <v/>
      </c>
      <c r="AG47" s="703" t="str">
        <f>IF($E47="","",IF(INDEX(E_SourceStreams!$A:$N,DL47,AG$7)="","",INDEX(E_SourceStreams!$A:$N,DL47,AG$7)))</f>
        <v/>
      </c>
      <c r="AH47" s="703" t="str">
        <f>IF($E47="","",IF(INDEX(E_SourceStreams!$A:$N,DM47,AH$7)="","",INDEX(E_SourceStreams!$A:$N,DM47,AH$7)))</f>
        <v/>
      </c>
      <c r="AI47" s="703" t="str">
        <f>IF($E47="","",IF(INDEX(E_SourceStreams!$A:$N,DN47,AI$7)="","",INDEX(E_SourceStreams!$A:$N,DN47,AI$7)))</f>
        <v/>
      </c>
      <c r="AJ47" s="703" t="str">
        <f>IF($E47="","",IF(INDEX(E_SourceStreams!$A:$N,DO47,AJ$7)="","",INDEX(E_SourceStreams!$A:$N,DO47,AJ$7)))</f>
        <v/>
      </c>
      <c r="AK47" s="703" t="str">
        <f>IF($E47="","",IF(INDEX(E_SourceStreams!$A:$N,DP47,AK$7)="","",INDEX(E_SourceStreams!$A:$N,DP47,AK$7)))</f>
        <v/>
      </c>
      <c r="AL47" s="703" t="str">
        <f>IF($E47="","",IF(INDEX(E_SourceStreams!$A:$N,DQ47,AL$7)="","",INDEX(E_SourceStreams!$A:$N,DQ47,AL$7)))</f>
        <v/>
      </c>
      <c r="AM47" s="703" t="str">
        <f>IF($E47="","",IF(INDEX(E_SourceStreams!$A:$N,DR47,AM$7)="","",INDEX(E_SourceStreams!$A:$N,DR47,AM$7)))</f>
        <v/>
      </c>
      <c r="AN47" s="703" t="str">
        <f>IF($E47="","",IF(INDEX(E_SourceStreams!$A:$N,DS47,AN$7)="","",INDEX(E_SourceStreams!$A:$N,DS47,AN$7)))</f>
        <v/>
      </c>
      <c r="AO47" s="703" t="str">
        <f>IF($E47="","",IF(INDEX(E_SourceStreams!$A:$N,DT47,AO$7)="","",INDEX(E_SourceStreams!$A:$N,DT47,AO$7)))</f>
        <v/>
      </c>
      <c r="AP47" s="703" t="str">
        <f>IF($E47="","",IF(INDEX(E_SourceStreams!$A:$N,DU47,AP$7)="","",INDEX(E_SourceStreams!$A:$N,DU47,AP$7)))</f>
        <v/>
      </c>
      <c r="AQ47" s="703" t="str">
        <f>IF($E47="","",IF(INDEX(E_SourceStreams!$A:$N,DV47,AQ$7)="","",INDEX(E_SourceStreams!$A:$N,DV47,AQ$7)))</f>
        <v/>
      </c>
      <c r="AR47" s="703" t="str">
        <f>IF($E47="","",IF(INDEX(E_SourceStreams!$A:$N,DW47,AR$7)="","",INDEX(E_SourceStreams!$A:$N,DW47,AR$7)))</f>
        <v/>
      </c>
      <c r="AS47" s="703" t="str">
        <f>IF($E47="","",IF(INDEX(E_SourceStreams!$A:$N,DX47,AS$7)="","",INDEX(E_SourceStreams!$A:$N,DX47,AS$7)))</f>
        <v/>
      </c>
      <c r="AT47" s="703" t="str">
        <f>IF($E47="","",IF(INDEX(E_SourceStreams!$A:$N,DY47,AT$7)="","",INDEX(E_SourceStreams!$A:$N,DY47,AT$7)))</f>
        <v/>
      </c>
      <c r="AU47" s="703" t="str">
        <f>IF($E47="","",IF(INDEX(E_SourceStreams!$A:$N,DZ47,AU$7)="","",INDEX(E_SourceStreams!$A:$N,DZ47,AU$7)))</f>
        <v/>
      </c>
      <c r="AV47" s="703" t="str">
        <f>IF($E47="","",IF(INDEX(E_SourceStreams!$A:$N,EA47,AV$7)="","",INDEX(E_SourceStreams!$A:$N,EA47,AV$7)))</f>
        <v/>
      </c>
      <c r="AW47" s="703" t="str">
        <f>IF($E47="","",IF(INDEX(E_SourceStreams!$A:$N,EB47,AW$7)="","",INDEX(E_SourceStreams!$A:$N,EB47,AW$7)))</f>
        <v/>
      </c>
      <c r="AX47" s="703" t="str">
        <f>IF($E47="","",IF(INDEX(E_SourceStreams!$A:$N,EC47,AX$7)="","",INDEX(E_SourceStreams!$A:$N,EC47,AX$7)))</f>
        <v/>
      </c>
      <c r="AY47" s="703" t="str">
        <f>IF($E47="","",IF(INDEX(E_SourceStreams!$A:$N,ED47,AY$7)="","",INDEX(E_SourceStreams!$A:$N,ED47,AY$7)))</f>
        <v/>
      </c>
      <c r="AZ47" s="703" t="str">
        <f>IF($E47="","",IF(INDEX(E_SourceStreams!$A:$N,EE47,AZ$7)="","",INDEX(E_SourceStreams!$A:$N,EE47,AZ$7)))</f>
        <v/>
      </c>
      <c r="BA47" s="703" t="str">
        <f>IF($E47="","",IF(INDEX(E_SourceStreams!$A:$N,EF47,BA$7)="","",INDEX(E_SourceStreams!$A:$N,EF47,BA$7)))</f>
        <v/>
      </c>
      <c r="BB47" s="703" t="str">
        <f>IF($E47="","",IF(INDEX(E_SourceStreams!$A:$N,EG47,BB$7)="","",INDEX(E_SourceStreams!$A:$N,EG47,BB$7)))</f>
        <v/>
      </c>
      <c r="BC47" s="703" t="str">
        <f>IF($E47="","",IF(INDEX(E_SourceStreams!$A:$N,EH47,BC$7)="","",INDEX(E_SourceStreams!$A:$N,EH47,BC$7)))</f>
        <v/>
      </c>
      <c r="BD47" s="703" t="str">
        <f>IF($E47="","",IF(INDEX(E_SourceStreams!$A:$N,EI47,BD$7)="","",INDEX(E_SourceStreams!$A:$N,EI47,BD$7)))</f>
        <v/>
      </c>
      <c r="BE47" s="703" t="str">
        <f>IF($E47="","",IF(INDEX(E_SourceStreams!$A:$N,EJ47,BE$7)="","",INDEX(E_SourceStreams!$A:$N,EJ47,BE$7)))</f>
        <v/>
      </c>
      <c r="BF47" s="703" t="str">
        <f>IF($E47="","",IF(INDEX(E_SourceStreams!$A:$N,EK47,BF$7)="","",INDEX(E_SourceStreams!$A:$N,EK47,BF$7)))</f>
        <v/>
      </c>
      <c r="BG47" s="703" t="str">
        <f>IF($E47="","",IF(INDEX(E_SourceStreams!$A:$N,EL47,BG$7)="","",INDEX(E_SourceStreams!$A:$N,EL47,BG$7)))</f>
        <v/>
      </c>
      <c r="BH47" s="703" t="str">
        <f>IF($E47="","",IF(INDEX(E_SourceStreams!$A:$N,EM47,BH$7)="","",INDEX(E_SourceStreams!$A:$N,EM47,BH$7)))</f>
        <v/>
      </c>
      <c r="BI47" s="703" t="str">
        <f>IF($E47="","",IF(INDEX(E_SourceStreams!$A:$N,EN47,BI$7)="","",INDEX(E_SourceStreams!$A:$N,EN47,BI$7)))</f>
        <v/>
      </c>
      <c r="BJ47" s="703" t="str">
        <f>IF($E47="","",IF(INDEX(E_SourceStreams!$A:$N,EO47,BJ$7)="","",INDEX(E_SourceStreams!$A:$N,EO47,BJ$7)))</f>
        <v/>
      </c>
      <c r="BK47" s="703" t="str">
        <f>IF($E47="","",IF(INDEX(E_SourceStreams!$A:$N,EP47,BK$7)="","",INDEX(E_SourceStreams!$A:$N,EP47,BK$7)))</f>
        <v/>
      </c>
      <c r="BL47" s="703" t="str">
        <f>IF($E47="","",IF(INDEX(E_SourceStreams!$A:$N,EQ47,BL$7)="","",INDEX(E_SourceStreams!$A:$N,EQ47,BL$7)))</f>
        <v/>
      </c>
      <c r="BM47" s="703" t="str">
        <f>IF($E47="","",IF(INDEX(E_SourceStreams!$A:$N,ER47,BM$7)="","",INDEX(E_SourceStreams!$A:$N,ER47,BM$7)))</f>
        <v/>
      </c>
      <c r="BN47" s="703" t="str">
        <f>IF($E47="","",IF(INDEX(E_SourceStreams!$A:$N,ES47,BN$7)="","",INDEX(E_SourceStreams!$A:$N,ES47,BN$7)))</f>
        <v/>
      </c>
      <c r="BO47" s="703" t="str">
        <f>IF($E47="","",IF(INDEX(E_SourceStreams!$A:$N,ET47,BO$7)="","",INDEX(E_SourceStreams!$A:$N,ET47,BO$7)))</f>
        <v/>
      </c>
      <c r="BP47" s="703" t="str">
        <f>IF($E47="","",IF(INDEX(E_SourceStreams!$A:$N,EU47,BP$7)="","",INDEX(E_SourceStreams!$A:$N,EU47,BP$7)))</f>
        <v/>
      </c>
      <c r="BQ47" s="703" t="str">
        <f>IF($E47="","",IF(INDEX(E_SourceStreams!$A:$N,EV47,BQ$7)="","",INDEX(E_SourceStreams!$A:$N,EV47,BQ$7)))</f>
        <v/>
      </c>
      <c r="BR47" s="703" t="str">
        <f>IF($E47="","",IF(INDEX(E_SourceStreams!$A:$N,EW47,BR$7)="","",INDEX(E_SourceStreams!$A:$N,EW47,BR$7)))</f>
        <v/>
      </c>
      <c r="BS47" s="703" t="str">
        <f>IF($E47="","",IF(INDEX(E_SourceStreams!$A:$N,EX47,BS$7)="","",INDEX(E_SourceStreams!$A:$N,EX47,BS$7)))</f>
        <v/>
      </c>
      <c r="BT47" s="703" t="str">
        <f>IF($E47="","",IF(INDEX(E_SourceStreams!$A:$N,EY47,BT$7)="","",INDEX(E_SourceStreams!$A:$N,EY47,BT$7)))</f>
        <v/>
      </c>
      <c r="BU47" s="625"/>
      <c r="CJ47" s="679" t="str">
        <f t="shared" si="66"/>
        <v>SourceCategory_</v>
      </c>
      <c r="CK47" s="679" t="b">
        <f>INDEX(C_InstallationDescription!$A$226:$A$332,ROWS($CI$11:CI47))="ausblenden"</f>
        <v>0</v>
      </c>
      <c r="CL47" s="679" t="str">
        <f t="shared" si="67"/>
        <v>SourceStreamName_</v>
      </c>
      <c r="CN47" s="679">
        <f t="shared" si="65"/>
        <v>2511</v>
      </c>
      <c r="CO47" s="679">
        <f t="shared" si="2"/>
        <v>2513</v>
      </c>
      <c r="CP47" s="679">
        <f t="shared" si="3"/>
        <v>2515</v>
      </c>
      <c r="CQ47" s="679">
        <f t="shared" si="4"/>
        <v>2517</v>
      </c>
      <c r="CR47" s="679">
        <f t="shared" si="5"/>
        <v>2519</v>
      </c>
      <c r="CS47" s="679">
        <f t="shared" si="6"/>
        <v>2521</v>
      </c>
      <c r="CT47" s="679">
        <f t="shared" si="7"/>
        <v>2523</v>
      </c>
      <c r="CU47" s="679">
        <f t="shared" si="8"/>
        <v>2523</v>
      </c>
      <c r="CV47" s="679">
        <f t="shared" si="9"/>
        <v>2523</v>
      </c>
      <c r="CW47" s="679">
        <f t="shared" si="10"/>
        <v>2523</v>
      </c>
      <c r="CX47" s="679">
        <f t="shared" si="11"/>
        <v>2523</v>
      </c>
      <c r="CY47" s="679">
        <f t="shared" si="12"/>
        <v>2526</v>
      </c>
      <c r="CZ47" s="679">
        <f t="shared" si="13"/>
        <v>2530</v>
      </c>
      <c r="DA47" s="679">
        <f t="shared" si="14"/>
        <v>2531</v>
      </c>
      <c r="DB47" s="679">
        <f t="shared" si="15"/>
        <v>2532</v>
      </c>
      <c r="DC47" s="679">
        <f t="shared" si="16"/>
        <v>2539</v>
      </c>
      <c r="DD47" s="679">
        <f t="shared" si="17"/>
        <v>2549</v>
      </c>
      <c r="DE47" s="679">
        <f t="shared" si="18"/>
        <v>2549</v>
      </c>
      <c r="DF47" s="679">
        <f t="shared" si="19"/>
        <v>2549</v>
      </c>
      <c r="DG47" s="679">
        <f t="shared" si="20"/>
        <v>2549</v>
      </c>
      <c r="DH47" s="679">
        <f t="shared" si="21"/>
        <v>2549</v>
      </c>
      <c r="DI47" s="679">
        <f t="shared" si="22"/>
        <v>2549</v>
      </c>
      <c r="DJ47" s="679">
        <f t="shared" si="23"/>
        <v>2549</v>
      </c>
      <c r="DK47" s="679">
        <f t="shared" si="24"/>
        <v>2540</v>
      </c>
      <c r="DL47" s="679">
        <f t="shared" si="25"/>
        <v>2550</v>
      </c>
      <c r="DM47" s="679">
        <f t="shared" si="26"/>
        <v>2550</v>
      </c>
      <c r="DN47" s="679">
        <f t="shared" si="27"/>
        <v>2550</v>
      </c>
      <c r="DO47" s="679">
        <f t="shared" si="28"/>
        <v>2550</v>
      </c>
      <c r="DP47" s="679">
        <f t="shared" si="29"/>
        <v>2550</v>
      </c>
      <c r="DQ47" s="679">
        <f t="shared" si="30"/>
        <v>2550</v>
      </c>
      <c r="DR47" s="679">
        <f t="shared" si="31"/>
        <v>2550</v>
      </c>
      <c r="DS47" s="679">
        <f t="shared" si="32"/>
        <v>2541</v>
      </c>
      <c r="DT47" s="679">
        <f t="shared" si="33"/>
        <v>2551</v>
      </c>
      <c r="DU47" s="679">
        <f t="shared" si="34"/>
        <v>2551</v>
      </c>
      <c r="DV47" s="679">
        <f t="shared" si="35"/>
        <v>2551</v>
      </c>
      <c r="DW47" s="679">
        <f t="shared" si="36"/>
        <v>2551</v>
      </c>
      <c r="DX47" s="679">
        <f t="shared" si="37"/>
        <v>2551</v>
      </c>
      <c r="DY47" s="679">
        <f t="shared" si="38"/>
        <v>2551</v>
      </c>
      <c r="DZ47" s="679">
        <f t="shared" si="39"/>
        <v>2551</v>
      </c>
      <c r="EA47" s="679">
        <f t="shared" si="40"/>
        <v>2542</v>
      </c>
      <c r="EB47" s="679">
        <f t="shared" si="41"/>
        <v>2552</v>
      </c>
      <c r="EC47" s="679">
        <f t="shared" si="42"/>
        <v>2552</v>
      </c>
      <c r="ED47" s="679">
        <f t="shared" si="43"/>
        <v>2552</v>
      </c>
      <c r="EE47" s="679">
        <f t="shared" si="44"/>
        <v>2552</v>
      </c>
      <c r="EF47" s="679">
        <f t="shared" si="45"/>
        <v>2552</v>
      </c>
      <c r="EG47" s="679">
        <f t="shared" si="46"/>
        <v>2552</v>
      </c>
      <c r="EH47" s="679">
        <f t="shared" si="47"/>
        <v>2552</v>
      </c>
      <c r="EI47" s="679">
        <f t="shared" si="48"/>
        <v>2543</v>
      </c>
      <c r="EJ47" s="679">
        <f t="shared" si="49"/>
        <v>2553</v>
      </c>
      <c r="EK47" s="679">
        <f t="shared" si="50"/>
        <v>2553</v>
      </c>
      <c r="EL47" s="679">
        <f t="shared" si="51"/>
        <v>2553</v>
      </c>
      <c r="EM47" s="679">
        <f t="shared" si="52"/>
        <v>2553</v>
      </c>
      <c r="EN47" s="679">
        <f t="shared" si="53"/>
        <v>2553</v>
      </c>
      <c r="EO47" s="679">
        <f t="shared" si="54"/>
        <v>2553</v>
      </c>
      <c r="EP47" s="679">
        <f t="shared" si="55"/>
        <v>2553</v>
      </c>
      <c r="EQ47" s="679">
        <f t="shared" si="56"/>
        <v>2544</v>
      </c>
      <c r="ER47" s="679">
        <f t="shared" si="57"/>
        <v>2554</v>
      </c>
      <c r="ES47" s="679">
        <f t="shared" si="58"/>
        <v>2554</v>
      </c>
      <c r="ET47" s="679">
        <f t="shared" si="59"/>
        <v>2554</v>
      </c>
      <c r="EU47" s="679">
        <f t="shared" si="60"/>
        <v>2554</v>
      </c>
      <c r="EV47" s="679">
        <f t="shared" si="61"/>
        <v>2554</v>
      </c>
      <c r="EW47" s="679">
        <f t="shared" si="62"/>
        <v>2554</v>
      </c>
      <c r="EX47" s="679">
        <f t="shared" si="63"/>
        <v>2554</v>
      </c>
      <c r="EY47" s="679">
        <f t="shared" si="64"/>
        <v>2560</v>
      </c>
    </row>
    <row r="48" spans="2:155" ht="12.75" customHeight="1" x14ac:dyDescent="0.2">
      <c r="B48" s="700" t="str">
        <f>IF(COUNTIF($CK$10:CK48,TRUE)&gt;0,"",INDEX(C_InstallationDescription!$E$226:$E$242,ROWS($A$11:A48)))</f>
        <v/>
      </c>
      <c r="C48" s="581" t="str">
        <f>IF($E48="","",INDEX(C_InstallationDescription!F:F,MATCH($B48,C_InstallationDescription!$E:$E,0)))</f>
        <v/>
      </c>
      <c r="D48" s="581" t="str">
        <f>IF($E48="","",INDEX(C_InstallationDescription!I:I,MATCH($B48,C_InstallationDescription!$E:$E,0)))</f>
        <v/>
      </c>
      <c r="E48" s="581" t="str">
        <f>IF($B48="","",INDEX(C_InstallationDescription!F:F,MATCH($CJ48,C_InstallationDescription!$Q:$Q,0)))</f>
        <v/>
      </c>
      <c r="F48" s="706" t="str">
        <f>IF($E48="","",INDEX(C_InstallationDescription!L:L,MATCH($CJ48,C_InstallationDescription!$Q:$Q,0)))</f>
        <v/>
      </c>
      <c r="G48" s="581" t="str">
        <f>IF($E48="","",INDEX(C_InstallationDescription!M:M,MATCH($CJ48,C_InstallationDescription!$Q:$Q,0)))</f>
        <v/>
      </c>
      <c r="H48" s="581" t="str">
        <f>IF($E48="","",INDEX(C_InstallationDescription!N:N,MATCH($CJ48,C_InstallationDescription!$Q:$Q,0)))</f>
        <v/>
      </c>
      <c r="I48" s="703" t="str">
        <f>IF($E48="","",IF(INDEX(E_SourceStreams!$A:$N,CN48,I$7)="","",INDEX(E_SourceStreams!$A:$N,CN48,I$7)))</f>
        <v/>
      </c>
      <c r="J48" s="703" t="str">
        <f>IF($E48="","",IF(INDEX(E_SourceStreams!$A:$N,CO48,J$7)="","",INDEX(E_SourceStreams!$A:$N,CO48,J$7)))</f>
        <v/>
      </c>
      <c r="K48" s="703" t="str">
        <f>IF($E48="","",IF(INDEX(E_SourceStreams!$A:$N,CP48,K$7)="","",INDEX(E_SourceStreams!$A:$N,CP48,K$7)))</f>
        <v/>
      </c>
      <c r="L48" s="703" t="str">
        <f>IF($E48="","",IF(INDEX(E_SourceStreams!$A:$N,CQ48,L$7)="","",INDEX(E_SourceStreams!$A:$N,CQ48,L$7)))</f>
        <v/>
      </c>
      <c r="M48" s="703" t="str">
        <f>IF($E48="","",IF(INDEX(E_SourceStreams!$A:$N,CR48,M$7)="","",INDEX(E_SourceStreams!$A:$N,CR48,M$7)))</f>
        <v/>
      </c>
      <c r="N48" s="703" t="str">
        <f>IF($E48="","",IF(INDEX(E_SourceStreams!$A:$N,CS48,N$7)="","",INDEX(E_SourceStreams!$A:$N,CS48,N$7)))</f>
        <v/>
      </c>
      <c r="O48" s="703" t="str">
        <f>IF($E48="","",IF(INDEX(E_SourceStreams!$A:$N,CT48,O$7)="","",INDEX(E_SourceStreams!$A:$N,CT48,O$7)))</f>
        <v/>
      </c>
      <c r="P48" s="703" t="str">
        <f>IF($E48="","",IF(INDEX(E_SourceStreams!$A:$N,CU48,P$7)="","",INDEX(E_SourceStreams!$A:$N,CU48,P$7)))</f>
        <v/>
      </c>
      <c r="Q48" s="703" t="str">
        <f>IF($E48="","",IF(INDEX(E_SourceStreams!$A:$N,CV48,Q$7)="","",INDEX(E_SourceStreams!$A:$N,CV48,Q$7)))</f>
        <v/>
      </c>
      <c r="R48" s="703" t="str">
        <f>IF($E48="","",IF(INDEX(E_SourceStreams!$A:$N,CW48,R$7)="","",INDEX(E_SourceStreams!$A:$N,CW48,R$7)))</f>
        <v/>
      </c>
      <c r="S48" s="703" t="str">
        <f>IF($E48="","",IF(INDEX(E_SourceStreams!$A:$N,CX48,S$7)="","",INDEX(E_SourceStreams!$A:$N,CX48,S$7)))</f>
        <v/>
      </c>
      <c r="T48" s="703" t="str">
        <f>IF($E48="","",IF(INDEX(E_SourceStreams!$A:$N,CY48,T$7)="","",INDEX(E_SourceStreams!$A:$N,CY48,T$7)))</f>
        <v/>
      </c>
      <c r="U48" s="703" t="str">
        <f>IF($E48="","",IF(INDEX(E_SourceStreams!$A:$N,CZ48,U$7)="","",INDEX(E_SourceStreams!$A:$N,CZ48,U$7)))</f>
        <v/>
      </c>
      <c r="V48" s="703" t="str">
        <f>IF($E48="","",IF(INDEX(E_SourceStreams!$A:$N,DA48,V$7)="","",INDEX(E_SourceStreams!$A:$N,DA48,V$7)))</f>
        <v/>
      </c>
      <c r="W48" s="704" t="str">
        <f>IF($E48="","",IF(INDEX(E_SourceStreams!$A:$N,DB48,W$7)="","",INDEX(E_SourceStreams!$A:$N,DB48,W$7)))</f>
        <v/>
      </c>
      <c r="X48" s="703" t="str">
        <f>IF($E48="","",IF(INDEX(E_SourceStreams!$A:$N,DC48,X$7)="","",INDEX(E_SourceStreams!$A:$N,DC48,X$7)))</f>
        <v/>
      </c>
      <c r="Y48" s="703" t="str">
        <f>IF($E48="","",IF(INDEX(E_SourceStreams!$A:$N,DD48,Y$7)="","",INDEX(E_SourceStreams!$A:$N,DD48,Y$7)))</f>
        <v/>
      </c>
      <c r="Z48" s="703" t="str">
        <f>IF($E48="","",IF(INDEX(E_SourceStreams!$A:$N,DE48,Z$7)="","",INDEX(E_SourceStreams!$A:$N,DE48,Z$7)))</f>
        <v/>
      </c>
      <c r="AA48" s="703" t="str">
        <f>IF($E48="","",IF(INDEX(E_SourceStreams!$A:$N,DF48,AA$7)="","",INDEX(E_SourceStreams!$A:$N,DF48,AA$7)))</f>
        <v/>
      </c>
      <c r="AB48" s="703" t="str">
        <f>IF($E48="","",IF(INDEX(E_SourceStreams!$A:$N,DG48,AB$7)="","",INDEX(E_SourceStreams!$A:$N,DG48,AB$7)))</f>
        <v/>
      </c>
      <c r="AC48" s="703" t="str">
        <f>IF($E48="","",IF(INDEX(E_SourceStreams!$A:$N,DH48,AC$7)="","",INDEX(E_SourceStreams!$A:$N,DH48,AC$7)))</f>
        <v/>
      </c>
      <c r="AD48" s="703" t="str">
        <f>IF($E48="","",IF(INDEX(E_SourceStreams!$A:$N,DI48,AD$7)="","",INDEX(E_SourceStreams!$A:$N,DI48,AD$7)))</f>
        <v/>
      </c>
      <c r="AE48" s="703" t="str">
        <f>IF($E48="","",IF(INDEX(E_SourceStreams!$A:$N,DJ48,AE$7)="","",INDEX(E_SourceStreams!$A:$N,DJ48,AE$7)))</f>
        <v/>
      </c>
      <c r="AF48" s="703" t="str">
        <f>IF($E48="","",IF(INDEX(E_SourceStreams!$A:$N,DK48,AF$7)="","",INDEX(E_SourceStreams!$A:$N,DK48,AF$7)))</f>
        <v/>
      </c>
      <c r="AG48" s="703" t="str">
        <f>IF($E48="","",IF(INDEX(E_SourceStreams!$A:$N,DL48,AG$7)="","",INDEX(E_SourceStreams!$A:$N,DL48,AG$7)))</f>
        <v/>
      </c>
      <c r="AH48" s="703" t="str">
        <f>IF($E48="","",IF(INDEX(E_SourceStreams!$A:$N,DM48,AH$7)="","",INDEX(E_SourceStreams!$A:$N,DM48,AH$7)))</f>
        <v/>
      </c>
      <c r="AI48" s="703" t="str">
        <f>IF($E48="","",IF(INDEX(E_SourceStreams!$A:$N,DN48,AI$7)="","",INDEX(E_SourceStreams!$A:$N,DN48,AI$7)))</f>
        <v/>
      </c>
      <c r="AJ48" s="703" t="str">
        <f>IF($E48="","",IF(INDEX(E_SourceStreams!$A:$N,DO48,AJ$7)="","",INDEX(E_SourceStreams!$A:$N,DO48,AJ$7)))</f>
        <v/>
      </c>
      <c r="AK48" s="703" t="str">
        <f>IF($E48="","",IF(INDEX(E_SourceStreams!$A:$N,DP48,AK$7)="","",INDEX(E_SourceStreams!$A:$N,DP48,AK$7)))</f>
        <v/>
      </c>
      <c r="AL48" s="703" t="str">
        <f>IF($E48="","",IF(INDEX(E_SourceStreams!$A:$N,DQ48,AL$7)="","",INDEX(E_SourceStreams!$A:$N,DQ48,AL$7)))</f>
        <v/>
      </c>
      <c r="AM48" s="703" t="str">
        <f>IF($E48="","",IF(INDEX(E_SourceStreams!$A:$N,DR48,AM$7)="","",INDEX(E_SourceStreams!$A:$N,DR48,AM$7)))</f>
        <v/>
      </c>
      <c r="AN48" s="703" t="str">
        <f>IF($E48="","",IF(INDEX(E_SourceStreams!$A:$N,DS48,AN$7)="","",INDEX(E_SourceStreams!$A:$N,DS48,AN$7)))</f>
        <v/>
      </c>
      <c r="AO48" s="703" t="str">
        <f>IF($E48="","",IF(INDEX(E_SourceStreams!$A:$N,DT48,AO$7)="","",INDEX(E_SourceStreams!$A:$N,DT48,AO$7)))</f>
        <v/>
      </c>
      <c r="AP48" s="703" t="str">
        <f>IF($E48="","",IF(INDEX(E_SourceStreams!$A:$N,DU48,AP$7)="","",INDEX(E_SourceStreams!$A:$N,DU48,AP$7)))</f>
        <v/>
      </c>
      <c r="AQ48" s="703" t="str">
        <f>IF($E48="","",IF(INDEX(E_SourceStreams!$A:$N,DV48,AQ$7)="","",INDEX(E_SourceStreams!$A:$N,DV48,AQ$7)))</f>
        <v/>
      </c>
      <c r="AR48" s="703" t="str">
        <f>IF($E48="","",IF(INDEX(E_SourceStreams!$A:$N,DW48,AR$7)="","",INDEX(E_SourceStreams!$A:$N,DW48,AR$7)))</f>
        <v/>
      </c>
      <c r="AS48" s="703" t="str">
        <f>IF($E48="","",IF(INDEX(E_SourceStreams!$A:$N,DX48,AS$7)="","",INDEX(E_SourceStreams!$A:$N,DX48,AS$7)))</f>
        <v/>
      </c>
      <c r="AT48" s="703" t="str">
        <f>IF($E48="","",IF(INDEX(E_SourceStreams!$A:$N,DY48,AT$7)="","",INDEX(E_SourceStreams!$A:$N,DY48,AT$7)))</f>
        <v/>
      </c>
      <c r="AU48" s="703" t="str">
        <f>IF($E48="","",IF(INDEX(E_SourceStreams!$A:$N,DZ48,AU$7)="","",INDEX(E_SourceStreams!$A:$N,DZ48,AU$7)))</f>
        <v/>
      </c>
      <c r="AV48" s="703" t="str">
        <f>IF($E48="","",IF(INDEX(E_SourceStreams!$A:$N,EA48,AV$7)="","",INDEX(E_SourceStreams!$A:$N,EA48,AV$7)))</f>
        <v/>
      </c>
      <c r="AW48" s="703" t="str">
        <f>IF($E48="","",IF(INDEX(E_SourceStreams!$A:$N,EB48,AW$7)="","",INDEX(E_SourceStreams!$A:$N,EB48,AW$7)))</f>
        <v/>
      </c>
      <c r="AX48" s="703" t="str">
        <f>IF($E48="","",IF(INDEX(E_SourceStreams!$A:$N,EC48,AX$7)="","",INDEX(E_SourceStreams!$A:$N,EC48,AX$7)))</f>
        <v/>
      </c>
      <c r="AY48" s="703" t="str">
        <f>IF($E48="","",IF(INDEX(E_SourceStreams!$A:$N,ED48,AY$7)="","",INDEX(E_SourceStreams!$A:$N,ED48,AY$7)))</f>
        <v/>
      </c>
      <c r="AZ48" s="703" t="str">
        <f>IF($E48="","",IF(INDEX(E_SourceStreams!$A:$N,EE48,AZ$7)="","",INDEX(E_SourceStreams!$A:$N,EE48,AZ$7)))</f>
        <v/>
      </c>
      <c r="BA48" s="703" t="str">
        <f>IF($E48="","",IF(INDEX(E_SourceStreams!$A:$N,EF48,BA$7)="","",INDEX(E_SourceStreams!$A:$N,EF48,BA$7)))</f>
        <v/>
      </c>
      <c r="BB48" s="703" t="str">
        <f>IF($E48="","",IF(INDEX(E_SourceStreams!$A:$N,EG48,BB$7)="","",INDEX(E_SourceStreams!$A:$N,EG48,BB$7)))</f>
        <v/>
      </c>
      <c r="BC48" s="703" t="str">
        <f>IF($E48="","",IF(INDEX(E_SourceStreams!$A:$N,EH48,BC$7)="","",INDEX(E_SourceStreams!$A:$N,EH48,BC$7)))</f>
        <v/>
      </c>
      <c r="BD48" s="703" t="str">
        <f>IF($E48="","",IF(INDEX(E_SourceStreams!$A:$N,EI48,BD$7)="","",INDEX(E_SourceStreams!$A:$N,EI48,BD$7)))</f>
        <v/>
      </c>
      <c r="BE48" s="703" t="str">
        <f>IF($E48="","",IF(INDEX(E_SourceStreams!$A:$N,EJ48,BE$7)="","",INDEX(E_SourceStreams!$A:$N,EJ48,BE$7)))</f>
        <v/>
      </c>
      <c r="BF48" s="703" t="str">
        <f>IF($E48="","",IF(INDEX(E_SourceStreams!$A:$N,EK48,BF$7)="","",INDEX(E_SourceStreams!$A:$N,EK48,BF$7)))</f>
        <v/>
      </c>
      <c r="BG48" s="703" t="str">
        <f>IF($E48="","",IF(INDEX(E_SourceStreams!$A:$N,EL48,BG$7)="","",INDEX(E_SourceStreams!$A:$N,EL48,BG$7)))</f>
        <v/>
      </c>
      <c r="BH48" s="703" t="str">
        <f>IF($E48="","",IF(INDEX(E_SourceStreams!$A:$N,EM48,BH$7)="","",INDEX(E_SourceStreams!$A:$N,EM48,BH$7)))</f>
        <v/>
      </c>
      <c r="BI48" s="703" t="str">
        <f>IF($E48="","",IF(INDEX(E_SourceStreams!$A:$N,EN48,BI$7)="","",INDEX(E_SourceStreams!$A:$N,EN48,BI$7)))</f>
        <v/>
      </c>
      <c r="BJ48" s="703" t="str">
        <f>IF($E48="","",IF(INDEX(E_SourceStreams!$A:$N,EO48,BJ$7)="","",INDEX(E_SourceStreams!$A:$N,EO48,BJ$7)))</f>
        <v/>
      </c>
      <c r="BK48" s="703" t="str">
        <f>IF($E48="","",IF(INDEX(E_SourceStreams!$A:$N,EP48,BK$7)="","",INDEX(E_SourceStreams!$A:$N,EP48,BK$7)))</f>
        <v/>
      </c>
      <c r="BL48" s="703" t="str">
        <f>IF($E48="","",IF(INDEX(E_SourceStreams!$A:$N,EQ48,BL$7)="","",INDEX(E_SourceStreams!$A:$N,EQ48,BL$7)))</f>
        <v/>
      </c>
      <c r="BM48" s="703" t="str">
        <f>IF($E48="","",IF(INDEX(E_SourceStreams!$A:$N,ER48,BM$7)="","",INDEX(E_SourceStreams!$A:$N,ER48,BM$7)))</f>
        <v/>
      </c>
      <c r="BN48" s="703" t="str">
        <f>IF($E48="","",IF(INDEX(E_SourceStreams!$A:$N,ES48,BN$7)="","",INDEX(E_SourceStreams!$A:$N,ES48,BN$7)))</f>
        <v/>
      </c>
      <c r="BO48" s="703" t="str">
        <f>IF($E48="","",IF(INDEX(E_SourceStreams!$A:$N,ET48,BO$7)="","",INDEX(E_SourceStreams!$A:$N,ET48,BO$7)))</f>
        <v/>
      </c>
      <c r="BP48" s="703" t="str">
        <f>IF($E48="","",IF(INDEX(E_SourceStreams!$A:$N,EU48,BP$7)="","",INDEX(E_SourceStreams!$A:$N,EU48,BP$7)))</f>
        <v/>
      </c>
      <c r="BQ48" s="703" t="str">
        <f>IF($E48="","",IF(INDEX(E_SourceStreams!$A:$N,EV48,BQ$7)="","",INDEX(E_SourceStreams!$A:$N,EV48,BQ$7)))</f>
        <v/>
      </c>
      <c r="BR48" s="703" t="str">
        <f>IF($E48="","",IF(INDEX(E_SourceStreams!$A:$N,EW48,BR$7)="","",INDEX(E_SourceStreams!$A:$N,EW48,BR$7)))</f>
        <v/>
      </c>
      <c r="BS48" s="703" t="str">
        <f>IF($E48="","",IF(INDEX(E_SourceStreams!$A:$N,EX48,BS$7)="","",INDEX(E_SourceStreams!$A:$N,EX48,BS$7)))</f>
        <v/>
      </c>
      <c r="BT48" s="703" t="str">
        <f>IF($E48="","",IF(INDEX(E_SourceStreams!$A:$N,EY48,BT$7)="","",INDEX(E_SourceStreams!$A:$N,EY48,BT$7)))</f>
        <v/>
      </c>
      <c r="BU48" s="625"/>
      <c r="CJ48" s="679" t="str">
        <f t="shared" si="66"/>
        <v>SourceCategory_</v>
      </c>
      <c r="CK48" s="679" t="b">
        <f>INDEX(C_InstallationDescription!$A$226:$A$332,ROWS($CI$11:CI48))="ausblenden"</f>
        <v>0</v>
      </c>
      <c r="CL48" s="679" t="str">
        <f t="shared" si="67"/>
        <v>SourceStreamName_</v>
      </c>
      <c r="CN48" s="679">
        <f t="shared" si="65"/>
        <v>2577</v>
      </c>
      <c r="CO48" s="679">
        <f t="shared" si="2"/>
        <v>2579</v>
      </c>
      <c r="CP48" s="679">
        <f t="shared" si="3"/>
        <v>2581</v>
      </c>
      <c r="CQ48" s="679">
        <f t="shared" si="4"/>
        <v>2583</v>
      </c>
      <c r="CR48" s="679">
        <f t="shared" si="5"/>
        <v>2585</v>
      </c>
      <c r="CS48" s="679">
        <f t="shared" si="6"/>
        <v>2587</v>
      </c>
      <c r="CT48" s="679">
        <f t="shared" si="7"/>
        <v>2589</v>
      </c>
      <c r="CU48" s="679">
        <f t="shared" si="8"/>
        <v>2589</v>
      </c>
      <c r="CV48" s="679">
        <f t="shared" si="9"/>
        <v>2589</v>
      </c>
      <c r="CW48" s="679">
        <f t="shared" si="10"/>
        <v>2589</v>
      </c>
      <c r="CX48" s="679">
        <f t="shared" si="11"/>
        <v>2589</v>
      </c>
      <c r="CY48" s="679">
        <f t="shared" si="12"/>
        <v>2592</v>
      </c>
      <c r="CZ48" s="679">
        <f t="shared" si="13"/>
        <v>2596</v>
      </c>
      <c r="DA48" s="679">
        <f t="shared" si="14"/>
        <v>2597</v>
      </c>
      <c r="DB48" s="679">
        <f t="shared" si="15"/>
        <v>2598</v>
      </c>
      <c r="DC48" s="679">
        <f t="shared" si="16"/>
        <v>2605</v>
      </c>
      <c r="DD48" s="679">
        <f t="shared" si="17"/>
        <v>2615</v>
      </c>
      <c r="DE48" s="679">
        <f t="shared" si="18"/>
        <v>2615</v>
      </c>
      <c r="DF48" s="679">
        <f t="shared" si="19"/>
        <v>2615</v>
      </c>
      <c r="DG48" s="679">
        <f t="shared" si="20"/>
        <v>2615</v>
      </c>
      <c r="DH48" s="679">
        <f t="shared" si="21"/>
        <v>2615</v>
      </c>
      <c r="DI48" s="679">
        <f t="shared" si="22"/>
        <v>2615</v>
      </c>
      <c r="DJ48" s="679">
        <f t="shared" si="23"/>
        <v>2615</v>
      </c>
      <c r="DK48" s="679">
        <f t="shared" si="24"/>
        <v>2606</v>
      </c>
      <c r="DL48" s="679">
        <f t="shared" si="25"/>
        <v>2616</v>
      </c>
      <c r="DM48" s="679">
        <f t="shared" si="26"/>
        <v>2616</v>
      </c>
      <c r="DN48" s="679">
        <f t="shared" si="27"/>
        <v>2616</v>
      </c>
      <c r="DO48" s="679">
        <f t="shared" si="28"/>
        <v>2616</v>
      </c>
      <c r="DP48" s="679">
        <f t="shared" si="29"/>
        <v>2616</v>
      </c>
      <c r="DQ48" s="679">
        <f t="shared" si="30"/>
        <v>2616</v>
      </c>
      <c r="DR48" s="679">
        <f t="shared" si="31"/>
        <v>2616</v>
      </c>
      <c r="DS48" s="679">
        <f t="shared" si="32"/>
        <v>2607</v>
      </c>
      <c r="DT48" s="679">
        <f t="shared" si="33"/>
        <v>2617</v>
      </c>
      <c r="DU48" s="679">
        <f t="shared" si="34"/>
        <v>2617</v>
      </c>
      <c r="DV48" s="679">
        <f t="shared" si="35"/>
        <v>2617</v>
      </c>
      <c r="DW48" s="679">
        <f t="shared" si="36"/>
        <v>2617</v>
      </c>
      <c r="DX48" s="679">
        <f t="shared" si="37"/>
        <v>2617</v>
      </c>
      <c r="DY48" s="679">
        <f t="shared" si="38"/>
        <v>2617</v>
      </c>
      <c r="DZ48" s="679">
        <f t="shared" si="39"/>
        <v>2617</v>
      </c>
      <c r="EA48" s="679">
        <f t="shared" si="40"/>
        <v>2608</v>
      </c>
      <c r="EB48" s="679">
        <f t="shared" si="41"/>
        <v>2618</v>
      </c>
      <c r="EC48" s="679">
        <f t="shared" si="42"/>
        <v>2618</v>
      </c>
      <c r="ED48" s="679">
        <f t="shared" si="43"/>
        <v>2618</v>
      </c>
      <c r="EE48" s="679">
        <f t="shared" si="44"/>
        <v>2618</v>
      </c>
      <c r="EF48" s="679">
        <f t="shared" si="45"/>
        <v>2618</v>
      </c>
      <c r="EG48" s="679">
        <f t="shared" si="46"/>
        <v>2618</v>
      </c>
      <c r="EH48" s="679">
        <f t="shared" si="47"/>
        <v>2618</v>
      </c>
      <c r="EI48" s="679">
        <f t="shared" si="48"/>
        <v>2609</v>
      </c>
      <c r="EJ48" s="679">
        <f t="shared" si="49"/>
        <v>2619</v>
      </c>
      <c r="EK48" s="679">
        <f t="shared" si="50"/>
        <v>2619</v>
      </c>
      <c r="EL48" s="679">
        <f t="shared" si="51"/>
        <v>2619</v>
      </c>
      <c r="EM48" s="679">
        <f t="shared" si="52"/>
        <v>2619</v>
      </c>
      <c r="EN48" s="679">
        <f t="shared" si="53"/>
        <v>2619</v>
      </c>
      <c r="EO48" s="679">
        <f t="shared" si="54"/>
        <v>2619</v>
      </c>
      <c r="EP48" s="679">
        <f t="shared" si="55"/>
        <v>2619</v>
      </c>
      <c r="EQ48" s="679">
        <f t="shared" si="56"/>
        <v>2610</v>
      </c>
      <c r="ER48" s="679">
        <f t="shared" si="57"/>
        <v>2620</v>
      </c>
      <c r="ES48" s="679">
        <f t="shared" si="58"/>
        <v>2620</v>
      </c>
      <c r="ET48" s="679">
        <f t="shared" si="59"/>
        <v>2620</v>
      </c>
      <c r="EU48" s="679">
        <f t="shared" si="60"/>
        <v>2620</v>
      </c>
      <c r="EV48" s="679">
        <f t="shared" si="61"/>
        <v>2620</v>
      </c>
      <c r="EW48" s="679">
        <f t="shared" si="62"/>
        <v>2620</v>
      </c>
      <c r="EX48" s="679">
        <f t="shared" si="63"/>
        <v>2620</v>
      </c>
      <c r="EY48" s="679">
        <f t="shared" si="64"/>
        <v>2626</v>
      </c>
    </row>
    <row r="49" spans="2:155" ht="12.75" customHeight="1" x14ac:dyDescent="0.2">
      <c r="B49" s="700" t="str">
        <f>IF(COUNTIF($CK$10:CK49,TRUE)&gt;0,"",INDEX(C_InstallationDescription!$E$226:$E$242,ROWS($A$11:A49)))</f>
        <v/>
      </c>
      <c r="C49" s="581" t="str">
        <f>IF($E49="","",INDEX(C_InstallationDescription!F:F,MATCH($B49,C_InstallationDescription!$E:$E,0)))</f>
        <v/>
      </c>
      <c r="D49" s="581" t="str">
        <f>IF($E49="","",INDEX(C_InstallationDescription!I:I,MATCH($B49,C_InstallationDescription!$E:$E,0)))</f>
        <v/>
      </c>
      <c r="E49" s="581" t="str">
        <f>IF($B49="","",INDEX(C_InstallationDescription!F:F,MATCH($CJ49,C_InstallationDescription!$Q:$Q,0)))</f>
        <v/>
      </c>
      <c r="F49" s="706" t="str">
        <f>IF($E49="","",INDEX(C_InstallationDescription!L:L,MATCH($CJ49,C_InstallationDescription!$Q:$Q,0)))</f>
        <v/>
      </c>
      <c r="G49" s="581" t="str">
        <f>IF($E49="","",INDEX(C_InstallationDescription!M:M,MATCH($CJ49,C_InstallationDescription!$Q:$Q,0)))</f>
        <v/>
      </c>
      <c r="H49" s="581" t="str">
        <f>IF($E49="","",INDEX(C_InstallationDescription!N:N,MATCH($CJ49,C_InstallationDescription!$Q:$Q,0)))</f>
        <v/>
      </c>
      <c r="I49" s="703" t="str">
        <f>IF($E49="","",IF(INDEX(E_SourceStreams!$A:$N,CN49,I$7)="","",INDEX(E_SourceStreams!$A:$N,CN49,I$7)))</f>
        <v/>
      </c>
      <c r="J49" s="703" t="str">
        <f>IF($E49="","",IF(INDEX(E_SourceStreams!$A:$N,CO49,J$7)="","",INDEX(E_SourceStreams!$A:$N,CO49,J$7)))</f>
        <v/>
      </c>
      <c r="K49" s="703" t="str">
        <f>IF($E49="","",IF(INDEX(E_SourceStreams!$A:$N,CP49,K$7)="","",INDEX(E_SourceStreams!$A:$N,CP49,K$7)))</f>
        <v/>
      </c>
      <c r="L49" s="703" t="str">
        <f>IF($E49="","",IF(INDEX(E_SourceStreams!$A:$N,CQ49,L$7)="","",INDEX(E_SourceStreams!$A:$N,CQ49,L$7)))</f>
        <v/>
      </c>
      <c r="M49" s="703" t="str">
        <f>IF($E49="","",IF(INDEX(E_SourceStreams!$A:$N,CR49,M$7)="","",INDEX(E_SourceStreams!$A:$N,CR49,M$7)))</f>
        <v/>
      </c>
      <c r="N49" s="703" t="str">
        <f>IF($E49="","",IF(INDEX(E_SourceStreams!$A:$N,CS49,N$7)="","",INDEX(E_SourceStreams!$A:$N,CS49,N$7)))</f>
        <v/>
      </c>
      <c r="O49" s="703" t="str">
        <f>IF($E49="","",IF(INDEX(E_SourceStreams!$A:$N,CT49,O$7)="","",INDEX(E_SourceStreams!$A:$N,CT49,O$7)))</f>
        <v/>
      </c>
      <c r="P49" s="703" t="str">
        <f>IF($E49="","",IF(INDEX(E_SourceStreams!$A:$N,CU49,P$7)="","",INDEX(E_SourceStreams!$A:$N,CU49,P$7)))</f>
        <v/>
      </c>
      <c r="Q49" s="703" t="str">
        <f>IF($E49="","",IF(INDEX(E_SourceStreams!$A:$N,CV49,Q$7)="","",INDEX(E_SourceStreams!$A:$N,CV49,Q$7)))</f>
        <v/>
      </c>
      <c r="R49" s="703" t="str">
        <f>IF($E49="","",IF(INDEX(E_SourceStreams!$A:$N,CW49,R$7)="","",INDEX(E_SourceStreams!$A:$N,CW49,R$7)))</f>
        <v/>
      </c>
      <c r="S49" s="703" t="str">
        <f>IF($E49="","",IF(INDEX(E_SourceStreams!$A:$N,CX49,S$7)="","",INDEX(E_SourceStreams!$A:$N,CX49,S$7)))</f>
        <v/>
      </c>
      <c r="T49" s="703" t="str">
        <f>IF($E49="","",IF(INDEX(E_SourceStreams!$A:$N,CY49,T$7)="","",INDEX(E_SourceStreams!$A:$N,CY49,T$7)))</f>
        <v/>
      </c>
      <c r="U49" s="703" t="str">
        <f>IF($E49="","",IF(INDEX(E_SourceStreams!$A:$N,CZ49,U$7)="","",INDEX(E_SourceStreams!$A:$N,CZ49,U$7)))</f>
        <v/>
      </c>
      <c r="V49" s="703" t="str">
        <f>IF($E49="","",IF(INDEX(E_SourceStreams!$A:$N,DA49,V$7)="","",INDEX(E_SourceStreams!$A:$N,DA49,V$7)))</f>
        <v/>
      </c>
      <c r="W49" s="704" t="str">
        <f>IF($E49="","",IF(INDEX(E_SourceStreams!$A:$N,DB49,W$7)="","",INDEX(E_SourceStreams!$A:$N,DB49,W$7)))</f>
        <v/>
      </c>
      <c r="X49" s="703" t="str">
        <f>IF($E49="","",IF(INDEX(E_SourceStreams!$A:$N,DC49,X$7)="","",INDEX(E_SourceStreams!$A:$N,DC49,X$7)))</f>
        <v/>
      </c>
      <c r="Y49" s="703" t="str">
        <f>IF($E49="","",IF(INDEX(E_SourceStreams!$A:$N,DD49,Y$7)="","",INDEX(E_SourceStreams!$A:$N,DD49,Y$7)))</f>
        <v/>
      </c>
      <c r="Z49" s="703" t="str">
        <f>IF($E49="","",IF(INDEX(E_SourceStreams!$A:$N,DE49,Z$7)="","",INDEX(E_SourceStreams!$A:$N,DE49,Z$7)))</f>
        <v/>
      </c>
      <c r="AA49" s="703" t="str">
        <f>IF($E49="","",IF(INDEX(E_SourceStreams!$A:$N,DF49,AA$7)="","",INDEX(E_SourceStreams!$A:$N,DF49,AA$7)))</f>
        <v/>
      </c>
      <c r="AB49" s="703" t="str">
        <f>IF($E49="","",IF(INDEX(E_SourceStreams!$A:$N,DG49,AB$7)="","",INDEX(E_SourceStreams!$A:$N,DG49,AB$7)))</f>
        <v/>
      </c>
      <c r="AC49" s="703" t="str">
        <f>IF($E49="","",IF(INDEX(E_SourceStreams!$A:$N,DH49,AC$7)="","",INDEX(E_SourceStreams!$A:$N,DH49,AC$7)))</f>
        <v/>
      </c>
      <c r="AD49" s="703" t="str">
        <f>IF($E49="","",IF(INDEX(E_SourceStreams!$A:$N,DI49,AD$7)="","",INDEX(E_SourceStreams!$A:$N,DI49,AD$7)))</f>
        <v/>
      </c>
      <c r="AE49" s="703" t="str">
        <f>IF($E49="","",IF(INDEX(E_SourceStreams!$A:$N,DJ49,AE$7)="","",INDEX(E_SourceStreams!$A:$N,DJ49,AE$7)))</f>
        <v/>
      </c>
      <c r="AF49" s="703" t="str">
        <f>IF($E49="","",IF(INDEX(E_SourceStreams!$A:$N,DK49,AF$7)="","",INDEX(E_SourceStreams!$A:$N,DK49,AF$7)))</f>
        <v/>
      </c>
      <c r="AG49" s="703" t="str">
        <f>IF($E49="","",IF(INDEX(E_SourceStreams!$A:$N,DL49,AG$7)="","",INDEX(E_SourceStreams!$A:$N,DL49,AG$7)))</f>
        <v/>
      </c>
      <c r="AH49" s="703" t="str">
        <f>IF($E49="","",IF(INDEX(E_SourceStreams!$A:$N,DM49,AH$7)="","",INDEX(E_SourceStreams!$A:$N,DM49,AH$7)))</f>
        <v/>
      </c>
      <c r="AI49" s="703" t="str">
        <f>IF($E49="","",IF(INDEX(E_SourceStreams!$A:$N,DN49,AI$7)="","",INDEX(E_SourceStreams!$A:$N,DN49,AI$7)))</f>
        <v/>
      </c>
      <c r="AJ49" s="703" t="str">
        <f>IF($E49="","",IF(INDEX(E_SourceStreams!$A:$N,DO49,AJ$7)="","",INDEX(E_SourceStreams!$A:$N,DO49,AJ$7)))</f>
        <v/>
      </c>
      <c r="AK49" s="703" t="str">
        <f>IF($E49="","",IF(INDEX(E_SourceStreams!$A:$N,DP49,AK$7)="","",INDEX(E_SourceStreams!$A:$N,DP49,AK$7)))</f>
        <v/>
      </c>
      <c r="AL49" s="703" t="str">
        <f>IF($E49="","",IF(INDEX(E_SourceStreams!$A:$N,DQ49,AL$7)="","",INDEX(E_SourceStreams!$A:$N,DQ49,AL$7)))</f>
        <v/>
      </c>
      <c r="AM49" s="703" t="str">
        <f>IF($E49="","",IF(INDEX(E_SourceStreams!$A:$N,DR49,AM$7)="","",INDEX(E_SourceStreams!$A:$N,DR49,AM$7)))</f>
        <v/>
      </c>
      <c r="AN49" s="703" t="str">
        <f>IF($E49="","",IF(INDEX(E_SourceStreams!$A:$N,DS49,AN$7)="","",INDEX(E_SourceStreams!$A:$N,DS49,AN$7)))</f>
        <v/>
      </c>
      <c r="AO49" s="703" t="str">
        <f>IF($E49="","",IF(INDEX(E_SourceStreams!$A:$N,DT49,AO$7)="","",INDEX(E_SourceStreams!$A:$N,DT49,AO$7)))</f>
        <v/>
      </c>
      <c r="AP49" s="703" t="str">
        <f>IF($E49="","",IF(INDEX(E_SourceStreams!$A:$N,DU49,AP$7)="","",INDEX(E_SourceStreams!$A:$N,DU49,AP$7)))</f>
        <v/>
      </c>
      <c r="AQ49" s="703" t="str">
        <f>IF($E49="","",IF(INDEX(E_SourceStreams!$A:$N,DV49,AQ$7)="","",INDEX(E_SourceStreams!$A:$N,DV49,AQ$7)))</f>
        <v/>
      </c>
      <c r="AR49" s="703" t="str">
        <f>IF($E49="","",IF(INDEX(E_SourceStreams!$A:$N,DW49,AR$7)="","",INDEX(E_SourceStreams!$A:$N,DW49,AR$7)))</f>
        <v/>
      </c>
      <c r="AS49" s="703" t="str">
        <f>IF($E49="","",IF(INDEX(E_SourceStreams!$A:$N,DX49,AS$7)="","",INDEX(E_SourceStreams!$A:$N,DX49,AS$7)))</f>
        <v/>
      </c>
      <c r="AT49" s="703" t="str">
        <f>IF($E49="","",IF(INDEX(E_SourceStreams!$A:$N,DY49,AT$7)="","",INDEX(E_SourceStreams!$A:$N,DY49,AT$7)))</f>
        <v/>
      </c>
      <c r="AU49" s="703" t="str">
        <f>IF($E49="","",IF(INDEX(E_SourceStreams!$A:$N,DZ49,AU$7)="","",INDEX(E_SourceStreams!$A:$N,DZ49,AU$7)))</f>
        <v/>
      </c>
      <c r="AV49" s="703" t="str">
        <f>IF($E49="","",IF(INDEX(E_SourceStreams!$A:$N,EA49,AV$7)="","",INDEX(E_SourceStreams!$A:$N,EA49,AV$7)))</f>
        <v/>
      </c>
      <c r="AW49" s="703" t="str">
        <f>IF($E49="","",IF(INDEX(E_SourceStreams!$A:$N,EB49,AW$7)="","",INDEX(E_SourceStreams!$A:$N,EB49,AW$7)))</f>
        <v/>
      </c>
      <c r="AX49" s="703" t="str">
        <f>IF($E49="","",IF(INDEX(E_SourceStreams!$A:$N,EC49,AX$7)="","",INDEX(E_SourceStreams!$A:$N,EC49,AX$7)))</f>
        <v/>
      </c>
      <c r="AY49" s="703" t="str">
        <f>IF($E49="","",IF(INDEX(E_SourceStreams!$A:$N,ED49,AY$7)="","",INDEX(E_SourceStreams!$A:$N,ED49,AY$7)))</f>
        <v/>
      </c>
      <c r="AZ49" s="703" t="str">
        <f>IF($E49="","",IF(INDEX(E_SourceStreams!$A:$N,EE49,AZ$7)="","",INDEX(E_SourceStreams!$A:$N,EE49,AZ$7)))</f>
        <v/>
      </c>
      <c r="BA49" s="703" t="str">
        <f>IF($E49="","",IF(INDEX(E_SourceStreams!$A:$N,EF49,BA$7)="","",INDEX(E_SourceStreams!$A:$N,EF49,BA$7)))</f>
        <v/>
      </c>
      <c r="BB49" s="703" t="str">
        <f>IF($E49="","",IF(INDEX(E_SourceStreams!$A:$N,EG49,BB$7)="","",INDEX(E_SourceStreams!$A:$N,EG49,BB$7)))</f>
        <v/>
      </c>
      <c r="BC49" s="703" t="str">
        <f>IF($E49="","",IF(INDEX(E_SourceStreams!$A:$N,EH49,BC$7)="","",INDEX(E_SourceStreams!$A:$N,EH49,BC$7)))</f>
        <v/>
      </c>
      <c r="BD49" s="703" t="str">
        <f>IF($E49="","",IF(INDEX(E_SourceStreams!$A:$N,EI49,BD$7)="","",INDEX(E_SourceStreams!$A:$N,EI49,BD$7)))</f>
        <v/>
      </c>
      <c r="BE49" s="703" t="str">
        <f>IF($E49="","",IF(INDEX(E_SourceStreams!$A:$N,EJ49,BE$7)="","",INDEX(E_SourceStreams!$A:$N,EJ49,BE$7)))</f>
        <v/>
      </c>
      <c r="BF49" s="703" t="str">
        <f>IF($E49="","",IF(INDEX(E_SourceStreams!$A:$N,EK49,BF$7)="","",INDEX(E_SourceStreams!$A:$N,EK49,BF$7)))</f>
        <v/>
      </c>
      <c r="BG49" s="703" t="str">
        <f>IF($E49="","",IF(INDEX(E_SourceStreams!$A:$N,EL49,BG$7)="","",INDEX(E_SourceStreams!$A:$N,EL49,BG$7)))</f>
        <v/>
      </c>
      <c r="BH49" s="703" t="str">
        <f>IF($E49="","",IF(INDEX(E_SourceStreams!$A:$N,EM49,BH$7)="","",INDEX(E_SourceStreams!$A:$N,EM49,BH$7)))</f>
        <v/>
      </c>
      <c r="BI49" s="703" t="str">
        <f>IF($E49="","",IF(INDEX(E_SourceStreams!$A:$N,EN49,BI$7)="","",INDEX(E_SourceStreams!$A:$N,EN49,BI$7)))</f>
        <v/>
      </c>
      <c r="BJ49" s="703" t="str">
        <f>IF($E49="","",IF(INDEX(E_SourceStreams!$A:$N,EO49,BJ$7)="","",INDEX(E_SourceStreams!$A:$N,EO49,BJ$7)))</f>
        <v/>
      </c>
      <c r="BK49" s="703" t="str">
        <f>IF($E49="","",IF(INDEX(E_SourceStreams!$A:$N,EP49,BK$7)="","",INDEX(E_SourceStreams!$A:$N,EP49,BK$7)))</f>
        <v/>
      </c>
      <c r="BL49" s="703" t="str">
        <f>IF($E49="","",IF(INDEX(E_SourceStreams!$A:$N,EQ49,BL$7)="","",INDEX(E_SourceStreams!$A:$N,EQ49,BL$7)))</f>
        <v/>
      </c>
      <c r="BM49" s="703" t="str">
        <f>IF($E49="","",IF(INDEX(E_SourceStreams!$A:$N,ER49,BM$7)="","",INDEX(E_SourceStreams!$A:$N,ER49,BM$7)))</f>
        <v/>
      </c>
      <c r="BN49" s="703" t="str">
        <f>IF($E49="","",IF(INDEX(E_SourceStreams!$A:$N,ES49,BN$7)="","",INDEX(E_SourceStreams!$A:$N,ES49,BN$7)))</f>
        <v/>
      </c>
      <c r="BO49" s="703" t="str">
        <f>IF($E49="","",IF(INDEX(E_SourceStreams!$A:$N,ET49,BO$7)="","",INDEX(E_SourceStreams!$A:$N,ET49,BO$7)))</f>
        <v/>
      </c>
      <c r="BP49" s="703" t="str">
        <f>IF($E49="","",IF(INDEX(E_SourceStreams!$A:$N,EU49,BP$7)="","",INDEX(E_SourceStreams!$A:$N,EU49,BP$7)))</f>
        <v/>
      </c>
      <c r="BQ49" s="703" t="str">
        <f>IF($E49="","",IF(INDEX(E_SourceStreams!$A:$N,EV49,BQ$7)="","",INDEX(E_SourceStreams!$A:$N,EV49,BQ$7)))</f>
        <v/>
      </c>
      <c r="BR49" s="703" t="str">
        <f>IF($E49="","",IF(INDEX(E_SourceStreams!$A:$N,EW49,BR$7)="","",INDEX(E_SourceStreams!$A:$N,EW49,BR$7)))</f>
        <v/>
      </c>
      <c r="BS49" s="703" t="str">
        <f>IF($E49="","",IF(INDEX(E_SourceStreams!$A:$N,EX49,BS$7)="","",INDEX(E_SourceStreams!$A:$N,EX49,BS$7)))</f>
        <v/>
      </c>
      <c r="BT49" s="703" t="str">
        <f>IF($E49="","",IF(INDEX(E_SourceStreams!$A:$N,EY49,BT$7)="","",INDEX(E_SourceStreams!$A:$N,EY49,BT$7)))</f>
        <v/>
      </c>
      <c r="BU49" s="625"/>
      <c r="CJ49" s="679" t="str">
        <f t="shared" si="66"/>
        <v>SourceCategory_</v>
      </c>
      <c r="CK49" s="679" t="b">
        <f>INDEX(C_InstallationDescription!$A$226:$A$332,ROWS($CI$11:CI49))="ausblenden"</f>
        <v>0</v>
      </c>
      <c r="CL49" s="679" t="str">
        <f t="shared" si="67"/>
        <v>SourceStreamName_</v>
      </c>
      <c r="CN49" s="679">
        <f t="shared" si="65"/>
        <v>2643</v>
      </c>
      <c r="CO49" s="679">
        <f t="shared" si="2"/>
        <v>2645</v>
      </c>
      <c r="CP49" s="679">
        <f t="shared" si="3"/>
        <v>2647</v>
      </c>
      <c r="CQ49" s="679">
        <f t="shared" si="4"/>
        <v>2649</v>
      </c>
      <c r="CR49" s="679">
        <f t="shared" si="5"/>
        <v>2651</v>
      </c>
      <c r="CS49" s="679">
        <f t="shared" si="6"/>
        <v>2653</v>
      </c>
      <c r="CT49" s="679">
        <f t="shared" si="7"/>
        <v>2655</v>
      </c>
      <c r="CU49" s="679">
        <f t="shared" si="8"/>
        <v>2655</v>
      </c>
      <c r="CV49" s="679">
        <f t="shared" si="9"/>
        <v>2655</v>
      </c>
      <c r="CW49" s="679">
        <f t="shared" si="10"/>
        <v>2655</v>
      </c>
      <c r="CX49" s="679">
        <f t="shared" si="11"/>
        <v>2655</v>
      </c>
      <c r="CY49" s="679">
        <f t="shared" si="12"/>
        <v>2658</v>
      </c>
      <c r="CZ49" s="679">
        <f t="shared" si="13"/>
        <v>2662</v>
      </c>
      <c r="DA49" s="679">
        <f t="shared" si="14"/>
        <v>2663</v>
      </c>
      <c r="DB49" s="679">
        <f t="shared" si="15"/>
        <v>2664</v>
      </c>
      <c r="DC49" s="679">
        <f t="shared" si="16"/>
        <v>2671</v>
      </c>
      <c r="DD49" s="679">
        <f t="shared" si="17"/>
        <v>2681</v>
      </c>
      <c r="DE49" s="679">
        <f t="shared" si="18"/>
        <v>2681</v>
      </c>
      <c r="DF49" s="679">
        <f t="shared" si="19"/>
        <v>2681</v>
      </c>
      <c r="DG49" s="679">
        <f t="shared" si="20"/>
        <v>2681</v>
      </c>
      <c r="DH49" s="679">
        <f t="shared" si="21"/>
        <v>2681</v>
      </c>
      <c r="DI49" s="679">
        <f t="shared" si="22"/>
        <v>2681</v>
      </c>
      <c r="DJ49" s="679">
        <f t="shared" si="23"/>
        <v>2681</v>
      </c>
      <c r="DK49" s="679">
        <f t="shared" si="24"/>
        <v>2672</v>
      </c>
      <c r="DL49" s="679">
        <f t="shared" si="25"/>
        <v>2682</v>
      </c>
      <c r="DM49" s="679">
        <f t="shared" si="26"/>
        <v>2682</v>
      </c>
      <c r="DN49" s="679">
        <f t="shared" si="27"/>
        <v>2682</v>
      </c>
      <c r="DO49" s="679">
        <f t="shared" si="28"/>
        <v>2682</v>
      </c>
      <c r="DP49" s="679">
        <f t="shared" si="29"/>
        <v>2682</v>
      </c>
      <c r="DQ49" s="679">
        <f t="shared" si="30"/>
        <v>2682</v>
      </c>
      <c r="DR49" s="679">
        <f t="shared" si="31"/>
        <v>2682</v>
      </c>
      <c r="DS49" s="679">
        <f t="shared" si="32"/>
        <v>2673</v>
      </c>
      <c r="DT49" s="679">
        <f t="shared" si="33"/>
        <v>2683</v>
      </c>
      <c r="DU49" s="679">
        <f t="shared" si="34"/>
        <v>2683</v>
      </c>
      <c r="DV49" s="679">
        <f t="shared" si="35"/>
        <v>2683</v>
      </c>
      <c r="DW49" s="679">
        <f t="shared" si="36"/>
        <v>2683</v>
      </c>
      <c r="DX49" s="679">
        <f t="shared" si="37"/>
        <v>2683</v>
      </c>
      <c r="DY49" s="679">
        <f t="shared" si="38"/>
        <v>2683</v>
      </c>
      <c r="DZ49" s="679">
        <f t="shared" si="39"/>
        <v>2683</v>
      </c>
      <c r="EA49" s="679">
        <f t="shared" si="40"/>
        <v>2674</v>
      </c>
      <c r="EB49" s="679">
        <f t="shared" si="41"/>
        <v>2684</v>
      </c>
      <c r="EC49" s="679">
        <f t="shared" si="42"/>
        <v>2684</v>
      </c>
      <c r="ED49" s="679">
        <f t="shared" si="43"/>
        <v>2684</v>
      </c>
      <c r="EE49" s="679">
        <f t="shared" si="44"/>
        <v>2684</v>
      </c>
      <c r="EF49" s="679">
        <f t="shared" si="45"/>
        <v>2684</v>
      </c>
      <c r="EG49" s="679">
        <f t="shared" si="46"/>
        <v>2684</v>
      </c>
      <c r="EH49" s="679">
        <f t="shared" si="47"/>
        <v>2684</v>
      </c>
      <c r="EI49" s="679">
        <f t="shared" si="48"/>
        <v>2675</v>
      </c>
      <c r="EJ49" s="679">
        <f t="shared" si="49"/>
        <v>2685</v>
      </c>
      <c r="EK49" s="679">
        <f t="shared" si="50"/>
        <v>2685</v>
      </c>
      <c r="EL49" s="679">
        <f t="shared" si="51"/>
        <v>2685</v>
      </c>
      <c r="EM49" s="679">
        <f t="shared" si="52"/>
        <v>2685</v>
      </c>
      <c r="EN49" s="679">
        <f t="shared" si="53"/>
        <v>2685</v>
      </c>
      <c r="EO49" s="679">
        <f t="shared" si="54"/>
        <v>2685</v>
      </c>
      <c r="EP49" s="679">
        <f t="shared" si="55"/>
        <v>2685</v>
      </c>
      <c r="EQ49" s="679">
        <f t="shared" si="56"/>
        <v>2676</v>
      </c>
      <c r="ER49" s="679">
        <f t="shared" si="57"/>
        <v>2686</v>
      </c>
      <c r="ES49" s="679">
        <f t="shared" si="58"/>
        <v>2686</v>
      </c>
      <c r="ET49" s="679">
        <f t="shared" si="59"/>
        <v>2686</v>
      </c>
      <c r="EU49" s="679">
        <f t="shared" si="60"/>
        <v>2686</v>
      </c>
      <c r="EV49" s="679">
        <f t="shared" si="61"/>
        <v>2686</v>
      </c>
      <c r="EW49" s="679">
        <f t="shared" si="62"/>
        <v>2686</v>
      </c>
      <c r="EX49" s="679">
        <f t="shared" si="63"/>
        <v>2686</v>
      </c>
      <c r="EY49" s="679">
        <f t="shared" si="64"/>
        <v>2692</v>
      </c>
    </row>
    <row r="50" spans="2:155" ht="12.75" customHeight="1" x14ac:dyDescent="0.2">
      <c r="B50" s="700" t="str">
        <f>IF(COUNTIF($CK$10:CK50,TRUE)&gt;0,"",INDEX(C_InstallationDescription!$E$226:$E$242,ROWS($A$11:A50)))</f>
        <v/>
      </c>
      <c r="C50" s="581" t="str">
        <f>IF($E50="","",INDEX(C_InstallationDescription!F:F,MATCH($B50,C_InstallationDescription!$E:$E,0)))</f>
        <v/>
      </c>
      <c r="D50" s="581" t="str">
        <f>IF($E50="","",INDEX(C_InstallationDescription!I:I,MATCH($B50,C_InstallationDescription!$E:$E,0)))</f>
        <v/>
      </c>
      <c r="E50" s="581" t="str">
        <f>IF($B50="","",INDEX(C_InstallationDescription!F:F,MATCH($CJ50,C_InstallationDescription!$Q:$Q,0)))</f>
        <v/>
      </c>
      <c r="F50" s="706" t="str">
        <f>IF($E50="","",INDEX(C_InstallationDescription!L:L,MATCH($CJ50,C_InstallationDescription!$Q:$Q,0)))</f>
        <v/>
      </c>
      <c r="G50" s="581" t="str">
        <f>IF($E50="","",INDEX(C_InstallationDescription!M:M,MATCH($CJ50,C_InstallationDescription!$Q:$Q,0)))</f>
        <v/>
      </c>
      <c r="H50" s="581" t="str">
        <f>IF($E50="","",INDEX(C_InstallationDescription!N:N,MATCH($CJ50,C_InstallationDescription!$Q:$Q,0)))</f>
        <v/>
      </c>
      <c r="I50" s="703" t="str">
        <f>IF($E50="","",IF(INDEX(E_SourceStreams!$A:$N,CN50,I$7)="","",INDEX(E_SourceStreams!$A:$N,CN50,I$7)))</f>
        <v/>
      </c>
      <c r="J50" s="703" t="str">
        <f>IF($E50="","",IF(INDEX(E_SourceStreams!$A:$N,CO50,J$7)="","",INDEX(E_SourceStreams!$A:$N,CO50,J$7)))</f>
        <v/>
      </c>
      <c r="K50" s="703" t="str">
        <f>IF($E50="","",IF(INDEX(E_SourceStreams!$A:$N,CP50,K$7)="","",INDEX(E_SourceStreams!$A:$N,CP50,K$7)))</f>
        <v/>
      </c>
      <c r="L50" s="703" t="str">
        <f>IF($E50="","",IF(INDEX(E_SourceStreams!$A:$N,CQ50,L$7)="","",INDEX(E_SourceStreams!$A:$N,CQ50,L$7)))</f>
        <v/>
      </c>
      <c r="M50" s="703" t="str">
        <f>IF($E50="","",IF(INDEX(E_SourceStreams!$A:$N,CR50,M$7)="","",INDEX(E_SourceStreams!$A:$N,CR50,M$7)))</f>
        <v/>
      </c>
      <c r="N50" s="703" t="str">
        <f>IF($E50="","",IF(INDEX(E_SourceStreams!$A:$N,CS50,N$7)="","",INDEX(E_SourceStreams!$A:$N,CS50,N$7)))</f>
        <v/>
      </c>
      <c r="O50" s="703" t="str">
        <f>IF($E50="","",IF(INDEX(E_SourceStreams!$A:$N,CT50,O$7)="","",INDEX(E_SourceStreams!$A:$N,CT50,O$7)))</f>
        <v/>
      </c>
      <c r="P50" s="703" t="str">
        <f>IF($E50="","",IF(INDEX(E_SourceStreams!$A:$N,CU50,P$7)="","",INDEX(E_SourceStreams!$A:$N,CU50,P$7)))</f>
        <v/>
      </c>
      <c r="Q50" s="703" t="str">
        <f>IF($E50="","",IF(INDEX(E_SourceStreams!$A:$N,CV50,Q$7)="","",INDEX(E_SourceStreams!$A:$N,CV50,Q$7)))</f>
        <v/>
      </c>
      <c r="R50" s="703" t="str">
        <f>IF($E50="","",IF(INDEX(E_SourceStreams!$A:$N,CW50,R$7)="","",INDEX(E_SourceStreams!$A:$N,CW50,R$7)))</f>
        <v/>
      </c>
      <c r="S50" s="703" t="str">
        <f>IF($E50="","",IF(INDEX(E_SourceStreams!$A:$N,CX50,S$7)="","",INDEX(E_SourceStreams!$A:$N,CX50,S$7)))</f>
        <v/>
      </c>
      <c r="T50" s="703" t="str">
        <f>IF($E50="","",IF(INDEX(E_SourceStreams!$A:$N,CY50,T$7)="","",INDEX(E_SourceStreams!$A:$N,CY50,T$7)))</f>
        <v/>
      </c>
      <c r="U50" s="703" t="str">
        <f>IF($E50="","",IF(INDEX(E_SourceStreams!$A:$N,CZ50,U$7)="","",INDEX(E_SourceStreams!$A:$N,CZ50,U$7)))</f>
        <v/>
      </c>
      <c r="V50" s="703" t="str">
        <f>IF($E50="","",IF(INDEX(E_SourceStreams!$A:$N,DA50,V$7)="","",INDEX(E_SourceStreams!$A:$N,DA50,V$7)))</f>
        <v/>
      </c>
      <c r="W50" s="704" t="str">
        <f>IF($E50="","",IF(INDEX(E_SourceStreams!$A:$N,DB50,W$7)="","",INDEX(E_SourceStreams!$A:$N,DB50,W$7)))</f>
        <v/>
      </c>
      <c r="X50" s="703" t="str">
        <f>IF($E50="","",IF(INDEX(E_SourceStreams!$A:$N,DC50,X$7)="","",INDEX(E_SourceStreams!$A:$N,DC50,X$7)))</f>
        <v/>
      </c>
      <c r="Y50" s="703" t="str">
        <f>IF($E50="","",IF(INDEX(E_SourceStreams!$A:$N,DD50,Y$7)="","",INDEX(E_SourceStreams!$A:$N,DD50,Y$7)))</f>
        <v/>
      </c>
      <c r="Z50" s="703" t="str">
        <f>IF($E50="","",IF(INDEX(E_SourceStreams!$A:$N,DE50,Z$7)="","",INDEX(E_SourceStreams!$A:$N,DE50,Z$7)))</f>
        <v/>
      </c>
      <c r="AA50" s="703" t="str">
        <f>IF($E50="","",IF(INDEX(E_SourceStreams!$A:$N,DF50,AA$7)="","",INDEX(E_SourceStreams!$A:$N,DF50,AA$7)))</f>
        <v/>
      </c>
      <c r="AB50" s="703" t="str">
        <f>IF($E50="","",IF(INDEX(E_SourceStreams!$A:$N,DG50,AB$7)="","",INDEX(E_SourceStreams!$A:$N,DG50,AB$7)))</f>
        <v/>
      </c>
      <c r="AC50" s="703" t="str">
        <f>IF($E50="","",IF(INDEX(E_SourceStreams!$A:$N,DH50,AC$7)="","",INDEX(E_SourceStreams!$A:$N,DH50,AC$7)))</f>
        <v/>
      </c>
      <c r="AD50" s="703" t="str">
        <f>IF($E50="","",IF(INDEX(E_SourceStreams!$A:$N,DI50,AD$7)="","",INDEX(E_SourceStreams!$A:$N,DI50,AD$7)))</f>
        <v/>
      </c>
      <c r="AE50" s="703" t="str">
        <f>IF($E50="","",IF(INDEX(E_SourceStreams!$A:$N,DJ50,AE$7)="","",INDEX(E_SourceStreams!$A:$N,DJ50,AE$7)))</f>
        <v/>
      </c>
      <c r="AF50" s="703" t="str">
        <f>IF($E50="","",IF(INDEX(E_SourceStreams!$A:$N,DK50,AF$7)="","",INDEX(E_SourceStreams!$A:$N,DK50,AF$7)))</f>
        <v/>
      </c>
      <c r="AG50" s="703" t="str">
        <f>IF($E50="","",IF(INDEX(E_SourceStreams!$A:$N,DL50,AG$7)="","",INDEX(E_SourceStreams!$A:$N,DL50,AG$7)))</f>
        <v/>
      </c>
      <c r="AH50" s="703" t="str">
        <f>IF($E50="","",IF(INDEX(E_SourceStreams!$A:$N,DM50,AH$7)="","",INDEX(E_SourceStreams!$A:$N,DM50,AH$7)))</f>
        <v/>
      </c>
      <c r="AI50" s="703" t="str">
        <f>IF($E50="","",IF(INDEX(E_SourceStreams!$A:$N,DN50,AI$7)="","",INDEX(E_SourceStreams!$A:$N,DN50,AI$7)))</f>
        <v/>
      </c>
      <c r="AJ50" s="703" t="str">
        <f>IF($E50="","",IF(INDEX(E_SourceStreams!$A:$N,DO50,AJ$7)="","",INDEX(E_SourceStreams!$A:$N,DO50,AJ$7)))</f>
        <v/>
      </c>
      <c r="AK50" s="703" t="str">
        <f>IF($E50="","",IF(INDEX(E_SourceStreams!$A:$N,DP50,AK$7)="","",INDEX(E_SourceStreams!$A:$N,DP50,AK$7)))</f>
        <v/>
      </c>
      <c r="AL50" s="703" t="str">
        <f>IF($E50="","",IF(INDEX(E_SourceStreams!$A:$N,DQ50,AL$7)="","",INDEX(E_SourceStreams!$A:$N,DQ50,AL$7)))</f>
        <v/>
      </c>
      <c r="AM50" s="703" t="str">
        <f>IF($E50="","",IF(INDEX(E_SourceStreams!$A:$N,DR50,AM$7)="","",INDEX(E_SourceStreams!$A:$N,DR50,AM$7)))</f>
        <v/>
      </c>
      <c r="AN50" s="703" t="str">
        <f>IF($E50="","",IF(INDEX(E_SourceStreams!$A:$N,DS50,AN$7)="","",INDEX(E_SourceStreams!$A:$N,DS50,AN$7)))</f>
        <v/>
      </c>
      <c r="AO50" s="703" t="str">
        <f>IF($E50="","",IF(INDEX(E_SourceStreams!$A:$N,DT50,AO$7)="","",INDEX(E_SourceStreams!$A:$N,DT50,AO$7)))</f>
        <v/>
      </c>
      <c r="AP50" s="703" t="str">
        <f>IF($E50="","",IF(INDEX(E_SourceStreams!$A:$N,DU50,AP$7)="","",INDEX(E_SourceStreams!$A:$N,DU50,AP$7)))</f>
        <v/>
      </c>
      <c r="AQ50" s="703" t="str">
        <f>IF($E50="","",IF(INDEX(E_SourceStreams!$A:$N,DV50,AQ$7)="","",INDEX(E_SourceStreams!$A:$N,DV50,AQ$7)))</f>
        <v/>
      </c>
      <c r="AR50" s="703" t="str">
        <f>IF($E50="","",IF(INDEX(E_SourceStreams!$A:$N,DW50,AR$7)="","",INDEX(E_SourceStreams!$A:$N,DW50,AR$7)))</f>
        <v/>
      </c>
      <c r="AS50" s="703" t="str">
        <f>IF($E50="","",IF(INDEX(E_SourceStreams!$A:$N,DX50,AS$7)="","",INDEX(E_SourceStreams!$A:$N,DX50,AS$7)))</f>
        <v/>
      </c>
      <c r="AT50" s="703" t="str">
        <f>IF($E50="","",IF(INDEX(E_SourceStreams!$A:$N,DY50,AT$7)="","",INDEX(E_SourceStreams!$A:$N,DY50,AT$7)))</f>
        <v/>
      </c>
      <c r="AU50" s="703" t="str">
        <f>IF($E50="","",IF(INDEX(E_SourceStreams!$A:$N,DZ50,AU$7)="","",INDEX(E_SourceStreams!$A:$N,DZ50,AU$7)))</f>
        <v/>
      </c>
      <c r="AV50" s="703" t="str">
        <f>IF($E50="","",IF(INDEX(E_SourceStreams!$A:$N,EA50,AV$7)="","",INDEX(E_SourceStreams!$A:$N,EA50,AV$7)))</f>
        <v/>
      </c>
      <c r="AW50" s="703" t="str">
        <f>IF($E50="","",IF(INDEX(E_SourceStreams!$A:$N,EB50,AW$7)="","",INDEX(E_SourceStreams!$A:$N,EB50,AW$7)))</f>
        <v/>
      </c>
      <c r="AX50" s="703" t="str">
        <f>IF($E50="","",IF(INDEX(E_SourceStreams!$A:$N,EC50,AX$7)="","",INDEX(E_SourceStreams!$A:$N,EC50,AX$7)))</f>
        <v/>
      </c>
      <c r="AY50" s="703" t="str">
        <f>IF($E50="","",IF(INDEX(E_SourceStreams!$A:$N,ED50,AY$7)="","",INDEX(E_SourceStreams!$A:$N,ED50,AY$7)))</f>
        <v/>
      </c>
      <c r="AZ50" s="703" t="str">
        <f>IF($E50="","",IF(INDEX(E_SourceStreams!$A:$N,EE50,AZ$7)="","",INDEX(E_SourceStreams!$A:$N,EE50,AZ$7)))</f>
        <v/>
      </c>
      <c r="BA50" s="703" t="str">
        <f>IF($E50="","",IF(INDEX(E_SourceStreams!$A:$N,EF50,BA$7)="","",INDEX(E_SourceStreams!$A:$N,EF50,BA$7)))</f>
        <v/>
      </c>
      <c r="BB50" s="703" t="str">
        <f>IF($E50="","",IF(INDEX(E_SourceStreams!$A:$N,EG50,BB$7)="","",INDEX(E_SourceStreams!$A:$N,EG50,BB$7)))</f>
        <v/>
      </c>
      <c r="BC50" s="703" t="str">
        <f>IF($E50="","",IF(INDEX(E_SourceStreams!$A:$N,EH50,BC$7)="","",INDEX(E_SourceStreams!$A:$N,EH50,BC$7)))</f>
        <v/>
      </c>
      <c r="BD50" s="703" t="str">
        <f>IF($E50="","",IF(INDEX(E_SourceStreams!$A:$N,EI50,BD$7)="","",INDEX(E_SourceStreams!$A:$N,EI50,BD$7)))</f>
        <v/>
      </c>
      <c r="BE50" s="703" t="str">
        <f>IF($E50="","",IF(INDEX(E_SourceStreams!$A:$N,EJ50,BE$7)="","",INDEX(E_SourceStreams!$A:$N,EJ50,BE$7)))</f>
        <v/>
      </c>
      <c r="BF50" s="703" t="str">
        <f>IF($E50="","",IF(INDEX(E_SourceStreams!$A:$N,EK50,BF$7)="","",INDEX(E_SourceStreams!$A:$N,EK50,BF$7)))</f>
        <v/>
      </c>
      <c r="BG50" s="703" t="str">
        <f>IF($E50="","",IF(INDEX(E_SourceStreams!$A:$N,EL50,BG$7)="","",INDEX(E_SourceStreams!$A:$N,EL50,BG$7)))</f>
        <v/>
      </c>
      <c r="BH50" s="703" t="str">
        <f>IF($E50="","",IF(INDEX(E_SourceStreams!$A:$N,EM50,BH$7)="","",INDEX(E_SourceStreams!$A:$N,EM50,BH$7)))</f>
        <v/>
      </c>
      <c r="BI50" s="703" t="str">
        <f>IF($E50="","",IF(INDEX(E_SourceStreams!$A:$N,EN50,BI$7)="","",INDEX(E_SourceStreams!$A:$N,EN50,BI$7)))</f>
        <v/>
      </c>
      <c r="BJ50" s="703" t="str">
        <f>IF($E50="","",IF(INDEX(E_SourceStreams!$A:$N,EO50,BJ$7)="","",INDEX(E_SourceStreams!$A:$N,EO50,BJ$7)))</f>
        <v/>
      </c>
      <c r="BK50" s="703" t="str">
        <f>IF($E50="","",IF(INDEX(E_SourceStreams!$A:$N,EP50,BK$7)="","",INDEX(E_SourceStreams!$A:$N,EP50,BK$7)))</f>
        <v/>
      </c>
      <c r="BL50" s="703" t="str">
        <f>IF($E50="","",IF(INDEX(E_SourceStreams!$A:$N,EQ50,BL$7)="","",INDEX(E_SourceStreams!$A:$N,EQ50,BL$7)))</f>
        <v/>
      </c>
      <c r="BM50" s="703" t="str">
        <f>IF($E50="","",IF(INDEX(E_SourceStreams!$A:$N,ER50,BM$7)="","",INDEX(E_SourceStreams!$A:$N,ER50,BM$7)))</f>
        <v/>
      </c>
      <c r="BN50" s="703" t="str">
        <f>IF($E50="","",IF(INDEX(E_SourceStreams!$A:$N,ES50,BN$7)="","",INDEX(E_SourceStreams!$A:$N,ES50,BN$7)))</f>
        <v/>
      </c>
      <c r="BO50" s="703" t="str">
        <f>IF($E50="","",IF(INDEX(E_SourceStreams!$A:$N,ET50,BO$7)="","",INDEX(E_SourceStreams!$A:$N,ET50,BO$7)))</f>
        <v/>
      </c>
      <c r="BP50" s="703" t="str">
        <f>IF($E50="","",IF(INDEX(E_SourceStreams!$A:$N,EU50,BP$7)="","",INDEX(E_SourceStreams!$A:$N,EU50,BP$7)))</f>
        <v/>
      </c>
      <c r="BQ50" s="703" t="str">
        <f>IF($E50="","",IF(INDEX(E_SourceStreams!$A:$N,EV50,BQ$7)="","",INDEX(E_SourceStreams!$A:$N,EV50,BQ$7)))</f>
        <v/>
      </c>
      <c r="BR50" s="703" t="str">
        <f>IF($E50="","",IF(INDEX(E_SourceStreams!$A:$N,EW50,BR$7)="","",INDEX(E_SourceStreams!$A:$N,EW50,BR$7)))</f>
        <v/>
      </c>
      <c r="BS50" s="703" t="str">
        <f>IF($E50="","",IF(INDEX(E_SourceStreams!$A:$N,EX50,BS$7)="","",INDEX(E_SourceStreams!$A:$N,EX50,BS$7)))</f>
        <v/>
      </c>
      <c r="BT50" s="703" t="str">
        <f>IF($E50="","",IF(INDEX(E_SourceStreams!$A:$N,EY50,BT$7)="","",INDEX(E_SourceStreams!$A:$N,EY50,BT$7)))</f>
        <v/>
      </c>
      <c r="BU50" s="625"/>
      <c r="CJ50" s="679" t="str">
        <f t="shared" si="66"/>
        <v>SourceCategory_</v>
      </c>
      <c r="CK50" s="679" t="b">
        <f>INDEX(C_InstallationDescription!$A$226:$A$332,ROWS($CI$11:CI50))="ausblenden"</f>
        <v>0</v>
      </c>
      <c r="CL50" s="679" t="str">
        <f t="shared" si="67"/>
        <v>SourceStreamName_</v>
      </c>
      <c r="CN50" s="679">
        <f t="shared" si="65"/>
        <v>2709</v>
      </c>
      <c r="CO50" s="679">
        <f t="shared" si="2"/>
        <v>2711</v>
      </c>
      <c r="CP50" s="679">
        <f t="shared" si="3"/>
        <v>2713</v>
      </c>
      <c r="CQ50" s="679">
        <f t="shared" si="4"/>
        <v>2715</v>
      </c>
      <c r="CR50" s="679">
        <f t="shared" si="5"/>
        <v>2717</v>
      </c>
      <c r="CS50" s="679">
        <f t="shared" si="6"/>
        <v>2719</v>
      </c>
      <c r="CT50" s="679">
        <f t="shared" si="7"/>
        <v>2721</v>
      </c>
      <c r="CU50" s="679">
        <f t="shared" si="8"/>
        <v>2721</v>
      </c>
      <c r="CV50" s="679">
        <f t="shared" si="9"/>
        <v>2721</v>
      </c>
      <c r="CW50" s="679">
        <f t="shared" si="10"/>
        <v>2721</v>
      </c>
      <c r="CX50" s="679">
        <f t="shared" si="11"/>
        <v>2721</v>
      </c>
      <c r="CY50" s="679">
        <f t="shared" si="12"/>
        <v>2724</v>
      </c>
      <c r="CZ50" s="679">
        <f t="shared" si="13"/>
        <v>2728</v>
      </c>
      <c r="DA50" s="679">
        <f t="shared" si="14"/>
        <v>2729</v>
      </c>
      <c r="DB50" s="679">
        <f t="shared" si="15"/>
        <v>2730</v>
      </c>
      <c r="DC50" s="679">
        <f t="shared" si="16"/>
        <v>2737</v>
      </c>
      <c r="DD50" s="679">
        <f t="shared" si="17"/>
        <v>2747</v>
      </c>
      <c r="DE50" s="679">
        <f t="shared" si="18"/>
        <v>2747</v>
      </c>
      <c r="DF50" s="679">
        <f t="shared" si="19"/>
        <v>2747</v>
      </c>
      <c r="DG50" s="679">
        <f t="shared" si="20"/>
        <v>2747</v>
      </c>
      <c r="DH50" s="679">
        <f t="shared" si="21"/>
        <v>2747</v>
      </c>
      <c r="DI50" s="679">
        <f t="shared" si="22"/>
        <v>2747</v>
      </c>
      <c r="DJ50" s="679">
        <f t="shared" si="23"/>
        <v>2747</v>
      </c>
      <c r="DK50" s="679">
        <f t="shared" si="24"/>
        <v>2738</v>
      </c>
      <c r="DL50" s="679">
        <f t="shared" si="25"/>
        <v>2748</v>
      </c>
      <c r="DM50" s="679">
        <f t="shared" si="26"/>
        <v>2748</v>
      </c>
      <c r="DN50" s="679">
        <f t="shared" si="27"/>
        <v>2748</v>
      </c>
      <c r="DO50" s="679">
        <f t="shared" si="28"/>
        <v>2748</v>
      </c>
      <c r="DP50" s="679">
        <f t="shared" si="29"/>
        <v>2748</v>
      </c>
      <c r="DQ50" s="679">
        <f t="shared" si="30"/>
        <v>2748</v>
      </c>
      <c r="DR50" s="679">
        <f t="shared" si="31"/>
        <v>2748</v>
      </c>
      <c r="DS50" s="679">
        <f t="shared" si="32"/>
        <v>2739</v>
      </c>
      <c r="DT50" s="679">
        <f t="shared" si="33"/>
        <v>2749</v>
      </c>
      <c r="DU50" s="679">
        <f t="shared" si="34"/>
        <v>2749</v>
      </c>
      <c r="DV50" s="679">
        <f t="shared" si="35"/>
        <v>2749</v>
      </c>
      <c r="DW50" s="679">
        <f t="shared" si="36"/>
        <v>2749</v>
      </c>
      <c r="DX50" s="679">
        <f t="shared" si="37"/>
        <v>2749</v>
      </c>
      <c r="DY50" s="679">
        <f t="shared" si="38"/>
        <v>2749</v>
      </c>
      <c r="DZ50" s="679">
        <f t="shared" si="39"/>
        <v>2749</v>
      </c>
      <c r="EA50" s="679">
        <f t="shared" si="40"/>
        <v>2740</v>
      </c>
      <c r="EB50" s="679">
        <f t="shared" si="41"/>
        <v>2750</v>
      </c>
      <c r="EC50" s="679">
        <f t="shared" si="42"/>
        <v>2750</v>
      </c>
      <c r="ED50" s="679">
        <f t="shared" si="43"/>
        <v>2750</v>
      </c>
      <c r="EE50" s="679">
        <f t="shared" si="44"/>
        <v>2750</v>
      </c>
      <c r="EF50" s="679">
        <f t="shared" si="45"/>
        <v>2750</v>
      </c>
      <c r="EG50" s="679">
        <f t="shared" si="46"/>
        <v>2750</v>
      </c>
      <c r="EH50" s="679">
        <f t="shared" si="47"/>
        <v>2750</v>
      </c>
      <c r="EI50" s="679">
        <f t="shared" si="48"/>
        <v>2741</v>
      </c>
      <c r="EJ50" s="679">
        <f t="shared" si="49"/>
        <v>2751</v>
      </c>
      <c r="EK50" s="679">
        <f t="shared" si="50"/>
        <v>2751</v>
      </c>
      <c r="EL50" s="679">
        <f t="shared" si="51"/>
        <v>2751</v>
      </c>
      <c r="EM50" s="679">
        <f t="shared" si="52"/>
        <v>2751</v>
      </c>
      <c r="EN50" s="679">
        <f t="shared" si="53"/>
        <v>2751</v>
      </c>
      <c r="EO50" s="679">
        <f t="shared" si="54"/>
        <v>2751</v>
      </c>
      <c r="EP50" s="679">
        <f t="shared" si="55"/>
        <v>2751</v>
      </c>
      <c r="EQ50" s="679">
        <f t="shared" si="56"/>
        <v>2742</v>
      </c>
      <c r="ER50" s="679">
        <f t="shared" si="57"/>
        <v>2752</v>
      </c>
      <c r="ES50" s="679">
        <f t="shared" si="58"/>
        <v>2752</v>
      </c>
      <c r="ET50" s="679">
        <f t="shared" si="59"/>
        <v>2752</v>
      </c>
      <c r="EU50" s="679">
        <f t="shared" si="60"/>
        <v>2752</v>
      </c>
      <c r="EV50" s="679">
        <f t="shared" si="61"/>
        <v>2752</v>
      </c>
      <c r="EW50" s="679">
        <f t="shared" si="62"/>
        <v>2752</v>
      </c>
      <c r="EX50" s="679">
        <f t="shared" si="63"/>
        <v>2752</v>
      </c>
      <c r="EY50" s="679">
        <f t="shared" si="64"/>
        <v>2758</v>
      </c>
    </row>
    <row r="51" spans="2:155" ht="12.75" customHeight="1" x14ac:dyDescent="0.2">
      <c r="B51" s="700" t="str">
        <f>IF(COUNTIF($CK$10:CK51,TRUE)&gt;0,"",INDEX(C_InstallationDescription!$E$226:$E$242,ROWS($A$11:A51)))</f>
        <v/>
      </c>
      <c r="C51" s="581" t="str">
        <f>IF($E51="","",INDEX(C_InstallationDescription!F:F,MATCH($B51,C_InstallationDescription!$E:$E,0)))</f>
        <v/>
      </c>
      <c r="D51" s="581" t="str">
        <f>IF($E51="","",INDEX(C_InstallationDescription!I:I,MATCH($B51,C_InstallationDescription!$E:$E,0)))</f>
        <v/>
      </c>
      <c r="E51" s="581" t="str">
        <f>IF($B51="","",INDEX(C_InstallationDescription!F:F,MATCH($CJ51,C_InstallationDescription!$Q:$Q,0)))</f>
        <v/>
      </c>
      <c r="F51" s="706" t="str">
        <f>IF($E51="","",INDEX(C_InstallationDescription!L:L,MATCH($CJ51,C_InstallationDescription!$Q:$Q,0)))</f>
        <v/>
      </c>
      <c r="G51" s="581" t="str">
        <f>IF($E51="","",INDEX(C_InstallationDescription!M:M,MATCH($CJ51,C_InstallationDescription!$Q:$Q,0)))</f>
        <v/>
      </c>
      <c r="H51" s="581" t="str">
        <f>IF($E51="","",INDEX(C_InstallationDescription!N:N,MATCH($CJ51,C_InstallationDescription!$Q:$Q,0)))</f>
        <v/>
      </c>
      <c r="I51" s="703" t="str">
        <f>IF($E51="","",IF(INDEX(E_SourceStreams!$A:$N,CN51,I$7)="","",INDEX(E_SourceStreams!$A:$N,CN51,I$7)))</f>
        <v/>
      </c>
      <c r="J51" s="703" t="str">
        <f>IF($E51="","",IF(INDEX(E_SourceStreams!$A:$N,CO51,J$7)="","",INDEX(E_SourceStreams!$A:$N,CO51,J$7)))</f>
        <v/>
      </c>
      <c r="K51" s="703" t="str">
        <f>IF($E51="","",IF(INDEX(E_SourceStreams!$A:$N,CP51,K$7)="","",INDEX(E_SourceStreams!$A:$N,CP51,K$7)))</f>
        <v/>
      </c>
      <c r="L51" s="703" t="str">
        <f>IF($E51="","",IF(INDEX(E_SourceStreams!$A:$N,CQ51,L$7)="","",INDEX(E_SourceStreams!$A:$N,CQ51,L$7)))</f>
        <v/>
      </c>
      <c r="M51" s="703" t="str">
        <f>IF($E51="","",IF(INDEX(E_SourceStreams!$A:$N,CR51,M$7)="","",INDEX(E_SourceStreams!$A:$N,CR51,M$7)))</f>
        <v/>
      </c>
      <c r="N51" s="703" t="str">
        <f>IF($E51="","",IF(INDEX(E_SourceStreams!$A:$N,CS51,N$7)="","",INDEX(E_SourceStreams!$A:$N,CS51,N$7)))</f>
        <v/>
      </c>
      <c r="O51" s="703" t="str">
        <f>IF($E51="","",IF(INDEX(E_SourceStreams!$A:$N,CT51,O$7)="","",INDEX(E_SourceStreams!$A:$N,CT51,O$7)))</f>
        <v/>
      </c>
      <c r="P51" s="703" t="str">
        <f>IF($E51="","",IF(INDEX(E_SourceStreams!$A:$N,CU51,P$7)="","",INDEX(E_SourceStreams!$A:$N,CU51,P$7)))</f>
        <v/>
      </c>
      <c r="Q51" s="703" t="str">
        <f>IF($E51="","",IF(INDEX(E_SourceStreams!$A:$N,CV51,Q$7)="","",INDEX(E_SourceStreams!$A:$N,CV51,Q$7)))</f>
        <v/>
      </c>
      <c r="R51" s="703" t="str">
        <f>IF($E51="","",IF(INDEX(E_SourceStreams!$A:$N,CW51,R$7)="","",INDEX(E_SourceStreams!$A:$N,CW51,R$7)))</f>
        <v/>
      </c>
      <c r="S51" s="703" t="str">
        <f>IF($E51="","",IF(INDEX(E_SourceStreams!$A:$N,CX51,S$7)="","",INDEX(E_SourceStreams!$A:$N,CX51,S$7)))</f>
        <v/>
      </c>
      <c r="T51" s="703" t="str">
        <f>IF($E51="","",IF(INDEX(E_SourceStreams!$A:$N,CY51,T$7)="","",INDEX(E_SourceStreams!$A:$N,CY51,T$7)))</f>
        <v/>
      </c>
      <c r="U51" s="703" t="str">
        <f>IF($E51="","",IF(INDEX(E_SourceStreams!$A:$N,CZ51,U$7)="","",INDEX(E_SourceStreams!$A:$N,CZ51,U$7)))</f>
        <v/>
      </c>
      <c r="V51" s="703" t="str">
        <f>IF($E51="","",IF(INDEX(E_SourceStreams!$A:$N,DA51,V$7)="","",INDEX(E_SourceStreams!$A:$N,DA51,V$7)))</f>
        <v/>
      </c>
      <c r="W51" s="704" t="str">
        <f>IF($E51="","",IF(INDEX(E_SourceStreams!$A:$N,DB51,W$7)="","",INDEX(E_SourceStreams!$A:$N,DB51,W$7)))</f>
        <v/>
      </c>
      <c r="X51" s="703" t="str">
        <f>IF($E51="","",IF(INDEX(E_SourceStreams!$A:$N,DC51,X$7)="","",INDEX(E_SourceStreams!$A:$N,DC51,X$7)))</f>
        <v/>
      </c>
      <c r="Y51" s="703" t="str">
        <f>IF($E51="","",IF(INDEX(E_SourceStreams!$A:$N,DD51,Y$7)="","",INDEX(E_SourceStreams!$A:$N,DD51,Y$7)))</f>
        <v/>
      </c>
      <c r="Z51" s="703" t="str">
        <f>IF($E51="","",IF(INDEX(E_SourceStreams!$A:$N,DE51,Z$7)="","",INDEX(E_SourceStreams!$A:$N,DE51,Z$7)))</f>
        <v/>
      </c>
      <c r="AA51" s="703" t="str">
        <f>IF($E51="","",IF(INDEX(E_SourceStreams!$A:$N,DF51,AA$7)="","",INDEX(E_SourceStreams!$A:$N,DF51,AA$7)))</f>
        <v/>
      </c>
      <c r="AB51" s="703" t="str">
        <f>IF($E51="","",IF(INDEX(E_SourceStreams!$A:$N,DG51,AB$7)="","",INDEX(E_SourceStreams!$A:$N,DG51,AB$7)))</f>
        <v/>
      </c>
      <c r="AC51" s="703" t="str">
        <f>IF($E51="","",IF(INDEX(E_SourceStreams!$A:$N,DH51,AC$7)="","",INDEX(E_SourceStreams!$A:$N,DH51,AC$7)))</f>
        <v/>
      </c>
      <c r="AD51" s="703" t="str">
        <f>IF($E51="","",IF(INDEX(E_SourceStreams!$A:$N,DI51,AD$7)="","",INDEX(E_SourceStreams!$A:$N,DI51,AD$7)))</f>
        <v/>
      </c>
      <c r="AE51" s="703" t="str">
        <f>IF($E51="","",IF(INDEX(E_SourceStreams!$A:$N,DJ51,AE$7)="","",INDEX(E_SourceStreams!$A:$N,DJ51,AE$7)))</f>
        <v/>
      </c>
      <c r="AF51" s="703" t="str">
        <f>IF($E51="","",IF(INDEX(E_SourceStreams!$A:$N,DK51,AF$7)="","",INDEX(E_SourceStreams!$A:$N,DK51,AF$7)))</f>
        <v/>
      </c>
      <c r="AG51" s="703" t="str">
        <f>IF($E51="","",IF(INDEX(E_SourceStreams!$A:$N,DL51,AG$7)="","",INDEX(E_SourceStreams!$A:$N,DL51,AG$7)))</f>
        <v/>
      </c>
      <c r="AH51" s="703" t="str">
        <f>IF($E51="","",IF(INDEX(E_SourceStreams!$A:$N,DM51,AH$7)="","",INDEX(E_SourceStreams!$A:$N,DM51,AH$7)))</f>
        <v/>
      </c>
      <c r="AI51" s="703" t="str">
        <f>IF($E51="","",IF(INDEX(E_SourceStreams!$A:$N,DN51,AI$7)="","",INDEX(E_SourceStreams!$A:$N,DN51,AI$7)))</f>
        <v/>
      </c>
      <c r="AJ51" s="703" t="str">
        <f>IF($E51="","",IF(INDEX(E_SourceStreams!$A:$N,DO51,AJ$7)="","",INDEX(E_SourceStreams!$A:$N,DO51,AJ$7)))</f>
        <v/>
      </c>
      <c r="AK51" s="703" t="str">
        <f>IF($E51="","",IF(INDEX(E_SourceStreams!$A:$N,DP51,AK$7)="","",INDEX(E_SourceStreams!$A:$N,DP51,AK$7)))</f>
        <v/>
      </c>
      <c r="AL51" s="703" t="str">
        <f>IF($E51="","",IF(INDEX(E_SourceStreams!$A:$N,DQ51,AL$7)="","",INDEX(E_SourceStreams!$A:$N,DQ51,AL$7)))</f>
        <v/>
      </c>
      <c r="AM51" s="703" t="str">
        <f>IF($E51="","",IF(INDEX(E_SourceStreams!$A:$N,DR51,AM$7)="","",INDEX(E_SourceStreams!$A:$N,DR51,AM$7)))</f>
        <v/>
      </c>
      <c r="AN51" s="703" t="str">
        <f>IF($E51="","",IF(INDEX(E_SourceStreams!$A:$N,DS51,AN$7)="","",INDEX(E_SourceStreams!$A:$N,DS51,AN$7)))</f>
        <v/>
      </c>
      <c r="AO51" s="703" t="str">
        <f>IF($E51="","",IF(INDEX(E_SourceStreams!$A:$N,DT51,AO$7)="","",INDEX(E_SourceStreams!$A:$N,DT51,AO$7)))</f>
        <v/>
      </c>
      <c r="AP51" s="703" t="str">
        <f>IF($E51="","",IF(INDEX(E_SourceStreams!$A:$N,DU51,AP$7)="","",INDEX(E_SourceStreams!$A:$N,DU51,AP$7)))</f>
        <v/>
      </c>
      <c r="AQ51" s="703" t="str">
        <f>IF($E51="","",IF(INDEX(E_SourceStreams!$A:$N,DV51,AQ$7)="","",INDEX(E_SourceStreams!$A:$N,DV51,AQ$7)))</f>
        <v/>
      </c>
      <c r="AR51" s="703" t="str">
        <f>IF($E51="","",IF(INDEX(E_SourceStreams!$A:$N,DW51,AR$7)="","",INDEX(E_SourceStreams!$A:$N,DW51,AR$7)))</f>
        <v/>
      </c>
      <c r="AS51" s="703" t="str">
        <f>IF($E51="","",IF(INDEX(E_SourceStreams!$A:$N,DX51,AS$7)="","",INDEX(E_SourceStreams!$A:$N,DX51,AS$7)))</f>
        <v/>
      </c>
      <c r="AT51" s="703" t="str">
        <f>IF($E51="","",IF(INDEX(E_SourceStreams!$A:$N,DY51,AT$7)="","",INDEX(E_SourceStreams!$A:$N,DY51,AT$7)))</f>
        <v/>
      </c>
      <c r="AU51" s="703" t="str">
        <f>IF($E51="","",IF(INDEX(E_SourceStreams!$A:$N,DZ51,AU$7)="","",INDEX(E_SourceStreams!$A:$N,DZ51,AU$7)))</f>
        <v/>
      </c>
      <c r="AV51" s="703" t="str">
        <f>IF($E51="","",IF(INDEX(E_SourceStreams!$A:$N,EA51,AV$7)="","",INDEX(E_SourceStreams!$A:$N,EA51,AV$7)))</f>
        <v/>
      </c>
      <c r="AW51" s="703" t="str">
        <f>IF($E51="","",IF(INDEX(E_SourceStreams!$A:$N,EB51,AW$7)="","",INDEX(E_SourceStreams!$A:$N,EB51,AW$7)))</f>
        <v/>
      </c>
      <c r="AX51" s="703" t="str">
        <f>IF($E51="","",IF(INDEX(E_SourceStreams!$A:$N,EC51,AX$7)="","",INDEX(E_SourceStreams!$A:$N,EC51,AX$7)))</f>
        <v/>
      </c>
      <c r="AY51" s="703" t="str">
        <f>IF($E51="","",IF(INDEX(E_SourceStreams!$A:$N,ED51,AY$7)="","",INDEX(E_SourceStreams!$A:$N,ED51,AY$7)))</f>
        <v/>
      </c>
      <c r="AZ51" s="703" t="str">
        <f>IF($E51="","",IF(INDEX(E_SourceStreams!$A:$N,EE51,AZ$7)="","",INDEX(E_SourceStreams!$A:$N,EE51,AZ$7)))</f>
        <v/>
      </c>
      <c r="BA51" s="703" t="str">
        <f>IF($E51="","",IF(INDEX(E_SourceStreams!$A:$N,EF51,BA$7)="","",INDEX(E_SourceStreams!$A:$N,EF51,BA$7)))</f>
        <v/>
      </c>
      <c r="BB51" s="703" t="str">
        <f>IF($E51="","",IF(INDEX(E_SourceStreams!$A:$N,EG51,BB$7)="","",INDEX(E_SourceStreams!$A:$N,EG51,BB$7)))</f>
        <v/>
      </c>
      <c r="BC51" s="703" t="str">
        <f>IF($E51="","",IF(INDEX(E_SourceStreams!$A:$N,EH51,BC$7)="","",INDEX(E_SourceStreams!$A:$N,EH51,BC$7)))</f>
        <v/>
      </c>
      <c r="BD51" s="703" t="str">
        <f>IF($E51="","",IF(INDEX(E_SourceStreams!$A:$N,EI51,BD$7)="","",INDEX(E_SourceStreams!$A:$N,EI51,BD$7)))</f>
        <v/>
      </c>
      <c r="BE51" s="703" t="str">
        <f>IF($E51="","",IF(INDEX(E_SourceStreams!$A:$N,EJ51,BE$7)="","",INDEX(E_SourceStreams!$A:$N,EJ51,BE$7)))</f>
        <v/>
      </c>
      <c r="BF51" s="703" t="str">
        <f>IF($E51="","",IF(INDEX(E_SourceStreams!$A:$N,EK51,BF$7)="","",INDEX(E_SourceStreams!$A:$N,EK51,BF$7)))</f>
        <v/>
      </c>
      <c r="BG51" s="703" t="str">
        <f>IF($E51="","",IF(INDEX(E_SourceStreams!$A:$N,EL51,BG$7)="","",INDEX(E_SourceStreams!$A:$N,EL51,BG$7)))</f>
        <v/>
      </c>
      <c r="BH51" s="703" t="str">
        <f>IF($E51="","",IF(INDEX(E_SourceStreams!$A:$N,EM51,BH$7)="","",INDEX(E_SourceStreams!$A:$N,EM51,BH$7)))</f>
        <v/>
      </c>
      <c r="BI51" s="703" t="str">
        <f>IF($E51="","",IF(INDEX(E_SourceStreams!$A:$N,EN51,BI$7)="","",INDEX(E_SourceStreams!$A:$N,EN51,BI$7)))</f>
        <v/>
      </c>
      <c r="BJ51" s="703" t="str">
        <f>IF($E51="","",IF(INDEX(E_SourceStreams!$A:$N,EO51,BJ$7)="","",INDEX(E_SourceStreams!$A:$N,EO51,BJ$7)))</f>
        <v/>
      </c>
      <c r="BK51" s="703" t="str">
        <f>IF($E51="","",IF(INDEX(E_SourceStreams!$A:$N,EP51,BK$7)="","",INDEX(E_SourceStreams!$A:$N,EP51,BK$7)))</f>
        <v/>
      </c>
      <c r="BL51" s="703" t="str">
        <f>IF($E51="","",IF(INDEX(E_SourceStreams!$A:$N,EQ51,BL$7)="","",INDEX(E_SourceStreams!$A:$N,EQ51,BL$7)))</f>
        <v/>
      </c>
      <c r="BM51" s="703" t="str">
        <f>IF($E51="","",IF(INDEX(E_SourceStreams!$A:$N,ER51,BM$7)="","",INDEX(E_SourceStreams!$A:$N,ER51,BM$7)))</f>
        <v/>
      </c>
      <c r="BN51" s="703" t="str">
        <f>IF($E51="","",IF(INDEX(E_SourceStreams!$A:$N,ES51,BN$7)="","",INDEX(E_SourceStreams!$A:$N,ES51,BN$7)))</f>
        <v/>
      </c>
      <c r="BO51" s="703" t="str">
        <f>IF($E51="","",IF(INDEX(E_SourceStreams!$A:$N,ET51,BO$7)="","",INDEX(E_SourceStreams!$A:$N,ET51,BO$7)))</f>
        <v/>
      </c>
      <c r="BP51" s="703" t="str">
        <f>IF($E51="","",IF(INDEX(E_SourceStreams!$A:$N,EU51,BP$7)="","",INDEX(E_SourceStreams!$A:$N,EU51,BP$7)))</f>
        <v/>
      </c>
      <c r="BQ51" s="703" t="str">
        <f>IF($E51="","",IF(INDEX(E_SourceStreams!$A:$N,EV51,BQ$7)="","",INDEX(E_SourceStreams!$A:$N,EV51,BQ$7)))</f>
        <v/>
      </c>
      <c r="BR51" s="703" t="str">
        <f>IF($E51="","",IF(INDEX(E_SourceStreams!$A:$N,EW51,BR$7)="","",INDEX(E_SourceStreams!$A:$N,EW51,BR$7)))</f>
        <v/>
      </c>
      <c r="BS51" s="703" t="str">
        <f>IF($E51="","",IF(INDEX(E_SourceStreams!$A:$N,EX51,BS$7)="","",INDEX(E_SourceStreams!$A:$N,EX51,BS$7)))</f>
        <v/>
      </c>
      <c r="BT51" s="703" t="str">
        <f>IF($E51="","",IF(INDEX(E_SourceStreams!$A:$N,EY51,BT$7)="","",INDEX(E_SourceStreams!$A:$N,EY51,BT$7)))</f>
        <v/>
      </c>
      <c r="BU51" s="625"/>
      <c r="CJ51" s="679" t="str">
        <f t="shared" si="66"/>
        <v>SourceCategory_</v>
      </c>
      <c r="CK51" s="679" t="b">
        <f>INDEX(C_InstallationDescription!$A$226:$A$332,ROWS($CI$11:CI51))="ausblenden"</f>
        <v>0</v>
      </c>
      <c r="CL51" s="679" t="str">
        <f t="shared" si="67"/>
        <v>SourceStreamName_</v>
      </c>
      <c r="CN51" s="679">
        <f t="shared" si="65"/>
        <v>2775</v>
      </c>
      <c r="CO51" s="679">
        <f t="shared" si="2"/>
        <v>2777</v>
      </c>
      <c r="CP51" s="679">
        <f t="shared" si="3"/>
        <v>2779</v>
      </c>
      <c r="CQ51" s="679">
        <f t="shared" si="4"/>
        <v>2781</v>
      </c>
      <c r="CR51" s="679">
        <f t="shared" si="5"/>
        <v>2783</v>
      </c>
      <c r="CS51" s="679">
        <f t="shared" si="6"/>
        <v>2785</v>
      </c>
      <c r="CT51" s="679">
        <f t="shared" si="7"/>
        <v>2787</v>
      </c>
      <c r="CU51" s="679">
        <f t="shared" si="8"/>
        <v>2787</v>
      </c>
      <c r="CV51" s="679">
        <f t="shared" si="9"/>
        <v>2787</v>
      </c>
      <c r="CW51" s="679">
        <f t="shared" si="10"/>
        <v>2787</v>
      </c>
      <c r="CX51" s="679">
        <f t="shared" si="11"/>
        <v>2787</v>
      </c>
      <c r="CY51" s="679">
        <f t="shared" si="12"/>
        <v>2790</v>
      </c>
      <c r="CZ51" s="679">
        <f t="shared" si="13"/>
        <v>2794</v>
      </c>
      <c r="DA51" s="679">
        <f t="shared" si="14"/>
        <v>2795</v>
      </c>
      <c r="DB51" s="679">
        <f t="shared" si="15"/>
        <v>2796</v>
      </c>
      <c r="DC51" s="679">
        <f t="shared" si="16"/>
        <v>2803</v>
      </c>
      <c r="DD51" s="679">
        <f t="shared" si="17"/>
        <v>2813</v>
      </c>
      <c r="DE51" s="679">
        <f t="shared" si="18"/>
        <v>2813</v>
      </c>
      <c r="DF51" s="679">
        <f t="shared" si="19"/>
        <v>2813</v>
      </c>
      <c r="DG51" s="679">
        <f t="shared" si="20"/>
        <v>2813</v>
      </c>
      <c r="DH51" s="679">
        <f t="shared" si="21"/>
        <v>2813</v>
      </c>
      <c r="DI51" s="679">
        <f t="shared" si="22"/>
        <v>2813</v>
      </c>
      <c r="DJ51" s="679">
        <f t="shared" si="23"/>
        <v>2813</v>
      </c>
      <c r="DK51" s="679">
        <f t="shared" si="24"/>
        <v>2804</v>
      </c>
      <c r="DL51" s="679">
        <f t="shared" si="25"/>
        <v>2814</v>
      </c>
      <c r="DM51" s="679">
        <f t="shared" si="26"/>
        <v>2814</v>
      </c>
      <c r="DN51" s="679">
        <f t="shared" si="27"/>
        <v>2814</v>
      </c>
      <c r="DO51" s="679">
        <f t="shared" si="28"/>
        <v>2814</v>
      </c>
      <c r="DP51" s="679">
        <f t="shared" si="29"/>
        <v>2814</v>
      </c>
      <c r="DQ51" s="679">
        <f t="shared" si="30"/>
        <v>2814</v>
      </c>
      <c r="DR51" s="679">
        <f t="shared" si="31"/>
        <v>2814</v>
      </c>
      <c r="DS51" s="679">
        <f t="shared" si="32"/>
        <v>2805</v>
      </c>
      <c r="DT51" s="679">
        <f t="shared" si="33"/>
        <v>2815</v>
      </c>
      <c r="DU51" s="679">
        <f t="shared" si="34"/>
        <v>2815</v>
      </c>
      <c r="DV51" s="679">
        <f t="shared" si="35"/>
        <v>2815</v>
      </c>
      <c r="DW51" s="679">
        <f t="shared" si="36"/>
        <v>2815</v>
      </c>
      <c r="DX51" s="679">
        <f t="shared" si="37"/>
        <v>2815</v>
      </c>
      <c r="DY51" s="679">
        <f t="shared" si="38"/>
        <v>2815</v>
      </c>
      <c r="DZ51" s="679">
        <f t="shared" si="39"/>
        <v>2815</v>
      </c>
      <c r="EA51" s="679">
        <f t="shared" si="40"/>
        <v>2806</v>
      </c>
      <c r="EB51" s="679">
        <f t="shared" si="41"/>
        <v>2816</v>
      </c>
      <c r="EC51" s="679">
        <f t="shared" si="42"/>
        <v>2816</v>
      </c>
      <c r="ED51" s="679">
        <f t="shared" si="43"/>
        <v>2816</v>
      </c>
      <c r="EE51" s="679">
        <f t="shared" si="44"/>
        <v>2816</v>
      </c>
      <c r="EF51" s="679">
        <f t="shared" si="45"/>
        <v>2816</v>
      </c>
      <c r="EG51" s="679">
        <f t="shared" si="46"/>
        <v>2816</v>
      </c>
      <c r="EH51" s="679">
        <f t="shared" si="47"/>
        <v>2816</v>
      </c>
      <c r="EI51" s="679">
        <f t="shared" si="48"/>
        <v>2807</v>
      </c>
      <c r="EJ51" s="679">
        <f t="shared" si="49"/>
        <v>2817</v>
      </c>
      <c r="EK51" s="679">
        <f t="shared" si="50"/>
        <v>2817</v>
      </c>
      <c r="EL51" s="679">
        <f t="shared" si="51"/>
        <v>2817</v>
      </c>
      <c r="EM51" s="679">
        <f t="shared" si="52"/>
        <v>2817</v>
      </c>
      <c r="EN51" s="679">
        <f t="shared" si="53"/>
        <v>2817</v>
      </c>
      <c r="EO51" s="679">
        <f t="shared" si="54"/>
        <v>2817</v>
      </c>
      <c r="EP51" s="679">
        <f t="shared" si="55"/>
        <v>2817</v>
      </c>
      <c r="EQ51" s="679">
        <f t="shared" si="56"/>
        <v>2808</v>
      </c>
      <c r="ER51" s="679">
        <f t="shared" si="57"/>
        <v>2818</v>
      </c>
      <c r="ES51" s="679">
        <f t="shared" si="58"/>
        <v>2818</v>
      </c>
      <c r="ET51" s="679">
        <f t="shared" si="59"/>
        <v>2818</v>
      </c>
      <c r="EU51" s="679">
        <f t="shared" si="60"/>
        <v>2818</v>
      </c>
      <c r="EV51" s="679">
        <f t="shared" si="61"/>
        <v>2818</v>
      </c>
      <c r="EW51" s="679">
        <f t="shared" si="62"/>
        <v>2818</v>
      </c>
      <c r="EX51" s="679">
        <f t="shared" si="63"/>
        <v>2818</v>
      </c>
      <c r="EY51" s="679">
        <f t="shared" si="64"/>
        <v>2824</v>
      </c>
    </row>
    <row r="52" spans="2:155" ht="12.75" customHeight="1" x14ac:dyDescent="0.2">
      <c r="B52" s="700" t="str">
        <f>IF(COUNTIF($CK$10:CK52,TRUE)&gt;0,"",INDEX(C_InstallationDescription!$E$226:$E$242,ROWS($A$11:A52)))</f>
        <v/>
      </c>
      <c r="C52" s="581" t="str">
        <f>IF($E52="","",INDEX(C_InstallationDescription!F:F,MATCH($B52,C_InstallationDescription!$E:$E,0)))</f>
        <v/>
      </c>
      <c r="D52" s="581" t="str">
        <f>IF($E52="","",INDEX(C_InstallationDescription!I:I,MATCH($B52,C_InstallationDescription!$E:$E,0)))</f>
        <v/>
      </c>
      <c r="E52" s="581" t="str">
        <f>IF($B52="","",INDEX(C_InstallationDescription!F:F,MATCH($CJ52,C_InstallationDescription!$Q:$Q,0)))</f>
        <v/>
      </c>
      <c r="F52" s="706" t="str">
        <f>IF($E52="","",INDEX(C_InstallationDescription!L:L,MATCH($CJ52,C_InstallationDescription!$Q:$Q,0)))</f>
        <v/>
      </c>
      <c r="G52" s="581" t="str">
        <f>IF($E52="","",INDEX(C_InstallationDescription!M:M,MATCH($CJ52,C_InstallationDescription!$Q:$Q,0)))</f>
        <v/>
      </c>
      <c r="H52" s="581" t="str">
        <f>IF($E52="","",INDEX(C_InstallationDescription!N:N,MATCH($CJ52,C_InstallationDescription!$Q:$Q,0)))</f>
        <v/>
      </c>
      <c r="I52" s="703" t="str">
        <f>IF($E52="","",IF(INDEX(E_SourceStreams!$A:$N,CN52,I$7)="","",INDEX(E_SourceStreams!$A:$N,CN52,I$7)))</f>
        <v/>
      </c>
      <c r="J52" s="703" t="str">
        <f>IF($E52="","",IF(INDEX(E_SourceStreams!$A:$N,CO52,J$7)="","",INDEX(E_SourceStreams!$A:$N,CO52,J$7)))</f>
        <v/>
      </c>
      <c r="K52" s="703" t="str">
        <f>IF($E52="","",IF(INDEX(E_SourceStreams!$A:$N,CP52,K$7)="","",INDEX(E_SourceStreams!$A:$N,CP52,K$7)))</f>
        <v/>
      </c>
      <c r="L52" s="703" t="str">
        <f>IF($E52="","",IF(INDEX(E_SourceStreams!$A:$N,CQ52,L$7)="","",INDEX(E_SourceStreams!$A:$N,CQ52,L$7)))</f>
        <v/>
      </c>
      <c r="M52" s="703" t="str">
        <f>IF($E52="","",IF(INDEX(E_SourceStreams!$A:$N,CR52,M$7)="","",INDEX(E_SourceStreams!$A:$N,CR52,M$7)))</f>
        <v/>
      </c>
      <c r="N52" s="703" t="str">
        <f>IF($E52="","",IF(INDEX(E_SourceStreams!$A:$N,CS52,N$7)="","",INDEX(E_SourceStreams!$A:$N,CS52,N$7)))</f>
        <v/>
      </c>
      <c r="O52" s="703" t="str">
        <f>IF($E52="","",IF(INDEX(E_SourceStreams!$A:$N,CT52,O$7)="","",INDEX(E_SourceStreams!$A:$N,CT52,O$7)))</f>
        <v/>
      </c>
      <c r="P52" s="703" t="str">
        <f>IF($E52="","",IF(INDEX(E_SourceStreams!$A:$N,CU52,P$7)="","",INDEX(E_SourceStreams!$A:$N,CU52,P$7)))</f>
        <v/>
      </c>
      <c r="Q52" s="703" t="str">
        <f>IF($E52="","",IF(INDEX(E_SourceStreams!$A:$N,CV52,Q$7)="","",INDEX(E_SourceStreams!$A:$N,CV52,Q$7)))</f>
        <v/>
      </c>
      <c r="R52" s="703" t="str">
        <f>IF($E52="","",IF(INDEX(E_SourceStreams!$A:$N,CW52,R$7)="","",INDEX(E_SourceStreams!$A:$N,CW52,R$7)))</f>
        <v/>
      </c>
      <c r="S52" s="703" t="str">
        <f>IF($E52="","",IF(INDEX(E_SourceStreams!$A:$N,CX52,S$7)="","",INDEX(E_SourceStreams!$A:$N,CX52,S$7)))</f>
        <v/>
      </c>
      <c r="T52" s="703" t="str">
        <f>IF($E52="","",IF(INDEX(E_SourceStreams!$A:$N,CY52,T$7)="","",INDEX(E_SourceStreams!$A:$N,CY52,T$7)))</f>
        <v/>
      </c>
      <c r="U52" s="703" t="str">
        <f>IF($E52="","",IF(INDEX(E_SourceStreams!$A:$N,CZ52,U$7)="","",INDEX(E_SourceStreams!$A:$N,CZ52,U$7)))</f>
        <v/>
      </c>
      <c r="V52" s="703" t="str">
        <f>IF($E52="","",IF(INDEX(E_SourceStreams!$A:$N,DA52,V$7)="","",INDEX(E_SourceStreams!$A:$N,DA52,V$7)))</f>
        <v/>
      </c>
      <c r="W52" s="704" t="str">
        <f>IF($E52="","",IF(INDEX(E_SourceStreams!$A:$N,DB52,W$7)="","",INDEX(E_SourceStreams!$A:$N,DB52,W$7)))</f>
        <v/>
      </c>
      <c r="X52" s="703" t="str">
        <f>IF($E52="","",IF(INDEX(E_SourceStreams!$A:$N,DC52,X$7)="","",INDEX(E_SourceStreams!$A:$N,DC52,X$7)))</f>
        <v/>
      </c>
      <c r="Y52" s="703" t="str">
        <f>IF($E52="","",IF(INDEX(E_SourceStreams!$A:$N,DD52,Y$7)="","",INDEX(E_SourceStreams!$A:$N,DD52,Y$7)))</f>
        <v/>
      </c>
      <c r="Z52" s="703" t="str">
        <f>IF($E52="","",IF(INDEX(E_SourceStreams!$A:$N,DE52,Z$7)="","",INDEX(E_SourceStreams!$A:$N,DE52,Z$7)))</f>
        <v/>
      </c>
      <c r="AA52" s="703" t="str">
        <f>IF($E52="","",IF(INDEX(E_SourceStreams!$A:$N,DF52,AA$7)="","",INDEX(E_SourceStreams!$A:$N,DF52,AA$7)))</f>
        <v/>
      </c>
      <c r="AB52" s="703" t="str">
        <f>IF($E52="","",IF(INDEX(E_SourceStreams!$A:$N,DG52,AB$7)="","",INDEX(E_SourceStreams!$A:$N,DG52,AB$7)))</f>
        <v/>
      </c>
      <c r="AC52" s="703" t="str">
        <f>IF($E52="","",IF(INDEX(E_SourceStreams!$A:$N,DH52,AC$7)="","",INDEX(E_SourceStreams!$A:$N,DH52,AC$7)))</f>
        <v/>
      </c>
      <c r="AD52" s="703" t="str">
        <f>IF($E52="","",IF(INDEX(E_SourceStreams!$A:$N,DI52,AD$7)="","",INDEX(E_SourceStreams!$A:$N,DI52,AD$7)))</f>
        <v/>
      </c>
      <c r="AE52" s="703" t="str">
        <f>IF($E52="","",IF(INDEX(E_SourceStreams!$A:$N,DJ52,AE$7)="","",INDEX(E_SourceStreams!$A:$N,DJ52,AE$7)))</f>
        <v/>
      </c>
      <c r="AF52" s="703" t="str">
        <f>IF($E52="","",IF(INDEX(E_SourceStreams!$A:$N,DK52,AF$7)="","",INDEX(E_SourceStreams!$A:$N,DK52,AF$7)))</f>
        <v/>
      </c>
      <c r="AG52" s="703" t="str">
        <f>IF($E52="","",IF(INDEX(E_SourceStreams!$A:$N,DL52,AG$7)="","",INDEX(E_SourceStreams!$A:$N,DL52,AG$7)))</f>
        <v/>
      </c>
      <c r="AH52" s="703" t="str">
        <f>IF($E52="","",IF(INDEX(E_SourceStreams!$A:$N,DM52,AH$7)="","",INDEX(E_SourceStreams!$A:$N,DM52,AH$7)))</f>
        <v/>
      </c>
      <c r="AI52" s="703" t="str">
        <f>IF($E52="","",IF(INDEX(E_SourceStreams!$A:$N,DN52,AI$7)="","",INDEX(E_SourceStreams!$A:$N,DN52,AI$7)))</f>
        <v/>
      </c>
      <c r="AJ52" s="703" t="str">
        <f>IF($E52="","",IF(INDEX(E_SourceStreams!$A:$N,DO52,AJ$7)="","",INDEX(E_SourceStreams!$A:$N,DO52,AJ$7)))</f>
        <v/>
      </c>
      <c r="AK52" s="703" t="str">
        <f>IF($E52="","",IF(INDEX(E_SourceStreams!$A:$N,DP52,AK$7)="","",INDEX(E_SourceStreams!$A:$N,DP52,AK$7)))</f>
        <v/>
      </c>
      <c r="AL52" s="703" t="str">
        <f>IF($E52="","",IF(INDEX(E_SourceStreams!$A:$N,DQ52,AL$7)="","",INDEX(E_SourceStreams!$A:$N,DQ52,AL$7)))</f>
        <v/>
      </c>
      <c r="AM52" s="703" t="str">
        <f>IF($E52="","",IF(INDEX(E_SourceStreams!$A:$N,DR52,AM$7)="","",INDEX(E_SourceStreams!$A:$N,DR52,AM$7)))</f>
        <v/>
      </c>
      <c r="AN52" s="703" t="str">
        <f>IF($E52="","",IF(INDEX(E_SourceStreams!$A:$N,DS52,AN$7)="","",INDEX(E_SourceStreams!$A:$N,DS52,AN$7)))</f>
        <v/>
      </c>
      <c r="AO52" s="703" t="str">
        <f>IF($E52="","",IF(INDEX(E_SourceStreams!$A:$N,DT52,AO$7)="","",INDEX(E_SourceStreams!$A:$N,DT52,AO$7)))</f>
        <v/>
      </c>
      <c r="AP52" s="703" t="str">
        <f>IF($E52="","",IF(INDEX(E_SourceStreams!$A:$N,DU52,AP$7)="","",INDEX(E_SourceStreams!$A:$N,DU52,AP$7)))</f>
        <v/>
      </c>
      <c r="AQ52" s="703" t="str">
        <f>IF($E52="","",IF(INDEX(E_SourceStreams!$A:$N,DV52,AQ$7)="","",INDEX(E_SourceStreams!$A:$N,DV52,AQ$7)))</f>
        <v/>
      </c>
      <c r="AR52" s="703" t="str">
        <f>IF($E52="","",IF(INDEX(E_SourceStreams!$A:$N,DW52,AR$7)="","",INDEX(E_SourceStreams!$A:$N,DW52,AR$7)))</f>
        <v/>
      </c>
      <c r="AS52" s="703" t="str">
        <f>IF($E52="","",IF(INDEX(E_SourceStreams!$A:$N,DX52,AS$7)="","",INDEX(E_SourceStreams!$A:$N,DX52,AS$7)))</f>
        <v/>
      </c>
      <c r="AT52" s="703" t="str">
        <f>IF($E52="","",IF(INDEX(E_SourceStreams!$A:$N,DY52,AT$7)="","",INDEX(E_SourceStreams!$A:$N,DY52,AT$7)))</f>
        <v/>
      </c>
      <c r="AU52" s="703" t="str">
        <f>IF($E52="","",IF(INDEX(E_SourceStreams!$A:$N,DZ52,AU$7)="","",INDEX(E_SourceStreams!$A:$N,DZ52,AU$7)))</f>
        <v/>
      </c>
      <c r="AV52" s="703" t="str">
        <f>IF($E52="","",IF(INDEX(E_SourceStreams!$A:$N,EA52,AV$7)="","",INDEX(E_SourceStreams!$A:$N,EA52,AV$7)))</f>
        <v/>
      </c>
      <c r="AW52" s="703" t="str">
        <f>IF($E52="","",IF(INDEX(E_SourceStreams!$A:$N,EB52,AW$7)="","",INDEX(E_SourceStreams!$A:$N,EB52,AW$7)))</f>
        <v/>
      </c>
      <c r="AX52" s="703" t="str">
        <f>IF($E52="","",IF(INDEX(E_SourceStreams!$A:$N,EC52,AX$7)="","",INDEX(E_SourceStreams!$A:$N,EC52,AX$7)))</f>
        <v/>
      </c>
      <c r="AY52" s="703" t="str">
        <f>IF($E52="","",IF(INDEX(E_SourceStreams!$A:$N,ED52,AY$7)="","",INDEX(E_SourceStreams!$A:$N,ED52,AY$7)))</f>
        <v/>
      </c>
      <c r="AZ52" s="703" t="str">
        <f>IF($E52="","",IF(INDEX(E_SourceStreams!$A:$N,EE52,AZ$7)="","",INDEX(E_SourceStreams!$A:$N,EE52,AZ$7)))</f>
        <v/>
      </c>
      <c r="BA52" s="703" t="str">
        <f>IF($E52="","",IF(INDEX(E_SourceStreams!$A:$N,EF52,BA$7)="","",INDEX(E_SourceStreams!$A:$N,EF52,BA$7)))</f>
        <v/>
      </c>
      <c r="BB52" s="703" t="str">
        <f>IF($E52="","",IF(INDEX(E_SourceStreams!$A:$N,EG52,BB$7)="","",INDEX(E_SourceStreams!$A:$N,EG52,BB$7)))</f>
        <v/>
      </c>
      <c r="BC52" s="703" t="str">
        <f>IF($E52="","",IF(INDEX(E_SourceStreams!$A:$N,EH52,BC$7)="","",INDEX(E_SourceStreams!$A:$N,EH52,BC$7)))</f>
        <v/>
      </c>
      <c r="BD52" s="703" t="str">
        <f>IF($E52="","",IF(INDEX(E_SourceStreams!$A:$N,EI52,BD$7)="","",INDEX(E_SourceStreams!$A:$N,EI52,BD$7)))</f>
        <v/>
      </c>
      <c r="BE52" s="703" t="str">
        <f>IF($E52="","",IF(INDEX(E_SourceStreams!$A:$N,EJ52,BE$7)="","",INDEX(E_SourceStreams!$A:$N,EJ52,BE$7)))</f>
        <v/>
      </c>
      <c r="BF52" s="703" t="str">
        <f>IF($E52="","",IF(INDEX(E_SourceStreams!$A:$N,EK52,BF$7)="","",INDEX(E_SourceStreams!$A:$N,EK52,BF$7)))</f>
        <v/>
      </c>
      <c r="BG52" s="703" t="str">
        <f>IF($E52="","",IF(INDEX(E_SourceStreams!$A:$N,EL52,BG$7)="","",INDEX(E_SourceStreams!$A:$N,EL52,BG$7)))</f>
        <v/>
      </c>
      <c r="BH52" s="703" t="str">
        <f>IF($E52="","",IF(INDEX(E_SourceStreams!$A:$N,EM52,BH$7)="","",INDEX(E_SourceStreams!$A:$N,EM52,BH$7)))</f>
        <v/>
      </c>
      <c r="BI52" s="703" t="str">
        <f>IF($E52="","",IF(INDEX(E_SourceStreams!$A:$N,EN52,BI$7)="","",INDEX(E_SourceStreams!$A:$N,EN52,BI$7)))</f>
        <v/>
      </c>
      <c r="BJ52" s="703" t="str">
        <f>IF($E52="","",IF(INDEX(E_SourceStreams!$A:$N,EO52,BJ$7)="","",INDEX(E_SourceStreams!$A:$N,EO52,BJ$7)))</f>
        <v/>
      </c>
      <c r="BK52" s="703" t="str">
        <f>IF($E52="","",IF(INDEX(E_SourceStreams!$A:$N,EP52,BK$7)="","",INDEX(E_SourceStreams!$A:$N,EP52,BK$7)))</f>
        <v/>
      </c>
      <c r="BL52" s="703" t="str">
        <f>IF($E52="","",IF(INDEX(E_SourceStreams!$A:$N,EQ52,BL$7)="","",INDEX(E_SourceStreams!$A:$N,EQ52,BL$7)))</f>
        <v/>
      </c>
      <c r="BM52" s="703" t="str">
        <f>IF($E52="","",IF(INDEX(E_SourceStreams!$A:$N,ER52,BM$7)="","",INDEX(E_SourceStreams!$A:$N,ER52,BM$7)))</f>
        <v/>
      </c>
      <c r="BN52" s="703" t="str">
        <f>IF($E52="","",IF(INDEX(E_SourceStreams!$A:$N,ES52,BN$7)="","",INDEX(E_SourceStreams!$A:$N,ES52,BN$7)))</f>
        <v/>
      </c>
      <c r="BO52" s="703" t="str">
        <f>IF($E52="","",IF(INDEX(E_SourceStreams!$A:$N,ET52,BO$7)="","",INDEX(E_SourceStreams!$A:$N,ET52,BO$7)))</f>
        <v/>
      </c>
      <c r="BP52" s="703" t="str">
        <f>IF($E52="","",IF(INDEX(E_SourceStreams!$A:$N,EU52,BP$7)="","",INDEX(E_SourceStreams!$A:$N,EU52,BP$7)))</f>
        <v/>
      </c>
      <c r="BQ52" s="703" t="str">
        <f>IF($E52="","",IF(INDEX(E_SourceStreams!$A:$N,EV52,BQ$7)="","",INDEX(E_SourceStreams!$A:$N,EV52,BQ$7)))</f>
        <v/>
      </c>
      <c r="BR52" s="703" t="str">
        <f>IF($E52="","",IF(INDEX(E_SourceStreams!$A:$N,EW52,BR$7)="","",INDEX(E_SourceStreams!$A:$N,EW52,BR$7)))</f>
        <v/>
      </c>
      <c r="BS52" s="703" t="str">
        <f>IF($E52="","",IF(INDEX(E_SourceStreams!$A:$N,EX52,BS$7)="","",INDEX(E_SourceStreams!$A:$N,EX52,BS$7)))</f>
        <v/>
      </c>
      <c r="BT52" s="703" t="str">
        <f>IF($E52="","",IF(INDEX(E_SourceStreams!$A:$N,EY52,BT$7)="","",INDEX(E_SourceStreams!$A:$N,EY52,BT$7)))</f>
        <v/>
      </c>
      <c r="BU52" s="625"/>
      <c r="CJ52" s="679" t="str">
        <f t="shared" si="66"/>
        <v>SourceCategory_</v>
      </c>
      <c r="CK52" s="679" t="b">
        <f>INDEX(C_InstallationDescription!$A$226:$A$332,ROWS($CI$11:CI52))="ausblenden"</f>
        <v>0</v>
      </c>
      <c r="CL52" s="679" t="str">
        <f t="shared" si="67"/>
        <v>SourceStreamName_</v>
      </c>
      <c r="CN52" s="679">
        <f t="shared" si="65"/>
        <v>2841</v>
      </c>
      <c r="CO52" s="679">
        <f t="shared" si="2"/>
        <v>2843</v>
      </c>
      <c r="CP52" s="679">
        <f t="shared" si="3"/>
        <v>2845</v>
      </c>
      <c r="CQ52" s="679">
        <f t="shared" si="4"/>
        <v>2847</v>
      </c>
      <c r="CR52" s="679">
        <f t="shared" si="5"/>
        <v>2849</v>
      </c>
      <c r="CS52" s="679">
        <f t="shared" si="6"/>
        <v>2851</v>
      </c>
      <c r="CT52" s="679">
        <f t="shared" si="7"/>
        <v>2853</v>
      </c>
      <c r="CU52" s="679">
        <f t="shared" si="8"/>
        <v>2853</v>
      </c>
      <c r="CV52" s="679">
        <f t="shared" si="9"/>
        <v>2853</v>
      </c>
      <c r="CW52" s="679">
        <f t="shared" si="10"/>
        <v>2853</v>
      </c>
      <c r="CX52" s="679">
        <f t="shared" si="11"/>
        <v>2853</v>
      </c>
      <c r="CY52" s="679">
        <f t="shared" si="12"/>
        <v>2856</v>
      </c>
      <c r="CZ52" s="679">
        <f t="shared" si="13"/>
        <v>2860</v>
      </c>
      <c r="DA52" s="679">
        <f t="shared" si="14"/>
        <v>2861</v>
      </c>
      <c r="DB52" s="679">
        <f t="shared" si="15"/>
        <v>2862</v>
      </c>
      <c r="DC52" s="679">
        <f t="shared" si="16"/>
        <v>2869</v>
      </c>
      <c r="DD52" s="679">
        <f t="shared" si="17"/>
        <v>2879</v>
      </c>
      <c r="DE52" s="679">
        <f t="shared" si="18"/>
        <v>2879</v>
      </c>
      <c r="DF52" s="679">
        <f t="shared" si="19"/>
        <v>2879</v>
      </c>
      <c r="DG52" s="679">
        <f t="shared" si="20"/>
        <v>2879</v>
      </c>
      <c r="DH52" s="679">
        <f t="shared" si="21"/>
        <v>2879</v>
      </c>
      <c r="DI52" s="679">
        <f t="shared" si="22"/>
        <v>2879</v>
      </c>
      <c r="DJ52" s="679">
        <f t="shared" si="23"/>
        <v>2879</v>
      </c>
      <c r="DK52" s="679">
        <f t="shared" si="24"/>
        <v>2870</v>
      </c>
      <c r="DL52" s="679">
        <f t="shared" si="25"/>
        <v>2880</v>
      </c>
      <c r="DM52" s="679">
        <f t="shared" si="26"/>
        <v>2880</v>
      </c>
      <c r="DN52" s="679">
        <f t="shared" si="27"/>
        <v>2880</v>
      </c>
      <c r="DO52" s="679">
        <f t="shared" si="28"/>
        <v>2880</v>
      </c>
      <c r="DP52" s="679">
        <f t="shared" si="29"/>
        <v>2880</v>
      </c>
      <c r="DQ52" s="679">
        <f t="shared" si="30"/>
        <v>2880</v>
      </c>
      <c r="DR52" s="679">
        <f t="shared" si="31"/>
        <v>2880</v>
      </c>
      <c r="DS52" s="679">
        <f t="shared" si="32"/>
        <v>2871</v>
      </c>
      <c r="DT52" s="679">
        <f t="shared" si="33"/>
        <v>2881</v>
      </c>
      <c r="DU52" s="679">
        <f t="shared" si="34"/>
        <v>2881</v>
      </c>
      <c r="DV52" s="679">
        <f t="shared" si="35"/>
        <v>2881</v>
      </c>
      <c r="DW52" s="679">
        <f t="shared" si="36"/>
        <v>2881</v>
      </c>
      <c r="DX52" s="679">
        <f t="shared" si="37"/>
        <v>2881</v>
      </c>
      <c r="DY52" s="679">
        <f t="shared" si="38"/>
        <v>2881</v>
      </c>
      <c r="DZ52" s="679">
        <f t="shared" si="39"/>
        <v>2881</v>
      </c>
      <c r="EA52" s="679">
        <f t="shared" si="40"/>
        <v>2872</v>
      </c>
      <c r="EB52" s="679">
        <f t="shared" si="41"/>
        <v>2882</v>
      </c>
      <c r="EC52" s="679">
        <f t="shared" si="42"/>
        <v>2882</v>
      </c>
      <c r="ED52" s="679">
        <f t="shared" si="43"/>
        <v>2882</v>
      </c>
      <c r="EE52" s="679">
        <f t="shared" si="44"/>
        <v>2882</v>
      </c>
      <c r="EF52" s="679">
        <f t="shared" si="45"/>
        <v>2882</v>
      </c>
      <c r="EG52" s="679">
        <f t="shared" si="46"/>
        <v>2882</v>
      </c>
      <c r="EH52" s="679">
        <f t="shared" si="47"/>
        <v>2882</v>
      </c>
      <c r="EI52" s="679">
        <f t="shared" si="48"/>
        <v>2873</v>
      </c>
      <c r="EJ52" s="679">
        <f t="shared" si="49"/>
        <v>2883</v>
      </c>
      <c r="EK52" s="679">
        <f t="shared" si="50"/>
        <v>2883</v>
      </c>
      <c r="EL52" s="679">
        <f t="shared" si="51"/>
        <v>2883</v>
      </c>
      <c r="EM52" s="679">
        <f t="shared" si="52"/>
        <v>2883</v>
      </c>
      <c r="EN52" s="679">
        <f t="shared" si="53"/>
        <v>2883</v>
      </c>
      <c r="EO52" s="679">
        <f t="shared" si="54"/>
        <v>2883</v>
      </c>
      <c r="EP52" s="679">
        <f t="shared" si="55"/>
        <v>2883</v>
      </c>
      <c r="EQ52" s="679">
        <f t="shared" si="56"/>
        <v>2874</v>
      </c>
      <c r="ER52" s="679">
        <f t="shared" si="57"/>
        <v>2884</v>
      </c>
      <c r="ES52" s="679">
        <f t="shared" si="58"/>
        <v>2884</v>
      </c>
      <c r="ET52" s="679">
        <f t="shared" si="59"/>
        <v>2884</v>
      </c>
      <c r="EU52" s="679">
        <f t="shared" si="60"/>
        <v>2884</v>
      </c>
      <c r="EV52" s="679">
        <f t="shared" si="61"/>
        <v>2884</v>
      </c>
      <c r="EW52" s="679">
        <f t="shared" si="62"/>
        <v>2884</v>
      </c>
      <c r="EX52" s="679">
        <f t="shared" si="63"/>
        <v>2884</v>
      </c>
      <c r="EY52" s="679">
        <f t="shared" si="64"/>
        <v>2890</v>
      </c>
    </row>
    <row r="53" spans="2:155" ht="12.75" customHeight="1" x14ac:dyDescent="0.2">
      <c r="B53" s="700" t="str">
        <f>IF(COUNTIF($CK$10:CK53,TRUE)&gt;0,"",INDEX(C_InstallationDescription!$E$226:$E$242,ROWS($A$11:A53)))</f>
        <v/>
      </c>
      <c r="C53" s="581" t="str">
        <f>IF($E53="","",INDEX(C_InstallationDescription!F:F,MATCH($B53,C_InstallationDescription!$E:$E,0)))</f>
        <v/>
      </c>
      <c r="D53" s="581" t="str">
        <f>IF($E53="","",INDEX(C_InstallationDescription!I:I,MATCH($B53,C_InstallationDescription!$E:$E,0)))</f>
        <v/>
      </c>
      <c r="E53" s="581" t="str">
        <f>IF($B53="","",INDEX(C_InstallationDescription!F:F,MATCH($CJ53,C_InstallationDescription!$Q:$Q,0)))</f>
        <v/>
      </c>
      <c r="F53" s="706" t="str">
        <f>IF($E53="","",INDEX(C_InstallationDescription!L:L,MATCH($CJ53,C_InstallationDescription!$Q:$Q,0)))</f>
        <v/>
      </c>
      <c r="G53" s="581" t="str">
        <f>IF($E53="","",INDEX(C_InstallationDescription!M:M,MATCH($CJ53,C_InstallationDescription!$Q:$Q,0)))</f>
        <v/>
      </c>
      <c r="H53" s="581" t="str">
        <f>IF($E53="","",INDEX(C_InstallationDescription!N:N,MATCH($CJ53,C_InstallationDescription!$Q:$Q,0)))</f>
        <v/>
      </c>
      <c r="I53" s="703" t="str">
        <f>IF($E53="","",IF(INDEX(E_SourceStreams!$A:$N,CN53,I$7)="","",INDEX(E_SourceStreams!$A:$N,CN53,I$7)))</f>
        <v/>
      </c>
      <c r="J53" s="703" t="str">
        <f>IF($E53="","",IF(INDEX(E_SourceStreams!$A:$N,CO53,J$7)="","",INDEX(E_SourceStreams!$A:$N,CO53,J$7)))</f>
        <v/>
      </c>
      <c r="K53" s="703" t="str">
        <f>IF($E53="","",IF(INDEX(E_SourceStreams!$A:$N,CP53,K$7)="","",INDEX(E_SourceStreams!$A:$N,CP53,K$7)))</f>
        <v/>
      </c>
      <c r="L53" s="703" t="str">
        <f>IF($E53="","",IF(INDEX(E_SourceStreams!$A:$N,CQ53,L$7)="","",INDEX(E_SourceStreams!$A:$N,CQ53,L$7)))</f>
        <v/>
      </c>
      <c r="M53" s="703" t="str">
        <f>IF($E53="","",IF(INDEX(E_SourceStreams!$A:$N,CR53,M$7)="","",INDEX(E_SourceStreams!$A:$N,CR53,M$7)))</f>
        <v/>
      </c>
      <c r="N53" s="703" t="str">
        <f>IF($E53="","",IF(INDEX(E_SourceStreams!$A:$N,CS53,N$7)="","",INDEX(E_SourceStreams!$A:$N,CS53,N$7)))</f>
        <v/>
      </c>
      <c r="O53" s="703" t="str">
        <f>IF($E53="","",IF(INDEX(E_SourceStreams!$A:$N,CT53,O$7)="","",INDEX(E_SourceStreams!$A:$N,CT53,O$7)))</f>
        <v/>
      </c>
      <c r="P53" s="703" t="str">
        <f>IF($E53="","",IF(INDEX(E_SourceStreams!$A:$N,CU53,P$7)="","",INDEX(E_SourceStreams!$A:$N,CU53,P$7)))</f>
        <v/>
      </c>
      <c r="Q53" s="703" t="str">
        <f>IF($E53="","",IF(INDEX(E_SourceStreams!$A:$N,CV53,Q$7)="","",INDEX(E_SourceStreams!$A:$N,CV53,Q$7)))</f>
        <v/>
      </c>
      <c r="R53" s="703" t="str">
        <f>IF($E53="","",IF(INDEX(E_SourceStreams!$A:$N,CW53,R$7)="","",INDEX(E_SourceStreams!$A:$N,CW53,R$7)))</f>
        <v/>
      </c>
      <c r="S53" s="703" t="str">
        <f>IF($E53="","",IF(INDEX(E_SourceStreams!$A:$N,CX53,S$7)="","",INDEX(E_SourceStreams!$A:$N,CX53,S$7)))</f>
        <v/>
      </c>
      <c r="T53" s="703" t="str">
        <f>IF($E53="","",IF(INDEX(E_SourceStreams!$A:$N,CY53,T$7)="","",INDEX(E_SourceStreams!$A:$N,CY53,T$7)))</f>
        <v/>
      </c>
      <c r="U53" s="703" t="str">
        <f>IF($E53="","",IF(INDEX(E_SourceStreams!$A:$N,CZ53,U$7)="","",INDEX(E_SourceStreams!$A:$N,CZ53,U$7)))</f>
        <v/>
      </c>
      <c r="V53" s="703" t="str">
        <f>IF($E53="","",IF(INDEX(E_SourceStreams!$A:$N,DA53,V$7)="","",INDEX(E_SourceStreams!$A:$N,DA53,V$7)))</f>
        <v/>
      </c>
      <c r="W53" s="704" t="str">
        <f>IF($E53="","",IF(INDEX(E_SourceStreams!$A:$N,DB53,W$7)="","",INDEX(E_SourceStreams!$A:$N,DB53,W$7)))</f>
        <v/>
      </c>
      <c r="X53" s="703" t="str">
        <f>IF($E53="","",IF(INDEX(E_SourceStreams!$A:$N,DC53,X$7)="","",INDEX(E_SourceStreams!$A:$N,DC53,X$7)))</f>
        <v/>
      </c>
      <c r="Y53" s="703" t="str">
        <f>IF($E53="","",IF(INDEX(E_SourceStreams!$A:$N,DD53,Y$7)="","",INDEX(E_SourceStreams!$A:$N,DD53,Y$7)))</f>
        <v/>
      </c>
      <c r="Z53" s="703" t="str">
        <f>IF($E53="","",IF(INDEX(E_SourceStreams!$A:$N,DE53,Z$7)="","",INDEX(E_SourceStreams!$A:$N,DE53,Z$7)))</f>
        <v/>
      </c>
      <c r="AA53" s="703" t="str">
        <f>IF($E53="","",IF(INDEX(E_SourceStreams!$A:$N,DF53,AA$7)="","",INDEX(E_SourceStreams!$A:$N,DF53,AA$7)))</f>
        <v/>
      </c>
      <c r="AB53" s="703" t="str">
        <f>IF($E53="","",IF(INDEX(E_SourceStreams!$A:$N,DG53,AB$7)="","",INDEX(E_SourceStreams!$A:$N,DG53,AB$7)))</f>
        <v/>
      </c>
      <c r="AC53" s="703" t="str">
        <f>IF($E53="","",IF(INDEX(E_SourceStreams!$A:$N,DH53,AC$7)="","",INDEX(E_SourceStreams!$A:$N,DH53,AC$7)))</f>
        <v/>
      </c>
      <c r="AD53" s="703" t="str">
        <f>IF($E53="","",IF(INDEX(E_SourceStreams!$A:$N,DI53,AD$7)="","",INDEX(E_SourceStreams!$A:$N,DI53,AD$7)))</f>
        <v/>
      </c>
      <c r="AE53" s="703" t="str">
        <f>IF($E53="","",IF(INDEX(E_SourceStreams!$A:$N,DJ53,AE$7)="","",INDEX(E_SourceStreams!$A:$N,DJ53,AE$7)))</f>
        <v/>
      </c>
      <c r="AF53" s="703" t="str">
        <f>IF($E53="","",IF(INDEX(E_SourceStreams!$A:$N,DK53,AF$7)="","",INDEX(E_SourceStreams!$A:$N,DK53,AF$7)))</f>
        <v/>
      </c>
      <c r="AG53" s="703" t="str">
        <f>IF($E53="","",IF(INDEX(E_SourceStreams!$A:$N,DL53,AG$7)="","",INDEX(E_SourceStreams!$A:$N,DL53,AG$7)))</f>
        <v/>
      </c>
      <c r="AH53" s="703" t="str">
        <f>IF($E53="","",IF(INDEX(E_SourceStreams!$A:$N,DM53,AH$7)="","",INDEX(E_SourceStreams!$A:$N,DM53,AH$7)))</f>
        <v/>
      </c>
      <c r="AI53" s="703" t="str">
        <f>IF($E53="","",IF(INDEX(E_SourceStreams!$A:$N,DN53,AI$7)="","",INDEX(E_SourceStreams!$A:$N,DN53,AI$7)))</f>
        <v/>
      </c>
      <c r="AJ53" s="703" t="str">
        <f>IF($E53="","",IF(INDEX(E_SourceStreams!$A:$N,DO53,AJ$7)="","",INDEX(E_SourceStreams!$A:$N,DO53,AJ$7)))</f>
        <v/>
      </c>
      <c r="AK53" s="703" t="str">
        <f>IF($E53="","",IF(INDEX(E_SourceStreams!$A:$N,DP53,AK$7)="","",INDEX(E_SourceStreams!$A:$N,DP53,AK$7)))</f>
        <v/>
      </c>
      <c r="AL53" s="703" t="str">
        <f>IF($E53="","",IF(INDEX(E_SourceStreams!$A:$N,DQ53,AL$7)="","",INDEX(E_SourceStreams!$A:$N,DQ53,AL$7)))</f>
        <v/>
      </c>
      <c r="AM53" s="703" t="str">
        <f>IF($E53="","",IF(INDEX(E_SourceStreams!$A:$N,DR53,AM$7)="","",INDEX(E_SourceStreams!$A:$N,DR53,AM$7)))</f>
        <v/>
      </c>
      <c r="AN53" s="703" t="str">
        <f>IF($E53="","",IF(INDEX(E_SourceStreams!$A:$N,DS53,AN$7)="","",INDEX(E_SourceStreams!$A:$N,DS53,AN$7)))</f>
        <v/>
      </c>
      <c r="AO53" s="703" t="str">
        <f>IF($E53="","",IF(INDEX(E_SourceStreams!$A:$N,DT53,AO$7)="","",INDEX(E_SourceStreams!$A:$N,DT53,AO$7)))</f>
        <v/>
      </c>
      <c r="AP53" s="703" t="str">
        <f>IF($E53="","",IF(INDEX(E_SourceStreams!$A:$N,DU53,AP$7)="","",INDEX(E_SourceStreams!$A:$N,DU53,AP$7)))</f>
        <v/>
      </c>
      <c r="AQ53" s="703" t="str">
        <f>IF($E53="","",IF(INDEX(E_SourceStreams!$A:$N,DV53,AQ$7)="","",INDEX(E_SourceStreams!$A:$N,DV53,AQ$7)))</f>
        <v/>
      </c>
      <c r="AR53" s="703" t="str">
        <f>IF($E53="","",IF(INDEX(E_SourceStreams!$A:$N,DW53,AR$7)="","",INDEX(E_SourceStreams!$A:$N,DW53,AR$7)))</f>
        <v/>
      </c>
      <c r="AS53" s="703" t="str">
        <f>IF($E53="","",IF(INDEX(E_SourceStreams!$A:$N,DX53,AS$7)="","",INDEX(E_SourceStreams!$A:$N,DX53,AS$7)))</f>
        <v/>
      </c>
      <c r="AT53" s="703" t="str">
        <f>IF($E53="","",IF(INDEX(E_SourceStreams!$A:$N,DY53,AT$7)="","",INDEX(E_SourceStreams!$A:$N,DY53,AT$7)))</f>
        <v/>
      </c>
      <c r="AU53" s="703" t="str">
        <f>IF($E53="","",IF(INDEX(E_SourceStreams!$A:$N,DZ53,AU$7)="","",INDEX(E_SourceStreams!$A:$N,DZ53,AU$7)))</f>
        <v/>
      </c>
      <c r="AV53" s="703" t="str">
        <f>IF($E53="","",IF(INDEX(E_SourceStreams!$A:$N,EA53,AV$7)="","",INDEX(E_SourceStreams!$A:$N,EA53,AV$7)))</f>
        <v/>
      </c>
      <c r="AW53" s="703" t="str">
        <f>IF($E53="","",IF(INDEX(E_SourceStreams!$A:$N,EB53,AW$7)="","",INDEX(E_SourceStreams!$A:$N,EB53,AW$7)))</f>
        <v/>
      </c>
      <c r="AX53" s="703" t="str">
        <f>IF($E53="","",IF(INDEX(E_SourceStreams!$A:$N,EC53,AX$7)="","",INDEX(E_SourceStreams!$A:$N,EC53,AX$7)))</f>
        <v/>
      </c>
      <c r="AY53" s="703" t="str">
        <f>IF($E53="","",IF(INDEX(E_SourceStreams!$A:$N,ED53,AY$7)="","",INDEX(E_SourceStreams!$A:$N,ED53,AY$7)))</f>
        <v/>
      </c>
      <c r="AZ53" s="703" t="str">
        <f>IF($E53="","",IF(INDEX(E_SourceStreams!$A:$N,EE53,AZ$7)="","",INDEX(E_SourceStreams!$A:$N,EE53,AZ$7)))</f>
        <v/>
      </c>
      <c r="BA53" s="703" t="str">
        <f>IF($E53="","",IF(INDEX(E_SourceStreams!$A:$N,EF53,BA$7)="","",INDEX(E_SourceStreams!$A:$N,EF53,BA$7)))</f>
        <v/>
      </c>
      <c r="BB53" s="703" t="str">
        <f>IF($E53="","",IF(INDEX(E_SourceStreams!$A:$N,EG53,BB$7)="","",INDEX(E_SourceStreams!$A:$N,EG53,BB$7)))</f>
        <v/>
      </c>
      <c r="BC53" s="703" t="str">
        <f>IF($E53="","",IF(INDEX(E_SourceStreams!$A:$N,EH53,BC$7)="","",INDEX(E_SourceStreams!$A:$N,EH53,BC$7)))</f>
        <v/>
      </c>
      <c r="BD53" s="703" t="str">
        <f>IF($E53="","",IF(INDEX(E_SourceStreams!$A:$N,EI53,BD$7)="","",INDEX(E_SourceStreams!$A:$N,EI53,BD$7)))</f>
        <v/>
      </c>
      <c r="BE53" s="703" t="str">
        <f>IF($E53="","",IF(INDEX(E_SourceStreams!$A:$N,EJ53,BE$7)="","",INDEX(E_SourceStreams!$A:$N,EJ53,BE$7)))</f>
        <v/>
      </c>
      <c r="BF53" s="703" t="str">
        <f>IF($E53="","",IF(INDEX(E_SourceStreams!$A:$N,EK53,BF$7)="","",INDEX(E_SourceStreams!$A:$N,EK53,BF$7)))</f>
        <v/>
      </c>
      <c r="BG53" s="703" t="str">
        <f>IF($E53="","",IF(INDEX(E_SourceStreams!$A:$N,EL53,BG$7)="","",INDEX(E_SourceStreams!$A:$N,EL53,BG$7)))</f>
        <v/>
      </c>
      <c r="BH53" s="703" t="str">
        <f>IF($E53="","",IF(INDEX(E_SourceStreams!$A:$N,EM53,BH$7)="","",INDEX(E_SourceStreams!$A:$N,EM53,BH$7)))</f>
        <v/>
      </c>
      <c r="BI53" s="703" t="str">
        <f>IF($E53="","",IF(INDEX(E_SourceStreams!$A:$N,EN53,BI$7)="","",INDEX(E_SourceStreams!$A:$N,EN53,BI$7)))</f>
        <v/>
      </c>
      <c r="BJ53" s="703" t="str">
        <f>IF($E53="","",IF(INDEX(E_SourceStreams!$A:$N,EO53,BJ$7)="","",INDEX(E_SourceStreams!$A:$N,EO53,BJ$7)))</f>
        <v/>
      </c>
      <c r="BK53" s="703" t="str">
        <f>IF($E53="","",IF(INDEX(E_SourceStreams!$A:$N,EP53,BK$7)="","",INDEX(E_SourceStreams!$A:$N,EP53,BK$7)))</f>
        <v/>
      </c>
      <c r="BL53" s="703" t="str">
        <f>IF($E53="","",IF(INDEX(E_SourceStreams!$A:$N,EQ53,BL$7)="","",INDEX(E_SourceStreams!$A:$N,EQ53,BL$7)))</f>
        <v/>
      </c>
      <c r="BM53" s="703" t="str">
        <f>IF($E53="","",IF(INDEX(E_SourceStreams!$A:$N,ER53,BM$7)="","",INDEX(E_SourceStreams!$A:$N,ER53,BM$7)))</f>
        <v/>
      </c>
      <c r="BN53" s="703" t="str">
        <f>IF($E53="","",IF(INDEX(E_SourceStreams!$A:$N,ES53,BN$7)="","",INDEX(E_SourceStreams!$A:$N,ES53,BN$7)))</f>
        <v/>
      </c>
      <c r="BO53" s="703" t="str">
        <f>IF($E53="","",IF(INDEX(E_SourceStreams!$A:$N,ET53,BO$7)="","",INDEX(E_SourceStreams!$A:$N,ET53,BO$7)))</f>
        <v/>
      </c>
      <c r="BP53" s="703" t="str">
        <f>IF($E53="","",IF(INDEX(E_SourceStreams!$A:$N,EU53,BP$7)="","",INDEX(E_SourceStreams!$A:$N,EU53,BP$7)))</f>
        <v/>
      </c>
      <c r="BQ53" s="703" t="str">
        <f>IF($E53="","",IF(INDEX(E_SourceStreams!$A:$N,EV53,BQ$7)="","",INDEX(E_SourceStreams!$A:$N,EV53,BQ$7)))</f>
        <v/>
      </c>
      <c r="BR53" s="703" t="str">
        <f>IF($E53="","",IF(INDEX(E_SourceStreams!$A:$N,EW53,BR$7)="","",INDEX(E_SourceStreams!$A:$N,EW53,BR$7)))</f>
        <v/>
      </c>
      <c r="BS53" s="703" t="str">
        <f>IF($E53="","",IF(INDEX(E_SourceStreams!$A:$N,EX53,BS$7)="","",INDEX(E_SourceStreams!$A:$N,EX53,BS$7)))</f>
        <v/>
      </c>
      <c r="BT53" s="703" t="str">
        <f>IF($E53="","",IF(INDEX(E_SourceStreams!$A:$N,EY53,BT$7)="","",INDEX(E_SourceStreams!$A:$N,EY53,BT$7)))</f>
        <v/>
      </c>
      <c r="BU53" s="625"/>
      <c r="CJ53" s="679" t="str">
        <f t="shared" si="66"/>
        <v>SourceCategory_</v>
      </c>
      <c r="CK53" s="679" t="b">
        <f>INDEX(C_InstallationDescription!$A$226:$A$332,ROWS($CI$11:CI53))="ausblenden"</f>
        <v>0</v>
      </c>
      <c r="CL53" s="679" t="str">
        <f t="shared" si="67"/>
        <v>SourceStreamName_</v>
      </c>
      <c r="CN53" s="679">
        <f t="shared" si="65"/>
        <v>2907</v>
      </c>
      <c r="CO53" s="679">
        <f t="shared" si="2"/>
        <v>2909</v>
      </c>
      <c r="CP53" s="679">
        <f t="shared" si="3"/>
        <v>2911</v>
      </c>
      <c r="CQ53" s="679">
        <f t="shared" si="4"/>
        <v>2913</v>
      </c>
      <c r="CR53" s="679">
        <f t="shared" si="5"/>
        <v>2915</v>
      </c>
      <c r="CS53" s="679">
        <f t="shared" si="6"/>
        <v>2917</v>
      </c>
      <c r="CT53" s="679">
        <f t="shared" si="7"/>
        <v>2919</v>
      </c>
      <c r="CU53" s="679">
        <f t="shared" si="8"/>
        <v>2919</v>
      </c>
      <c r="CV53" s="679">
        <f t="shared" si="9"/>
        <v>2919</v>
      </c>
      <c r="CW53" s="679">
        <f t="shared" si="10"/>
        <v>2919</v>
      </c>
      <c r="CX53" s="679">
        <f t="shared" si="11"/>
        <v>2919</v>
      </c>
      <c r="CY53" s="679">
        <f t="shared" si="12"/>
        <v>2922</v>
      </c>
      <c r="CZ53" s="679">
        <f t="shared" si="13"/>
        <v>2926</v>
      </c>
      <c r="DA53" s="679">
        <f t="shared" si="14"/>
        <v>2927</v>
      </c>
      <c r="DB53" s="679">
        <f t="shared" si="15"/>
        <v>2928</v>
      </c>
      <c r="DC53" s="679">
        <f t="shared" si="16"/>
        <v>2935</v>
      </c>
      <c r="DD53" s="679">
        <f t="shared" si="17"/>
        <v>2945</v>
      </c>
      <c r="DE53" s="679">
        <f t="shared" si="18"/>
        <v>2945</v>
      </c>
      <c r="DF53" s="679">
        <f t="shared" si="19"/>
        <v>2945</v>
      </c>
      <c r="DG53" s="679">
        <f t="shared" si="20"/>
        <v>2945</v>
      </c>
      <c r="DH53" s="679">
        <f t="shared" si="21"/>
        <v>2945</v>
      </c>
      <c r="DI53" s="679">
        <f t="shared" si="22"/>
        <v>2945</v>
      </c>
      <c r="DJ53" s="679">
        <f t="shared" si="23"/>
        <v>2945</v>
      </c>
      <c r="DK53" s="679">
        <f t="shared" si="24"/>
        <v>2936</v>
      </c>
      <c r="DL53" s="679">
        <f t="shared" si="25"/>
        <v>2946</v>
      </c>
      <c r="DM53" s="679">
        <f t="shared" si="26"/>
        <v>2946</v>
      </c>
      <c r="DN53" s="679">
        <f t="shared" si="27"/>
        <v>2946</v>
      </c>
      <c r="DO53" s="679">
        <f t="shared" si="28"/>
        <v>2946</v>
      </c>
      <c r="DP53" s="679">
        <f t="shared" si="29"/>
        <v>2946</v>
      </c>
      <c r="DQ53" s="679">
        <f t="shared" si="30"/>
        <v>2946</v>
      </c>
      <c r="DR53" s="679">
        <f t="shared" si="31"/>
        <v>2946</v>
      </c>
      <c r="DS53" s="679">
        <f t="shared" si="32"/>
        <v>2937</v>
      </c>
      <c r="DT53" s="679">
        <f t="shared" si="33"/>
        <v>2947</v>
      </c>
      <c r="DU53" s="679">
        <f t="shared" si="34"/>
        <v>2947</v>
      </c>
      <c r="DV53" s="679">
        <f t="shared" si="35"/>
        <v>2947</v>
      </c>
      <c r="DW53" s="679">
        <f t="shared" si="36"/>
        <v>2947</v>
      </c>
      <c r="DX53" s="679">
        <f t="shared" si="37"/>
        <v>2947</v>
      </c>
      <c r="DY53" s="679">
        <f t="shared" si="38"/>
        <v>2947</v>
      </c>
      <c r="DZ53" s="679">
        <f t="shared" si="39"/>
        <v>2947</v>
      </c>
      <c r="EA53" s="679">
        <f t="shared" si="40"/>
        <v>2938</v>
      </c>
      <c r="EB53" s="679">
        <f t="shared" si="41"/>
        <v>2948</v>
      </c>
      <c r="EC53" s="679">
        <f t="shared" si="42"/>
        <v>2948</v>
      </c>
      <c r="ED53" s="679">
        <f t="shared" si="43"/>
        <v>2948</v>
      </c>
      <c r="EE53" s="679">
        <f t="shared" si="44"/>
        <v>2948</v>
      </c>
      <c r="EF53" s="679">
        <f t="shared" si="45"/>
        <v>2948</v>
      </c>
      <c r="EG53" s="679">
        <f t="shared" si="46"/>
        <v>2948</v>
      </c>
      <c r="EH53" s="679">
        <f t="shared" si="47"/>
        <v>2948</v>
      </c>
      <c r="EI53" s="679">
        <f t="shared" si="48"/>
        <v>2939</v>
      </c>
      <c r="EJ53" s="679">
        <f t="shared" si="49"/>
        <v>2949</v>
      </c>
      <c r="EK53" s="679">
        <f t="shared" si="50"/>
        <v>2949</v>
      </c>
      <c r="EL53" s="679">
        <f t="shared" si="51"/>
        <v>2949</v>
      </c>
      <c r="EM53" s="679">
        <f t="shared" si="52"/>
        <v>2949</v>
      </c>
      <c r="EN53" s="679">
        <f t="shared" si="53"/>
        <v>2949</v>
      </c>
      <c r="EO53" s="679">
        <f t="shared" si="54"/>
        <v>2949</v>
      </c>
      <c r="EP53" s="679">
        <f t="shared" si="55"/>
        <v>2949</v>
      </c>
      <c r="EQ53" s="679">
        <f t="shared" si="56"/>
        <v>2940</v>
      </c>
      <c r="ER53" s="679">
        <f t="shared" si="57"/>
        <v>2950</v>
      </c>
      <c r="ES53" s="679">
        <f t="shared" si="58"/>
        <v>2950</v>
      </c>
      <c r="ET53" s="679">
        <f t="shared" si="59"/>
        <v>2950</v>
      </c>
      <c r="EU53" s="679">
        <f t="shared" si="60"/>
        <v>2950</v>
      </c>
      <c r="EV53" s="679">
        <f t="shared" si="61"/>
        <v>2950</v>
      </c>
      <c r="EW53" s="679">
        <f t="shared" si="62"/>
        <v>2950</v>
      </c>
      <c r="EX53" s="679">
        <f t="shared" si="63"/>
        <v>2950</v>
      </c>
      <c r="EY53" s="679">
        <f t="shared" si="64"/>
        <v>2956</v>
      </c>
    </row>
    <row r="54" spans="2:155" ht="12.75" customHeight="1" x14ac:dyDescent="0.2">
      <c r="B54" s="700" t="str">
        <f>IF(COUNTIF($CK$10:CK54,TRUE)&gt;0,"",INDEX(C_InstallationDescription!$E$226:$E$242,ROWS($A$11:A54)))</f>
        <v/>
      </c>
      <c r="C54" s="581" t="str">
        <f>IF($E54="","",INDEX(C_InstallationDescription!F:F,MATCH($B54,C_InstallationDescription!$E:$E,0)))</f>
        <v/>
      </c>
      <c r="D54" s="581" t="str">
        <f>IF($E54="","",INDEX(C_InstallationDescription!I:I,MATCH($B54,C_InstallationDescription!$E:$E,0)))</f>
        <v/>
      </c>
      <c r="E54" s="581" t="str">
        <f>IF($B54="","",INDEX(C_InstallationDescription!F:F,MATCH($CJ54,C_InstallationDescription!$Q:$Q,0)))</f>
        <v/>
      </c>
      <c r="F54" s="706" t="str">
        <f>IF($E54="","",INDEX(C_InstallationDescription!L:L,MATCH($CJ54,C_InstallationDescription!$Q:$Q,0)))</f>
        <v/>
      </c>
      <c r="G54" s="581" t="str">
        <f>IF($E54="","",INDEX(C_InstallationDescription!M:M,MATCH($CJ54,C_InstallationDescription!$Q:$Q,0)))</f>
        <v/>
      </c>
      <c r="H54" s="581" t="str">
        <f>IF($E54="","",INDEX(C_InstallationDescription!N:N,MATCH($CJ54,C_InstallationDescription!$Q:$Q,0)))</f>
        <v/>
      </c>
      <c r="I54" s="703" t="str">
        <f>IF($E54="","",IF(INDEX(E_SourceStreams!$A:$N,CN54,I$7)="","",INDEX(E_SourceStreams!$A:$N,CN54,I$7)))</f>
        <v/>
      </c>
      <c r="J54" s="703" t="str">
        <f>IF($E54="","",IF(INDEX(E_SourceStreams!$A:$N,CO54,J$7)="","",INDEX(E_SourceStreams!$A:$N,CO54,J$7)))</f>
        <v/>
      </c>
      <c r="K54" s="703" t="str">
        <f>IF($E54="","",IF(INDEX(E_SourceStreams!$A:$N,CP54,K$7)="","",INDEX(E_SourceStreams!$A:$N,CP54,K$7)))</f>
        <v/>
      </c>
      <c r="L54" s="703" t="str">
        <f>IF($E54="","",IF(INDEX(E_SourceStreams!$A:$N,CQ54,L$7)="","",INDEX(E_SourceStreams!$A:$N,CQ54,L$7)))</f>
        <v/>
      </c>
      <c r="M54" s="703" t="str">
        <f>IF($E54="","",IF(INDEX(E_SourceStreams!$A:$N,CR54,M$7)="","",INDEX(E_SourceStreams!$A:$N,CR54,M$7)))</f>
        <v/>
      </c>
      <c r="N54" s="703" t="str">
        <f>IF($E54="","",IF(INDEX(E_SourceStreams!$A:$N,CS54,N$7)="","",INDEX(E_SourceStreams!$A:$N,CS54,N$7)))</f>
        <v/>
      </c>
      <c r="O54" s="703" t="str">
        <f>IF($E54="","",IF(INDEX(E_SourceStreams!$A:$N,CT54,O$7)="","",INDEX(E_SourceStreams!$A:$N,CT54,O$7)))</f>
        <v/>
      </c>
      <c r="P54" s="703" t="str">
        <f>IF($E54="","",IF(INDEX(E_SourceStreams!$A:$N,CU54,P$7)="","",INDEX(E_SourceStreams!$A:$N,CU54,P$7)))</f>
        <v/>
      </c>
      <c r="Q54" s="703" t="str">
        <f>IF($E54="","",IF(INDEX(E_SourceStreams!$A:$N,CV54,Q$7)="","",INDEX(E_SourceStreams!$A:$N,CV54,Q$7)))</f>
        <v/>
      </c>
      <c r="R54" s="703" t="str">
        <f>IF($E54="","",IF(INDEX(E_SourceStreams!$A:$N,CW54,R$7)="","",INDEX(E_SourceStreams!$A:$N,CW54,R$7)))</f>
        <v/>
      </c>
      <c r="S54" s="703" t="str">
        <f>IF($E54="","",IF(INDEX(E_SourceStreams!$A:$N,CX54,S$7)="","",INDEX(E_SourceStreams!$A:$N,CX54,S$7)))</f>
        <v/>
      </c>
      <c r="T54" s="703" t="str">
        <f>IF($E54="","",IF(INDEX(E_SourceStreams!$A:$N,CY54,T$7)="","",INDEX(E_SourceStreams!$A:$N,CY54,T$7)))</f>
        <v/>
      </c>
      <c r="U54" s="703" t="str">
        <f>IF($E54="","",IF(INDEX(E_SourceStreams!$A:$N,CZ54,U$7)="","",INDEX(E_SourceStreams!$A:$N,CZ54,U$7)))</f>
        <v/>
      </c>
      <c r="V54" s="703" t="str">
        <f>IF($E54="","",IF(INDEX(E_SourceStreams!$A:$N,DA54,V$7)="","",INDEX(E_SourceStreams!$A:$N,DA54,V$7)))</f>
        <v/>
      </c>
      <c r="W54" s="704" t="str">
        <f>IF($E54="","",IF(INDEX(E_SourceStreams!$A:$N,DB54,W$7)="","",INDEX(E_SourceStreams!$A:$N,DB54,W$7)))</f>
        <v/>
      </c>
      <c r="X54" s="703" t="str">
        <f>IF($E54="","",IF(INDEX(E_SourceStreams!$A:$N,DC54,X$7)="","",INDEX(E_SourceStreams!$A:$N,DC54,X$7)))</f>
        <v/>
      </c>
      <c r="Y54" s="703" t="str">
        <f>IF($E54="","",IF(INDEX(E_SourceStreams!$A:$N,DD54,Y$7)="","",INDEX(E_SourceStreams!$A:$N,DD54,Y$7)))</f>
        <v/>
      </c>
      <c r="Z54" s="703" t="str">
        <f>IF($E54="","",IF(INDEX(E_SourceStreams!$A:$N,DE54,Z$7)="","",INDEX(E_SourceStreams!$A:$N,DE54,Z$7)))</f>
        <v/>
      </c>
      <c r="AA54" s="703" t="str">
        <f>IF($E54="","",IF(INDEX(E_SourceStreams!$A:$N,DF54,AA$7)="","",INDEX(E_SourceStreams!$A:$N,DF54,AA$7)))</f>
        <v/>
      </c>
      <c r="AB54" s="703" t="str">
        <f>IF($E54="","",IF(INDEX(E_SourceStreams!$A:$N,DG54,AB$7)="","",INDEX(E_SourceStreams!$A:$N,DG54,AB$7)))</f>
        <v/>
      </c>
      <c r="AC54" s="703" t="str">
        <f>IF($E54="","",IF(INDEX(E_SourceStreams!$A:$N,DH54,AC$7)="","",INDEX(E_SourceStreams!$A:$N,DH54,AC$7)))</f>
        <v/>
      </c>
      <c r="AD54" s="703" t="str">
        <f>IF($E54="","",IF(INDEX(E_SourceStreams!$A:$N,DI54,AD$7)="","",INDEX(E_SourceStreams!$A:$N,DI54,AD$7)))</f>
        <v/>
      </c>
      <c r="AE54" s="703" t="str">
        <f>IF($E54="","",IF(INDEX(E_SourceStreams!$A:$N,DJ54,AE$7)="","",INDEX(E_SourceStreams!$A:$N,DJ54,AE$7)))</f>
        <v/>
      </c>
      <c r="AF54" s="703" t="str">
        <f>IF($E54="","",IF(INDEX(E_SourceStreams!$A:$N,DK54,AF$7)="","",INDEX(E_SourceStreams!$A:$N,DK54,AF$7)))</f>
        <v/>
      </c>
      <c r="AG54" s="703" t="str">
        <f>IF($E54="","",IF(INDEX(E_SourceStreams!$A:$N,DL54,AG$7)="","",INDEX(E_SourceStreams!$A:$N,DL54,AG$7)))</f>
        <v/>
      </c>
      <c r="AH54" s="703" t="str">
        <f>IF($E54="","",IF(INDEX(E_SourceStreams!$A:$N,DM54,AH$7)="","",INDEX(E_SourceStreams!$A:$N,DM54,AH$7)))</f>
        <v/>
      </c>
      <c r="AI54" s="703" t="str">
        <f>IF($E54="","",IF(INDEX(E_SourceStreams!$A:$N,DN54,AI$7)="","",INDEX(E_SourceStreams!$A:$N,DN54,AI$7)))</f>
        <v/>
      </c>
      <c r="AJ54" s="703" t="str">
        <f>IF($E54="","",IF(INDEX(E_SourceStreams!$A:$N,DO54,AJ$7)="","",INDEX(E_SourceStreams!$A:$N,DO54,AJ$7)))</f>
        <v/>
      </c>
      <c r="AK54" s="703" t="str">
        <f>IF($E54="","",IF(INDEX(E_SourceStreams!$A:$N,DP54,AK$7)="","",INDEX(E_SourceStreams!$A:$N,DP54,AK$7)))</f>
        <v/>
      </c>
      <c r="AL54" s="703" t="str">
        <f>IF($E54="","",IF(INDEX(E_SourceStreams!$A:$N,DQ54,AL$7)="","",INDEX(E_SourceStreams!$A:$N,DQ54,AL$7)))</f>
        <v/>
      </c>
      <c r="AM54" s="703" t="str">
        <f>IF($E54="","",IF(INDEX(E_SourceStreams!$A:$N,DR54,AM$7)="","",INDEX(E_SourceStreams!$A:$N,DR54,AM$7)))</f>
        <v/>
      </c>
      <c r="AN54" s="703" t="str">
        <f>IF($E54="","",IF(INDEX(E_SourceStreams!$A:$N,DS54,AN$7)="","",INDEX(E_SourceStreams!$A:$N,DS54,AN$7)))</f>
        <v/>
      </c>
      <c r="AO54" s="703" t="str">
        <f>IF($E54="","",IF(INDEX(E_SourceStreams!$A:$N,DT54,AO$7)="","",INDEX(E_SourceStreams!$A:$N,DT54,AO$7)))</f>
        <v/>
      </c>
      <c r="AP54" s="703" t="str">
        <f>IF($E54="","",IF(INDEX(E_SourceStreams!$A:$N,DU54,AP$7)="","",INDEX(E_SourceStreams!$A:$N,DU54,AP$7)))</f>
        <v/>
      </c>
      <c r="AQ54" s="703" t="str">
        <f>IF($E54="","",IF(INDEX(E_SourceStreams!$A:$N,DV54,AQ$7)="","",INDEX(E_SourceStreams!$A:$N,DV54,AQ$7)))</f>
        <v/>
      </c>
      <c r="AR54" s="703" t="str">
        <f>IF($E54="","",IF(INDEX(E_SourceStreams!$A:$N,DW54,AR$7)="","",INDEX(E_SourceStreams!$A:$N,DW54,AR$7)))</f>
        <v/>
      </c>
      <c r="AS54" s="703" t="str">
        <f>IF($E54="","",IF(INDEX(E_SourceStreams!$A:$N,DX54,AS$7)="","",INDEX(E_SourceStreams!$A:$N,DX54,AS$7)))</f>
        <v/>
      </c>
      <c r="AT54" s="703" t="str">
        <f>IF($E54="","",IF(INDEX(E_SourceStreams!$A:$N,DY54,AT$7)="","",INDEX(E_SourceStreams!$A:$N,DY54,AT$7)))</f>
        <v/>
      </c>
      <c r="AU54" s="703" t="str">
        <f>IF($E54="","",IF(INDEX(E_SourceStreams!$A:$N,DZ54,AU$7)="","",INDEX(E_SourceStreams!$A:$N,DZ54,AU$7)))</f>
        <v/>
      </c>
      <c r="AV54" s="703" t="str">
        <f>IF($E54="","",IF(INDEX(E_SourceStreams!$A:$N,EA54,AV$7)="","",INDEX(E_SourceStreams!$A:$N,EA54,AV$7)))</f>
        <v/>
      </c>
      <c r="AW54" s="703" t="str">
        <f>IF($E54="","",IF(INDEX(E_SourceStreams!$A:$N,EB54,AW$7)="","",INDEX(E_SourceStreams!$A:$N,EB54,AW$7)))</f>
        <v/>
      </c>
      <c r="AX54" s="703" t="str">
        <f>IF($E54="","",IF(INDEX(E_SourceStreams!$A:$N,EC54,AX$7)="","",INDEX(E_SourceStreams!$A:$N,EC54,AX$7)))</f>
        <v/>
      </c>
      <c r="AY54" s="703" t="str">
        <f>IF($E54="","",IF(INDEX(E_SourceStreams!$A:$N,ED54,AY$7)="","",INDEX(E_SourceStreams!$A:$N,ED54,AY$7)))</f>
        <v/>
      </c>
      <c r="AZ54" s="703" t="str">
        <f>IF($E54="","",IF(INDEX(E_SourceStreams!$A:$N,EE54,AZ$7)="","",INDEX(E_SourceStreams!$A:$N,EE54,AZ$7)))</f>
        <v/>
      </c>
      <c r="BA54" s="703" t="str">
        <f>IF($E54="","",IF(INDEX(E_SourceStreams!$A:$N,EF54,BA$7)="","",INDEX(E_SourceStreams!$A:$N,EF54,BA$7)))</f>
        <v/>
      </c>
      <c r="BB54" s="703" t="str">
        <f>IF($E54="","",IF(INDEX(E_SourceStreams!$A:$N,EG54,BB$7)="","",INDEX(E_SourceStreams!$A:$N,EG54,BB$7)))</f>
        <v/>
      </c>
      <c r="BC54" s="703" t="str">
        <f>IF($E54="","",IF(INDEX(E_SourceStreams!$A:$N,EH54,BC$7)="","",INDEX(E_SourceStreams!$A:$N,EH54,BC$7)))</f>
        <v/>
      </c>
      <c r="BD54" s="703" t="str">
        <f>IF($E54="","",IF(INDEX(E_SourceStreams!$A:$N,EI54,BD$7)="","",INDEX(E_SourceStreams!$A:$N,EI54,BD$7)))</f>
        <v/>
      </c>
      <c r="BE54" s="703" t="str">
        <f>IF($E54="","",IF(INDEX(E_SourceStreams!$A:$N,EJ54,BE$7)="","",INDEX(E_SourceStreams!$A:$N,EJ54,BE$7)))</f>
        <v/>
      </c>
      <c r="BF54" s="703" t="str">
        <f>IF($E54="","",IF(INDEX(E_SourceStreams!$A:$N,EK54,BF$7)="","",INDEX(E_SourceStreams!$A:$N,EK54,BF$7)))</f>
        <v/>
      </c>
      <c r="BG54" s="703" t="str">
        <f>IF($E54="","",IF(INDEX(E_SourceStreams!$A:$N,EL54,BG$7)="","",INDEX(E_SourceStreams!$A:$N,EL54,BG$7)))</f>
        <v/>
      </c>
      <c r="BH54" s="703" t="str">
        <f>IF($E54="","",IF(INDEX(E_SourceStreams!$A:$N,EM54,BH$7)="","",INDEX(E_SourceStreams!$A:$N,EM54,BH$7)))</f>
        <v/>
      </c>
      <c r="BI54" s="703" t="str">
        <f>IF($E54="","",IF(INDEX(E_SourceStreams!$A:$N,EN54,BI$7)="","",INDEX(E_SourceStreams!$A:$N,EN54,BI$7)))</f>
        <v/>
      </c>
      <c r="BJ54" s="703" t="str">
        <f>IF($E54="","",IF(INDEX(E_SourceStreams!$A:$N,EO54,BJ$7)="","",INDEX(E_SourceStreams!$A:$N,EO54,BJ$7)))</f>
        <v/>
      </c>
      <c r="BK54" s="703" t="str">
        <f>IF($E54="","",IF(INDEX(E_SourceStreams!$A:$N,EP54,BK$7)="","",INDEX(E_SourceStreams!$A:$N,EP54,BK$7)))</f>
        <v/>
      </c>
      <c r="BL54" s="703" t="str">
        <f>IF($E54="","",IF(INDEX(E_SourceStreams!$A:$N,EQ54,BL$7)="","",INDEX(E_SourceStreams!$A:$N,EQ54,BL$7)))</f>
        <v/>
      </c>
      <c r="BM54" s="703" t="str">
        <f>IF($E54="","",IF(INDEX(E_SourceStreams!$A:$N,ER54,BM$7)="","",INDEX(E_SourceStreams!$A:$N,ER54,BM$7)))</f>
        <v/>
      </c>
      <c r="BN54" s="703" t="str">
        <f>IF($E54="","",IF(INDEX(E_SourceStreams!$A:$N,ES54,BN$7)="","",INDEX(E_SourceStreams!$A:$N,ES54,BN$7)))</f>
        <v/>
      </c>
      <c r="BO54" s="703" t="str">
        <f>IF($E54="","",IF(INDEX(E_SourceStreams!$A:$N,ET54,BO$7)="","",INDEX(E_SourceStreams!$A:$N,ET54,BO$7)))</f>
        <v/>
      </c>
      <c r="BP54" s="703" t="str">
        <f>IF($E54="","",IF(INDEX(E_SourceStreams!$A:$N,EU54,BP$7)="","",INDEX(E_SourceStreams!$A:$N,EU54,BP$7)))</f>
        <v/>
      </c>
      <c r="BQ54" s="703" t="str">
        <f>IF($E54="","",IF(INDEX(E_SourceStreams!$A:$N,EV54,BQ$7)="","",INDEX(E_SourceStreams!$A:$N,EV54,BQ$7)))</f>
        <v/>
      </c>
      <c r="BR54" s="703" t="str">
        <f>IF($E54="","",IF(INDEX(E_SourceStreams!$A:$N,EW54,BR$7)="","",INDEX(E_SourceStreams!$A:$N,EW54,BR$7)))</f>
        <v/>
      </c>
      <c r="BS54" s="703" t="str">
        <f>IF($E54="","",IF(INDEX(E_SourceStreams!$A:$N,EX54,BS$7)="","",INDEX(E_SourceStreams!$A:$N,EX54,BS$7)))</f>
        <v/>
      </c>
      <c r="BT54" s="703" t="str">
        <f>IF($E54="","",IF(INDEX(E_SourceStreams!$A:$N,EY54,BT$7)="","",INDEX(E_SourceStreams!$A:$N,EY54,BT$7)))</f>
        <v/>
      </c>
      <c r="BU54" s="625"/>
      <c r="CJ54" s="679" t="str">
        <f t="shared" si="66"/>
        <v>SourceCategory_</v>
      </c>
      <c r="CK54" s="679" t="b">
        <f>INDEX(C_InstallationDescription!$A$226:$A$332,ROWS($CI$11:CI54))="ausblenden"</f>
        <v>1</v>
      </c>
      <c r="CL54" s="679" t="str">
        <f t="shared" si="67"/>
        <v>SourceStreamName_</v>
      </c>
      <c r="CN54" s="679">
        <f t="shared" si="65"/>
        <v>2973</v>
      </c>
      <c r="CO54" s="679">
        <f t="shared" si="2"/>
        <v>2975</v>
      </c>
      <c r="CP54" s="679">
        <f t="shared" si="3"/>
        <v>2977</v>
      </c>
      <c r="CQ54" s="679">
        <f t="shared" si="4"/>
        <v>2979</v>
      </c>
      <c r="CR54" s="679">
        <f t="shared" si="5"/>
        <v>2981</v>
      </c>
      <c r="CS54" s="679">
        <f t="shared" si="6"/>
        <v>2983</v>
      </c>
      <c r="CT54" s="679">
        <f t="shared" si="7"/>
        <v>2985</v>
      </c>
      <c r="CU54" s="679">
        <f t="shared" si="8"/>
        <v>2985</v>
      </c>
      <c r="CV54" s="679">
        <f t="shared" si="9"/>
        <v>2985</v>
      </c>
      <c r="CW54" s="679">
        <f t="shared" si="10"/>
        <v>2985</v>
      </c>
      <c r="CX54" s="679">
        <f t="shared" si="11"/>
        <v>2985</v>
      </c>
      <c r="CY54" s="679">
        <f t="shared" si="12"/>
        <v>2988</v>
      </c>
      <c r="CZ54" s="679">
        <f t="shared" si="13"/>
        <v>2992</v>
      </c>
      <c r="DA54" s="679">
        <f t="shared" si="14"/>
        <v>2993</v>
      </c>
      <c r="DB54" s="679">
        <f t="shared" si="15"/>
        <v>2994</v>
      </c>
      <c r="DC54" s="679">
        <f t="shared" si="16"/>
        <v>3001</v>
      </c>
      <c r="DD54" s="679">
        <f t="shared" si="17"/>
        <v>3011</v>
      </c>
      <c r="DE54" s="679">
        <f t="shared" si="18"/>
        <v>3011</v>
      </c>
      <c r="DF54" s="679">
        <f t="shared" si="19"/>
        <v>3011</v>
      </c>
      <c r="DG54" s="679">
        <f t="shared" si="20"/>
        <v>3011</v>
      </c>
      <c r="DH54" s="679">
        <f t="shared" si="21"/>
        <v>3011</v>
      </c>
      <c r="DI54" s="679">
        <f t="shared" si="22"/>
        <v>3011</v>
      </c>
      <c r="DJ54" s="679">
        <f t="shared" si="23"/>
        <v>3011</v>
      </c>
      <c r="DK54" s="679">
        <f t="shared" si="24"/>
        <v>3002</v>
      </c>
      <c r="DL54" s="679">
        <f t="shared" si="25"/>
        <v>3012</v>
      </c>
      <c r="DM54" s="679">
        <f t="shared" si="26"/>
        <v>3012</v>
      </c>
      <c r="DN54" s="679">
        <f t="shared" si="27"/>
        <v>3012</v>
      </c>
      <c r="DO54" s="679">
        <f t="shared" si="28"/>
        <v>3012</v>
      </c>
      <c r="DP54" s="679">
        <f t="shared" si="29"/>
        <v>3012</v>
      </c>
      <c r="DQ54" s="679">
        <f t="shared" si="30"/>
        <v>3012</v>
      </c>
      <c r="DR54" s="679">
        <f t="shared" si="31"/>
        <v>3012</v>
      </c>
      <c r="DS54" s="679">
        <f t="shared" si="32"/>
        <v>3003</v>
      </c>
      <c r="DT54" s="679">
        <f t="shared" si="33"/>
        <v>3013</v>
      </c>
      <c r="DU54" s="679">
        <f t="shared" si="34"/>
        <v>3013</v>
      </c>
      <c r="DV54" s="679">
        <f t="shared" si="35"/>
        <v>3013</v>
      </c>
      <c r="DW54" s="679">
        <f t="shared" si="36"/>
        <v>3013</v>
      </c>
      <c r="DX54" s="679">
        <f t="shared" si="37"/>
        <v>3013</v>
      </c>
      <c r="DY54" s="679">
        <f t="shared" si="38"/>
        <v>3013</v>
      </c>
      <c r="DZ54" s="679">
        <f t="shared" si="39"/>
        <v>3013</v>
      </c>
      <c r="EA54" s="679">
        <f t="shared" si="40"/>
        <v>3004</v>
      </c>
      <c r="EB54" s="679">
        <f t="shared" si="41"/>
        <v>3014</v>
      </c>
      <c r="EC54" s="679">
        <f t="shared" si="42"/>
        <v>3014</v>
      </c>
      <c r="ED54" s="679">
        <f t="shared" si="43"/>
        <v>3014</v>
      </c>
      <c r="EE54" s="679">
        <f t="shared" si="44"/>
        <v>3014</v>
      </c>
      <c r="EF54" s="679">
        <f t="shared" si="45"/>
        <v>3014</v>
      </c>
      <c r="EG54" s="679">
        <f t="shared" si="46"/>
        <v>3014</v>
      </c>
      <c r="EH54" s="679">
        <f t="shared" si="47"/>
        <v>3014</v>
      </c>
      <c r="EI54" s="679">
        <f t="shared" si="48"/>
        <v>3005</v>
      </c>
      <c r="EJ54" s="679">
        <f t="shared" si="49"/>
        <v>3015</v>
      </c>
      <c r="EK54" s="679">
        <f t="shared" si="50"/>
        <v>3015</v>
      </c>
      <c r="EL54" s="679">
        <f t="shared" si="51"/>
        <v>3015</v>
      </c>
      <c r="EM54" s="679">
        <f t="shared" si="52"/>
        <v>3015</v>
      </c>
      <c r="EN54" s="679">
        <f t="shared" si="53"/>
        <v>3015</v>
      </c>
      <c r="EO54" s="679">
        <f t="shared" si="54"/>
        <v>3015</v>
      </c>
      <c r="EP54" s="679">
        <f t="shared" si="55"/>
        <v>3015</v>
      </c>
      <c r="EQ54" s="679">
        <f t="shared" si="56"/>
        <v>3006</v>
      </c>
      <c r="ER54" s="679">
        <f t="shared" si="57"/>
        <v>3016</v>
      </c>
      <c r="ES54" s="679">
        <f t="shared" si="58"/>
        <v>3016</v>
      </c>
      <c r="ET54" s="679">
        <f t="shared" si="59"/>
        <v>3016</v>
      </c>
      <c r="EU54" s="679">
        <f t="shared" si="60"/>
        <v>3016</v>
      </c>
      <c r="EV54" s="679">
        <f t="shared" si="61"/>
        <v>3016</v>
      </c>
      <c r="EW54" s="679">
        <f t="shared" si="62"/>
        <v>3016</v>
      </c>
      <c r="EX54" s="679">
        <f t="shared" si="63"/>
        <v>3016</v>
      </c>
      <c r="EY54" s="679">
        <f t="shared" si="64"/>
        <v>3022</v>
      </c>
    </row>
    <row r="55" spans="2:155" ht="12.75" customHeight="1" x14ac:dyDescent="0.2">
      <c r="B55" s="700" t="str">
        <f>IF(COUNTIF($CK$10:CK55,TRUE)&gt;0,"",INDEX(C_InstallationDescription!$E$226:$E$242,ROWS($A$11:A55)))</f>
        <v/>
      </c>
      <c r="C55" s="581" t="str">
        <f>IF($E55="","",INDEX(C_InstallationDescription!F:F,MATCH($B55,C_InstallationDescription!$E:$E,0)))</f>
        <v/>
      </c>
      <c r="D55" s="581" t="str">
        <f>IF($E55="","",INDEX(C_InstallationDescription!I:I,MATCH($B55,C_InstallationDescription!$E:$E,0)))</f>
        <v/>
      </c>
      <c r="E55" s="581" t="str">
        <f>IF($B55="","",INDEX(C_InstallationDescription!F:F,MATCH($CJ55,C_InstallationDescription!$Q:$Q,0)))</f>
        <v/>
      </c>
      <c r="F55" s="706" t="str">
        <f>IF($E55="","",INDEX(C_InstallationDescription!L:L,MATCH($CJ55,C_InstallationDescription!$Q:$Q,0)))</f>
        <v/>
      </c>
      <c r="G55" s="581" t="str">
        <f>IF($E55="","",INDEX(C_InstallationDescription!M:M,MATCH($CJ55,C_InstallationDescription!$Q:$Q,0)))</f>
        <v/>
      </c>
      <c r="H55" s="581" t="str">
        <f>IF($E55="","",INDEX(C_InstallationDescription!N:N,MATCH($CJ55,C_InstallationDescription!$Q:$Q,0)))</f>
        <v/>
      </c>
      <c r="I55" s="703" t="str">
        <f>IF($E55="","",IF(INDEX(E_SourceStreams!$A:$N,CN55,I$7)="","",INDEX(E_SourceStreams!$A:$N,CN55,I$7)))</f>
        <v/>
      </c>
      <c r="J55" s="703" t="str">
        <f>IF($E55="","",IF(INDEX(E_SourceStreams!$A:$N,CO55,J$7)="","",INDEX(E_SourceStreams!$A:$N,CO55,J$7)))</f>
        <v/>
      </c>
      <c r="K55" s="703" t="str">
        <f>IF($E55="","",IF(INDEX(E_SourceStreams!$A:$N,CP55,K$7)="","",INDEX(E_SourceStreams!$A:$N,CP55,K$7)))</f>
        <v/>
      </c>
      <c r="L55" s="703" t="str">
        <f>IF($E55="","",IF(INDEX(E_SourceStreams!$A:$N,CQ55,L$7)="","",INDEX(E_SourceStreams!$A:$N,CQ55,L$7)))</f>
        <v/>
      </c>
      <c r="M55" s="703" t="str">
        <f>IF($E55="","",IF(INDEX(E_SourceStreams!$A:$N,CR55,M$7)="","",INDEX(E_SourceStreams!$A:$N,CR55,M$7)))</f>
        <v/>
      </c>
      <c r="N55" s="703" t="str">
        <f>IF($E55="","",IF(INDEX(E_SourceStreams!$A:$N,CS55,N$7)="","",INDEX(E_SourceStreams!$A:$N,CS55,N$7)))</f>
        <v/>
      </c>
      <c r="O55" s="703" t="str">
        <f>IF($E55="","",IF(INDEX(E_SourceStreams!$A:$N,CT55,O$7)="","",INDEX(E_SourceStreams!$A:$N,CT55,O$7)))</f>
        <v/>
      </c>
      <c r="P55" s="703" t="str">
        <f>IF($E55="","",IF(INDEX(E_SourceStreams!$A:$N,CU55,P$7)="","",INDEX(E_SourceStreams!$A:$N,CU55,P$7)))</f>
        <v/>
      </c>
      <c r="Q55" s="703" t="str">
        <f>IF($E55="","",IF(INDEX(E_SourceStreams!$A:$N,CV55,Q$7)="","",INDEX(E_SourceStreams!$A:$N,CV55,Q$7)))</f>
        <v/>
      </c>
      <c r="R55" s="703" t="str">
        <f>IF($E55="","",IF(INDEX(E_SourceStreams!$A:$N,CW55,R$7)="","",INDEX(E_SourceStreams!$A:$N,CW55,R$7)))</f>
        <v/>
      </c>
      <c r="S55" s="703" t="str">
        <f>IF($E55="","",IF(INDEX(E_SourceStreams!$A:$N,CX55,S$7)="","",INDEX(E_SourceStreams!$A:$N,CX55,S$7)))</f>
        <v/>
      </c>
      <c r="T55" s="703" t="str">
        <f>IF($E55="","",IF(INDEX(E_SourceStreams!$A:$N,CY55,T$7)="","",INDEX(E_SourceStreams!$A:$N,CY55,T$7)))</f>
        <v/>
      </c>
      <c r="U55" s="703" t="str">
        <f>IF($E55="","",IF(INDEX(E_SourceStreams!$A:$N,CZ55,U$7)="","",INDEX(E_SourceStreams!$A:$N,CZ55,U$7)))</f>
        <v/>
      </c>
      <c r="V55" s="703" t="str">
        <f>IF($E55="","",IF(INDEX(E_SourceStreams!$A:$N,DA55,V$7)="","",INDEX(E_SourceStreams!$A:$N,DA55,V$7)))</f>
        <v/>
      </c>
      <c r="W55" s="704" t="str">
        <f>IF($E55="","",IF(INDEX(E_SourceStreams!$A:$N,DB55,W$7)="","",INDEX(E_SourceStreams!$A:$N,DB55,W$7)))</f>
        <v/>
      </c>
      <c r="X55" s="703" t="str">
        <f>IF($E55="","",IF(INDEX(E_SourceStreams!$A:$N,DC55,X$7)="","",INDEX(E_SourceStreams!$A:$N,DC55,X$7)))</f>
        <v/>
      </c>
      <c r="Y55" s="703" t="str">
        <f>IF($E55="","",IF(INDEX(E_SourceStreams!$A:$N,DD55,Y$7)="","",INDEX(E_SourceStreams!$A:$N,DD55,Y$7)))</f>
        <v/>
      </c>
      <c r="Z55" s="703" t="str">
        <f>IF($E55="","",IF(INDEX(E_SourceStreams!$A:$N,DE55,Z$7)="","",INDEX(E_SourceStreams!$A:$N,DE55,Z$7)))</f>
        <v/>
      </c>
      <c r="AA55" s="703" t="str">
        <f>IF($E55="","",IF(INDEX(E_SourceStreams!$A:$N,DF55,AA$7)="","",INDEX(E_SourceStreams!$A:$N,DF55,AA$7)))</f>
        <v/>
      </c>
      <c r="AB55" s="703" t="str">
        <f>IF($E55="","",IF(INDEX(E_SourceStreams!$A:$N,DG55,AB$7)="","",INDEX(E_SourceStreams!$A:$N,DG55,AB$7)))</f>
        <v/>
      </c>
      <c r="AC55" s="703" t="str">
        <f>IF($E55="","",IF(INDEX(E_SourceStreams!$A:$N,DH55,AC$7)="","",INDEX(E_SourceStreams!$A:$N,DH55,AC$7)))</f>
        <v/>
      </c>
      <c r="AD55" s="703" t="str">
        <f>IF($E55="","",IF(INDEX(E_SourceStreams!$A:$N,DI55,AD$7)="","",INDEX(E_SourceStreams!$A:$N,DI55,AD$7)))</f>
        <v/>
      </c>
      <c r="AE55" s="703" t="str">
        <f>IF($E55="","",IF(INDEX(E_SourceStreams!$A:$N,DJ55,AE$7)="","",INDEX(E_SourceStreams!$A:$N,DJ55,AE$7)))</f>
        <v/>
      </c>
      <c r="AF55" s="703" t="str">
        <f>IF($E55="","",IF(INDEX(E_SourceStreams!$A:$N,DK55,AF$7)="","",INDEX(E_SourceStreams!$A:$N,DK55,AF$7)))</f>
        <v/>
      </c>
      <c r="AG55" s="703" t="str">
        <f>IF($E55="","",IF(INDEX(E_SourceStreams!$A:$N,DL55,AG$7)="","",INDEX(E_SourceStreams!$A:$N,DL55,AG$7)))</f>
        <v/>
      </c>
      <c r="AH55" s="703" t="str">
        <f>IF($E55="","",IF(INDEX(E_SourceStreams!$A:$N,DM55,AH$7)="","",INDEX(E_SourceStreams!$A:$N,DM55,AH$7)))</f>
        <v/>
      </c>
      <c r="AI55" s="703" t="str">
        <f>IF($E55="","",IF(INDEX(E_SourceStreams!$A:$N,DN55,AI$7)="","",INDEX(E_SourceStreams!$A:$N,DN55,AI$7)))</f>
        <v/>
      </c>
      <c r="AJ55" s="703" t="str">
        <f>IF($E55="","",IF(INDEX(E_SourceStreams!$A:$N,DO55,AJ$7)="","",INDEX(E_SourceStreams!$A:$N,DO55,AJ$7)))</f>
        <v/>
      </c>
      <c r="AK55" s="703" t="str">
        <f>IF($E55="","",IF(INDEX(E_SourceStreams!$A:$N,DP55,AK$7)="","",INDEX(E_SourceStreams!$A:$N,DP55,AK$7)))</f>
        <v/>
      </c>
      <c r="AL55" s="703" t="str">
        <f>IF($E55="","",IF(INDEX(E_SourceStreams!$A:$N,DQ55,AL$7)="","",INDEX(E_SourceStreams!$A:$N,DQ55,AL$7)))</f>
        <v/>
      </c>
      <c r="AM55" s="703" t="str">
        <f>IF($E55="","",IF(INDEX(E_SourceStreams!$A:$N,DR55,AM$7)="","",INDEX(E_SourceStreams!$A:$N,DR55,AM$7)))</f>
        <v/>
      </c>
      <c r="AN55" s="703" t="str">
        <f>IF($E55="","",IF(INDEX(E_SourceStreams!$A:$N,DS55,AN$7)="","",INDEX(E_SourceStreams!$A:$N,DS55,AN$7)))</f>
        <v/>
      </c>
      <c r="AO55" s="703" t="str">
        <f>IF($E55="","",IF(INDEX(E_SourceStreams!$A:$N,DT55,AO$7)="","",INDEX(E_SourceStreams!$A:$N,DT55,AO$7)))</f>
        <v/>
      </c>
      <c r="AP55" s="703" t="str">
        <f>IF($E55="","",IF(INDEX(E_SourceStreams!$A:$N,DU55,AP$7)="","",INDEX(E_SourceStreams!$A:$N,DU55,AP$7)))</f>
        <v/>
      </c>
      <c r="AQ55" s="703" t="str">
        <f>IF($E55="","",IF(INDEX(E_SourceStreams!$A:$N,DV55,AQ$7)="","",INDEX(E_SourceStreams!$A:$N,DV55,AQ$7)))</f>
        <v/>
      </c>
      <c r="AR55" s="703" t="str">
        <f>IF($E55="","",IF(INDEX(E_SourceStreams!$A:$N,DW55,AR$7)="","",INDEX(E_SourceStreams!$A:$N,DW55,AR$7)))</f>
        <v/>
      </c>
      <c r="AS55" s="703" t="str">
        <f>IF($E55="","",IF(INDEX(E_SourceStreams!$A:$N,DX55,AS$7)="","",INDEX(E_SourceStreams!$A:$N,DX55,AS$7)))</f>
        <v/>
      </c>
      <c r="AT55" s="703" t="str">
        <f>IF($E55="","",IF(INDEX(E_SourceStreams!$A:$N,DY55,AT$7)="","",INDEX(E_SourceStreams!$A:$N,DY55,AT$7)))</f>
        <v/>
      </c>
      <c r="AU55" s="703" t="str">
        <f>IF($E55="","",IF(INDEX(E_SourceStreams!$A:$N,DZ55,AU$7)="","",INDEX(E_SourceStreams!$A:$N,DZ55,AU$7)))</f>
        <v/>
      </c>
      <c r="AV55" s="703" t="str">
        <f>IF($E55="","",IF(INDEX(E_SourceStreams!$A:$N,EA55,AV$7)="","",INDEX(E_SourceStreams!$A:$N,EA55,AV$7)))</f>
        <v/>
      </c>
      <c r="AW55" s="703" t="str">
        <f>IF($E55="","",IF(INDEX(E_SourceStreams!$A:$N,EB55,AW$7)="","",INDEX(E_SourceStreams!$A:$N,EB55,AW$7)))</f>
        <v/>
      </c>
      <c r="AX55" s="703" t="str">
        <f>IF($E55="","",IF(INDEX(E_SourceStreams!$A:$N,EC55,AX$7)="","",INDEX(E_SourceStreams!$A:$N,EC55,AX$7)))</f>
        <v/>
      </c>
      <c r="AY55" s="703" t="str">
        <f>IF($E55="","",IF(INDEX(E_SourceStreams!$A:$N,ED55,AY$7)="","",INDEX(E_SourceStreams!$A:$N,ED55,AY$7)))</f>
        <v/>
      </c>
      <c r="AZ55" s="703" t="str">
        <f>IF($E55="","",IF(INDEX(E_SourceStreams!$A:$N,EE55,AZ$7)="","",INDEX(E_SourceStreams!$A:$N,EE55,AZ$7)))</f>
        <v/>
      </c>
      <c r="BA55" s="703" t="str">
        <f>IF($E55="","",IF(INDEX(E_SourceStreams!$A:$N,EF55,BA$7)="","",INDEX(E_SourceStreams!$A:$N,EF55,BA$7)))</f>
        <v/>
      </c>
      <c r="BB55" s="703" t="str">
        <f>IF($E55="","",IF(INDEX(E_SourceStreams!$A:$N,EG55,BB$7)="","",INDEX(E_SourceStreams!$A:$N,EG55,BB$7)))</f>
        <v/>
      </c>
      <c r="BC55" s="703" t="str">
        <f>IF($E55="","",IF(INDEX(E_SourceStreams!$A:$N,EH55,BC$7)="","",INDEX(E_SourceStreams!$A:$N,EH55,BC$7)))</f>
        <v/>
      </c>
      <c r="BD55" s="703" t="str">
        <f>IF($E55="","",IF(INDEX(E_SourceStreams!$A:$N,EI55,BD$7)="","",INDEX(E_SourceStreams!$A:$N,EI55,BD$7)))</f>
        <v/>
      </c>
      <c r="BE55" s="703" t="str">
        <f>IF($E55="","",IF(INDEX(E_SourceStreams!$A:$N,EJ55,BE$7)="","",INDEX(E_SourceStreams!$A:$N,EJ55,BE$7)))</f>
        <v/>
      </c>
      <c r="BF55" s="703" t="str">
        <f>IF($E55="","",IF(INDEX(E_SourceStreams!$A:$N,EK55,BF$7)="","",INDEX(E_SourceStreams!$A:$N,EK55,BF$7)))</f>
        <v/>
      </c>
      <c r="BG55" s="703" t="str">
        <f>IF($E55="","",IF(INDEX(E_SourceStreams!$A:$N,EL55,BG$7)="","",INDEX(E_SourceStreams!$A:$N,EL55,BG$7)))</f>
        <v/>
      </c>
      <c r="BH55" s="703" t="str">
        <f>IF($E55="","",IF(INDEX(E_SourceStreams!$A:$N,EM55,BH$7)="","",INDEX(E_SourceStreams!$A:$N,EM55,BH$7)))</f>
        <v/>
      </c>
      <c r="BI55" s="703" t="str">
        <f>IF($E55="","",IF(INDEX(E_SourceStreams!$A:$N,EN55,BI$7)="","",INDEX(E_SourceStreams!$A:$N,EN55,BI$7)))</f>
        <v/>
      </c>
      <c r="BJ55" s="703" t="str">
        <f>IF($E55="","",IF(INDEX(E_SourceStreams!$A:$N,EO55,BJ$7)="","",INDEX(E_SourceStreams!$A:$N,EO55,BJ$7)))</f>
        <v/>
      </c>
      <c r="BK55" s="703" t="str">
        <f>IF($E55="","",IF(INDEX(E_SourceStreams!$A:$N,EP55,BK$7)="","",INDEX(E_SourceStreams!$A:$N,EP55,BK$7)))</f>
        <v/>
      </c>
      <c r="BL55" s="703" t="str">
        <f>IF($E55="","",IF(INDEX(E_SourceStreams!$A:$N,EQ55,BL$7)="","",INDEX(E_SourceStreams!$A:$N,EQ55,BL$7)))</f>
        <v/>
      </c>
      <c r="BM55" s="703" t="str">
        <f>IF($E55="","",IF(INDEX(E_SourceStreams!$A:$N,ER55,BM$7)="","",INDEX(E_SourceStreams!$A:$N,ER55,BM$7)))</f>
        <v/>
      </c>
      <c r="BN55" s="703" t="str">
        <f>IF($E55="","",IF(INDEX(E_SourceStreams!$A:$N,ES55,BN$7)="","",INDEX(E_SourceStreams!$A:$N,ES55,BN$7)))</f>
        <v/>
      </c>
      <c r="BO55" s="703" t="str">
        <f>IF($E55="","",IF(INDEX(E_SourceStreams!$A:$N,ET55,BO$7)="","",INDEX(E_SourceStreams!$A:$N,ET55,BO$7)))</f>
        <v/>
      </c>
      <c r="BP55" s="703" t="str">
        <f>IF($E55="","",IF(INDEX(E_SourceStreams!$A:$N,EU55,BP$7)="","",INDEX(E_SourceStreams!$A:$N,EU55,BP$7)))</f>
        <v/>
      </c>
      <c r="BQ55" s="703" t="str">
        <f>IF($E55="","",IF(INDEX(E_SourceStreams!$A:$N,EV55,BQ$7)="","",INDEX(E_SourceStreams!$A:$N,EV55,BQ$7)))</f>
        <v/>
      </c>
      <c r="BR55" s="703" t="str">
        <f>IF($E55="","",IF(INDEX(E_SourceStreams!$A:$N,EW55,BR$7)="","",INDEX(E_SourceStreams!$A:$N,EW55,BR$7)))</f>
        <v/>
      </c>
      <c r="BS55" s="703" t="str">
        <f>IF($E55="","",IF(INDEX(E_SourceStreams!$A:$N,EX55,BS$7)="","",INDEX(E_SourceStreams!$A:$N,EX55,BS$7)))</f>
        <v/>
      </c>
      <c r="BT55" s="703" t="str">
        <f>IF($E55="","",IF(INDEX(E_SourceStreams!$A:$N,EY55,BT$7)="","",INDEX(E_SourceStreams!$A:$N,EY55,BT$7)))</f>
        <v/>
      </c>
      <c r="BU55" s="625"/>
      <c r="CJ55" s="679" t="str">
        <f t="shared" si="66"/>
        <v>SourceCategory_</v>
      </c>
      <c r="CK55" s="679" t="b">
        <f>INDEX(C_InstallationDescription!$A$226:$A$332,ROWS($CI$11:CI55))="ausblenden"</f>
        <v>1</v>
      </c>
      <c r="CL55" s="679" t="str">
        <f t="shared" si="67"/>
        <v>SourceStreamName_</v>
      </c>
      <c r="CN55" s="679">
        <f t="shared" si="65"/>
        <v>3039</v>
      </c>
      <c r="CO55" s="679">
        <f t="shared" si="2"/>
        <v>3041</v>
      </c>
      <c r="CP55" s="679">
        <f t="shared" si="3"/>
        <v>3043</v>
      </c>
      <c r="CQ55" s="679">
        <f t="shared" si="4"/>
        <v>3045</v>
      </c>
      <c r="CR55" s="679">
        <f t="shared" si="5"/>
        <v>3047</v>
      </c>
      <c r="CS55" s="679">
        <f t="shared" si="6"/>
        <v>3049</v>
      </c>
      <c r="CT55" s="679">
        <f t="shared" si="7"/>
        <v>3051</v>
      </c>
      <c r="CU55" s="679">
        <f t="shared" si="8"/>
        <v>3051</v>
      </c>
      <c r="CV55" s="679">
        <f t="shared" si="9"/>
        <v>3051</v>
      </c>
      <c r="CW55" s="679">
        <f t="shared" si="10"/>
        <v>3051</v>
      </c>
      <c r="CX55" s="679">
        <f t="shared" si="11"/>
        <v>3051</v>
      </c>
      <c r="CY55" s="679">
        <f t="shared" si="12"/>
        <v>3054</v>
      </c>
      <c r="CZ55" s="679">
        <f t="shared" si="13"/>
        <v>3058</v>
      </c>
      <c r="DA55" s="679">
        <f t="shared" si="14"/>
        <v>3059</v>
      </c>
      <c r="DB55" s="679">
        <f t="shared" si="15"/>
        <v>3060</v>
      </c>
      <c r="DC55" s="679">
        <f t="shared" si="16"/>
        <v>3067</v>
      </c>
      <c r="DD55" s="679">
        <f t="shared" si="17"/>
        <v>3077</v>
      </c>
      <c r="DE55" s="679">
        <f t="shared" si="18"/>
        <v>3077</v>
      </c>
      <c r="DF55" s="679">
        <f t="shared" si="19"/>
        <v>3077</v>
      </c>
      <c r="DG55" s="679">
        <f t="shared" si="20"/>
        <v>3077</v>
      </c>
      <c r="DH55" s="679">
        <f t="shared" si="21"/>
        <v>3077</v>
      </c>
      <c r="DI55" s="679">
        <f t="shared" si="22"/>
        <v>3077</v>
      </c>
      <c r="DJ55" s="679">
        <f t="shared" si="23"/>
        <v>3077</v>
      </c>
      <c r="DK55" s="679">
        <f t="shared" si="24"/>
        <v>3068</v>
      </c>
      <c r="DL55" s="679">
        <f t="shared" si="25"/>
        <v>3078</v>
      </c>
      <c r="DM55" s="679">
        <f t="shared" si="26"/>
        <v>3078</v>
      </c>
      <c r="DN55" s="679">
        <f t="shared" si="27"/>
        <v>3078</v>
      </c>
      <c r="DO55" s="679">
        <f t="shared" si="28"/>
        <v>3078</v>
      </c>
      <c r="DP55" s="679">
        <f t="shared" si="29"/>
        <v>3078</v>
      </c>
      <c r="DQ55" s="679">
        <f t="shared" si="30"/>
        <v>3078</v>
      </c>
      <c r="DR55" s="679">
        <f t="shared" si="31"/>
        <v>3078</v>
      </c>
      <c r="DS55" s="679">
        <f t="shared" si="32"/>
        <v>3069</v>
      </c>
      <c r="DT55" s="679">
        <f t="shared" si="33"/>
        <v>3079</v>
      </c>
      <c r="DU55" s="679">
        <f t="shared" si="34"/>
        <v>3079</v>
      </c>
      <c r="DV55" s="679">
        <f t="shared" si="35"/>
        <v>3079</v>
      </c>
      <c r="DW55" s="679">
        <f t="shared" si="36"/>
        <v>3079</v>
      </c>
      <c r="DX55" s="679">
        <f t="shared" si="37"/>
        <v>3079</v>
      </c>
      <c r="DY55" s="679">
        <f t="shared" si="38"/>
        <v>3079</v>
      </c>
      <c r="DZ55" s="679">
        <f t="shared" si="39"/>
        <v>3079</v>
      </c>
      <c r="EA55" s="679">
        <f t="shared" si="40"/>
        <v>3070</v>
      </c>
      <c r="EB55" s="679">
        <f t="shared" si="41"/>
        <v>3080</v>
      </c>
      <c r="EC55" s="679">
        <f t="shared" si="42"/>
        <v>3080</v>
      </c>
      <c r="ED55" s="679">
        <f t="shared" si="43"/>
        <v>3080</v>
      </c>
      <c r="EE55" s="679">
        <f t="shared" si="44"/>
        <v>3080</v>
      </c>
      <c r="EF55" s="679">
        <f t="shared" si="45"/>
        <v>3080</v>
      </c>
      <c r="EG55" s="679">
        <f t="shared" si="46"/>
        <v>3080</v>
      </c>
      <c r="EH55" s="679">
        <f t="shared" si="47"/>
        <v>3080</v>
      </c>
      <c r="EI55" s="679">
        <f t="shared" si="48"/>
        <v>3071</v>
      </c>
      <c r="EJ55" s="679">
        <f t="shared" si="49"/>
        <v>3081</v>
      </c>
      <c r="EK55" s="679">
        <f t="shared" si="50"/>
        <v>3081</v>
      </c>
      <c r="EL55" s="679">
        <f t="shared" si="51"/>
        <v>3081</v>
      </c>
      <c r="EM55" s="679">
        <f t="shared" si="52"/>
        <v>3081</v>
      </c>
      <c r="EN55" s="679">
        <f t="shared" si="53"/>
        <v>3081</v>
      </c>
      <c r="EO55" s="679">
        <f t="shared" si="54"/>
        <v>3081</v>
      </c>
      <c r="EP55" s="679">
        <f t="shared" si="55"/>
        <v>3081</v>
      </c>
      <c r="EQ55" s="679">
        <f t="shared" si="56"/>
        <v>3072</v>
      </c>
      <c r="ER55" s="679">
        <f t="shared" si="57"/>
        <v>3082</v>
      </c>
      <c r="ES55" s="679">
        <f t="shared" si="58"/>
        <v>3082</v>
      </c>
      <c r="ET55" s="679">
        <f t="shared" si="59"/>
        <v>3082</v>
      </c>
      <c r="EU55" s="679">
        <f t="shared" si="60"/>
        <v>3082</v>
      </c>
      <c r="EV55" s="679">
        <f t="shared" si="61"/>
        <v>3082</v>
      </c>
      <c r="EW55" s="679">
        <f t="shared" si="62"/>
        <v>3082</v>
      </c>
      <c r="EX55" s="679">
        <f t="shared" si="63"/>
        <v>3082</v>
      </c>
      <c r="EY55" s="679">
        <f t="shared" si="64"/>
        <v>3088</v>
      </c>
    </row>
    <row r="56" spans="2:155" ht="12.75" customHeight="1" x14ac:dyDescent="0.2">
      <c r="B56" s="700" t="str">
        <f>IF(COUNTIF($CK$10:CK56,TRUE)&gt;0,"",INDEX(C_InstallationDescription!$E$226:$E$242,ROWS($A$11:A56)))</f>
        <v/>
      </c>
      <c r="C56" s="581" t="str">
        <f>IF($E56="","",INDEX(C_InstallationDescription!F:F,MATCH($B56,C_InstallationDescription!$E:$E,0)))</f>
        <v/>
      </c>
      <c r="D56" s="581" t="str">
        <f>IF($E56="","",INDEX(C_InstallationDescription!I:I,MATCH($B56,C_InstallationDescription!$E:$E,0)))</f>
        <v/>
      </c>
      <c r="E56" s="581" t="str">
        <f>IF($B56="","",INDEX(C_InstallationDescription!F:F,MATCH($CJ56,C_InstallationDescription!$Q:$Q,0)))</f>
        <v/>
      </c>
      <c r="F56" s="706" t="str">
        <f>IF($E56="","",INDEX(C_InstallationDescription!L:L,MATCH($CJ56,C_InstallationDescription!$Q:$Q,0)))</f>
        <v/>
      </c>
      <c r="G56" s="581" t="str">
        <f>IF($E56="","",INDEX(C_InstallationDescription!M:M,MATCH($CJ56,C_InstallationDescription!$Q:$Q,0)))</f>
        <v/>
      </c>
      <c r="H56" s="581" t="str">
        <f>IF($E56="","",INDEX(C_InstallationDescription!N:N,MATCH($CJ56,C_InstallationDescription!$Q:$Q,0)))</f>
        <v/>
      </c>
      <c r="I56" s="703" t="str">
        <f>IF($E56="","",IF(INDEX(E_SourceStreams!$A:$N,CN56,I$7)="","",INDEX(E_SourceStreams!$A:$N,CN56,I$7)))</f>
        <v/>
      </c>
      <c r="J56" s="703" t="str">
        <f>IF($E56="","",IF(INDEX(E_SourceStreams!$A:$N,CO56,J$7)="","",INDEX(E_SourceStreams!$A:$N,CO56,J$7)))</f>
        <v/>
      </c>
      <c r="K56" s="703" t="str">
        <f>IF($E56="","",IF(INDEX(E_SourceStreams!$A:$N,CP56,K$7)="","",INDEX(E_SourceStreams!$A:$N,CP56,K$7)))</f>
        <v/>
      </c>
      <c r="L56" s="703" t="str">
        <f>IF($E56="","",IF(INDEX(E_SourceStreams!$A:$N,CQ56,L$7)="","",INDEX(E_SourceStreams!$A:$N,CQ56,L$7)))</f>
        <v/>
      </c>
      <c r="M56" s="703" t="str">
        <f>IF($E56="","",IF(INDEX(E_SourceStreams!$A:$N,CR56,M$7)="","",INDEX(E_SourceStreams!$A:$N,CR56,M$7)))</f>
        <v/>
      </c>
      <c r="N56" s="703" t="str">
        <f>IF($E56="","",IF(INDEX(E_SourceStreams!$A:$N,CS56,N$7)="","",INDEX(E_SourceStreams!$A:$N,CS56,N$7)))</f>
        <v/>
      </c>
      <c r="O56" s="703" t="str">
        <f>IF($E56="","",IF(INDEX(E_SourceStreams!$A:$N,CT56,O$7)="","",INDEX(E_SourceStreams!$A:$N,CT56,O$7)))</f>
        <v/>
      </c>
      <c r="P56" s="703" t="str">
        <f>IF($E56="","",IF(INDEX(E_SourceStreams!$A:$N,CU56,P$7)="","",INDEX(E_SourceStreams!$A:$N,CU56,P$7)))</f>
        <v/>
      </c>
      <c r="Q56" s="703" t="str">
        <f>IF($E56="","",IF(INDEX(E_SourceStreams!$A:$N,CV56,Q$7)="","",INDEX(E_SourceStreams!$A:$N,CV56,Q$7)))</f>
        <v/>
      </c>
      <c r="R56" s="703" t="str">
        <f>IF($E56="","",IF(INDEX(E_SourceStreams!$A:$N,CW56,R$7)="","",INDEX(E_SourceStreams!$A:$N,CW56,R$7)))</f>
        <v/>
      </c>
      <c r="S56" s="703" t="str">
        <f>IF($E56="","",IF(INDEX(E_SourceStreams!$A:$N,CX56,S$7)="","",INDEX(E_SourceStreams!$A:$N,CX56,S$7)))</f>
        <v/>
      </c>
      <c r="T56" s="703" t="str">
        <f>IF($E56="","",IF(INDEX(E_SourceStreams!$A:$N,CY56,T$7)="","",INDEX(E_SourceStreams!$A:$N,CY56,T$7)))</f>
        <v/>
      </c>
      <c r="U56" s="703" t="str">
        <f>IF($E56="","",IF(INDEX(E_SourceStreams!$A:$N,CZ56,U$7)="","",INDEX(E_SourceStreams!$A:$N,CZ56,U$7)))</f>
        <v/>
      </c>
      <c r="V56" s="703" t="str">
        <f>IF($E56="","",IF(INDEX(E_SourceStreams!$A:$N,DA56,V$7)="","",INDEX(E_SourceStreams!$A:$N,DA56,V$7)))</f>
        <v/>
      </c>
      <c r="W56" s="704" t="str">
        <f>IF($E56="","",IF(INDEX(E_SourceStreams!$A:$N,DB56,W$7)="","",INDEX(E_SourceStreams!$A:$N,DB56,W$7)))</f>
        <v/>
      </c>
      <c r="X56" s="703" t="str">
        <f>IF($E56="","",IF(INDEX(E_SourceStreams!$A:$N,DC56,X$7)="","",INDEX(E_SourceStreams!$A:$N,DC56,X$7)))</f>
        <v/>
      </c>
      <c r="Y56" s="703" t="str">
        <f>IF($E56="","",IF(INDEX(E_SourceStreams!$A:$N,DD56,Y$7)="","",INDEX(E_SourceStreams!$A:$N,DD56,Y$7)))</f>
        <v/>
      </c>
      <c r="Z56" s="703" t="str">
        <f>IF($E56="","",IF(INDEX(E_SourceStreams!$A:$N,DE56,Z$7)="","",INDEX(E_SourceStreams!$A:$N,DE56,Z$7)))</f>
        <v/>
      </c>
      <c r="AA56" s="703" t="str">
        <f>IF($E56="","",IF(INDEX(E_SourceStreams!$A:$N,DF56,AA$7)="","",INDEX(E_SourceStreams!$A:$N,DF56,AA$7)))</f>
        <v/>
      </c>
      <c r="AB56" s="703" t="str">
        <f>IF($E56="","",IF(INDEX(E_SourceStreams!$A:$N,DG56,AB$7)="","",INDEX(E_SourceStreams!$A:$N,DG56,AB$7)))</f>
        <v/>
      </c>
      <c r="AC56" s="703" t="str">
        <f>IF($E56="","",IF(INDEX(E_SourceStreams!$A:$N,DH56,AC$7)="","",INDEX(E_SourceStreams!$A:$N,DH56,AC$7)))</f>
        <v/>
      </c>
      <c r="AD56" s="703" t="str">
        <f>IF($E56="","",IF(INDEX(E_SourceStreams!$A:$N,DI56,AD$7)="","",INDEX(E_SourceStreams!$A:$N,DI56,AD$7)))</f>
        <v/>
      </c>
      <c r="AE56" s="703" t="str">
        <f>IF($E56="","",IF(INDEX(E_SourceStreams!$A:$N,DJ56,AE$7)="","",INDEX(E_SourceStreams!$A:$N,DJ56,AE$7)))</f>
        <v/>
      </c>
      <c r="AF56" s="703" t="str">
        <f>IF($E56="","",IF(INDEX(E_SourceStreams!$A:$N,DK56,AF$7)="","",INDEX(E_SourceStreams!$A:$N,DK56,AF$7)))</f>
        <v/>
      </c>
      <c r="AG56" s="703" t="str">
        <f>IF($E56="","",IF(INDEX(E_SourceStreams!$A:$N,DL56,AG$7)="","",INDEX(E_SourceStreams!$A:$N,DL56,AG$7)))</f>
        <v/>
      </c>
      <c r="AH56" s="703" t="str">
        <f>IF($E56="","",IF(INDEX(E_SourceStreams!$A:$N,DM56,AH$7)="","",INDEX(E_SourceStreams!$A:$N,DM56,AH$7)))</f>
        <v/>
      </c>
      <c r="AI56" s="703" t="str">
        <f>IF($E56="","",IF(INDEX(E_SourceStreams!$A:$N,DN56,AI$7)="","",INDEX(E_SourceStreams!$A:$N,DN56,AI$7)))</f>
        <v/>
      </c>
      <c r="AJ56" s="703" t="str">
        <f>IF($E56="","",IF(INDEX(E_SourceStreams!$A:$N,DO56,AJ$7)="","",INDEX(E_SourceStreams!$A:$N,DO56,AJ$7)))</f>
        <v/>
      </c>
      <c r="AK56" s="703" t="str">
        <f>IF($E56="","",IF(INDEX(E_SourceStreams!$A:$N,DP56,AK$7)="","",INDEX(E_SourceStreams!$A:$N,DP56,AK$7)))</f>
        <v/>
      </c>
      <c r="AL56" s="703" t="str">
        <f>IF($E56="","",IF(INDEX(E_SourceStreams!$A:$N,DQ56,AL$7)="","",INDEX(E_SourceStreams!$A:$N,DQ56,AL$7)))</f>
        <v/>
      </c>
      <c r="AM56" s="703" t="str">
        <f>IF($E56="","",IF(INDEX(E_SourceStreams!$A:$N,DR56,AM$7)="","",INDEX(E_SourceStreams!$A:$N,DR56,AM$7)))</f>
        <v/>
      </c>
      <c r="AN56" s="703" t="str">
        <f>IF($E56="","",IF(INDEX(E_SourceStreams!$A:$N,DS56,AN$7)="","",INDEX(E_SourceStreams!$A:$N,DS56,AN$7)))</f>
        <v/>
      </c>
      <c r="AO56" s="703" t="str">
        <f>IF($E56="","",IF(INDEX(E_SourceStreams!$A:$N,DT56,AO$7)="","",INDEX(E_SourceStreams!$A:$N,DT56,AO$7)))</f>
        <v/>
      </c>
      <c r="AP56" s="703" t="str">
        <f>IF($E56="","",IF(INDEX(E_SourceStreams!$A:$N,DU56,AP$7)="","",INDEX(E_SourceStreams!$A:$N,DU56,AP$7)))</f>
        <v/>
      </c>
      <c r="AQ56" s="703" t="str">
        <f>IF($E56="","",IF(INDEX(E_SourceStreams!$A:$N,DV56,AQ$7)="","",INDEX(E_SourceStreams!$A:$N,DV56,AQ$7)))</f>
        <v/>
      </c>
      <c r="AR56" s="703" t="str">
        <f>IF($E56="","",IF(INDEX(E_SourceStreams!$A:$N,DW56,AR$7)="","",INDEX(E_SourceStreams!$A:$N,DW56,AR$7)))</f>
        <v/>
      </c>
      <c r="AS56" s="703" t="str">
        <f>IF($E56="","",IF(INDEX(E_SourceStreams!$A:$N,DX56,AS$7)="","",INDEX(E_SourceStreams!$A:$N,DX56,AS$7)))</f>
        <v/>
      </c>
      <c r="AT56" s="703" t="str">
        <f>IF($E56="","",IF(INDEX(E_SourceStreams!$A:$N,DY56,AT$7)="","",INDEX(E_SourceStreams!$A:$N,DY56,AT$7)))</f>
        <v/>
      </c>
      <c r="AU56" s="703" t="str">
        <f>IF($E56="","",IF(INDEX(E_SourceStreams!$A:$N,DZ56,AU$7)="","",INDEX(E_SourceStreams!$A:$N,DZ56,AU$7)))</f>
        <v/>
      </c>
      <c r="AV56" s="703" t="str">
        <f>IF($E56="","",IF(INDEX(E_SourceStreams!$A:$N,EA56,AV$7)="","",INDEX(E_SourceStreams!$A:$N,EA56,AV$7)))</f>
        <v/>
      </c>
      <c r="AW56" s="703" t="str">
        <f>IF($E56="","",IF(INDEX(E_SourceStreams!$A:$N,EB56,AW$7)="","",INDEX(E_SourceStreams!$A:$N,EB56,AW$7)))</f>
        <v/>
      </c>
      <c r="AX56" s="703" t="str">
        <f>IF($E56="","",IF(INDEX(E_SourceStreams!$A:$N,EC56,AX$7)="","",INDEX(E_SourceStreams!$A:$N,EC56,AX$7)))</f>
        <v/>
      </c>
      <c r="AY56" s="703" t="str">
        <f>IF($E56="","",IF(INDEX(E_SourceStreams!$A:$N,ED56,AY$7)="","",INDEX(E_SourceStreams!$A:$N,ED56,AY$7)))</f>
        <v/>
      </c>
      <c r="AZ56" s="703" t="str">
        <f>IF($E56="","",IF(INDEX(E_SourceStreams!$A:$N,EE56,AZ$7)="","",INDEX(E_SourceStreams!$A:$N,EE56,AZ$7)))</f>
        <v/>
      </c>
      <c r="BA56" s="703" t="str">
        <f>IF($E56="","",IF(INDEX(E_SourceStreams!$A:$N,EF56,BA$7)="","",INDEX(E_SourceStreams!$A:$N,EF56,BA$7)))</f>
        <v/>
      </c>
      <c r="BB56" s="703" t="str">
        <f>IF($E56="","",IF(INDEX(E_SourceStreams!$A:$N,EG56,BB$7)="","",INDEX(E_SourceStreams!$A:$N,EG56,BB$7)))</f>
        <v/>
      </c>
      <c r="BC56" s="703" t="str">
        <f>IF($E56="","",IF(INDEX(E_SourceStreams!$A:$N,EH56,BC$7)="","",INDEX(E_SourceStreams!$A:$N,EH56,BC$7)))</f>
        <v/>
      </c>
      <c r="BD56" s="703" t="str">
        <f>IF($E56="","",IF(INDEX(E_SourceStreams!$A:$N,EI56,BD$7)="","",INDEX(E_SourceStreams!$A:$N,EI56,BD$7)))</f>
        <v/>
      </c>
      <c r="BE56" s="703" t="str">
        <f>IF($E56="","",IF(INDEX(E_SourceStreams!$A:$N,EJ56,BE$7)="","",INDEX(E_SourceStreams!$A:$N,EJ56,BE$7)))</f>
        <v/>
      </c>
      <c r="BF56" s="703" t="str">
        <f>IF($E56="","",IF(INDEX(E_SourceStreams!$A:$N,EK56,BF$7)="","",INDEX(E_SourceStreams!$A:$N,EK56,BF$7)))</f>
        <v/>
      </c>
      <c r="BG56" s="703" t="str">
        <f>IF($E56="","",IF(INDEX(E_SourceStreams!$A:$N,EL56,BG$7)="","",INDEX(E_SourceStreams!$A:$N,EL56,BG$7)))</f>
        <v/>
      </c>
      <c r="BH56" s="703" t="str">
        <f>IF($E56="","",IF(INDEX(E_SourceStreams!$A:$N,EM56,BH$7)="","",INDEX(E_SourceStreams!$A:$N,EM56,BH$7)))</f>
        <v/>
      </c>
      <c r="BI56" s="703" t="str">
        <f>IF($E56="","",IF(INDEX(E_SourceStreams!$A:$N,EN56,BI$7)="","",INDEX(E_SourceStreams!$A:$N,EN56,BI$7)))</f>
        <v/>
      </c>
      <c r="BJ56" s="703" t="str">
        <f>IF($E56="","",IF(INDEX(E_SourceStreams!$A:$N,EO56,BJ$7)="","",INDEX(E_SourceStreams!$A:$N,EO56,BJ$7)))</f>
        <v/>
      </c>
      <c r="BK56" s="703" t="str">
        <f>IF($E56="","",IF(INDEX(E_SourceStreams!$A:$N,EP56,BK$7)="","",INDEX(E_SourceStreams!$A:$N,EP56,BK$7)))</f>
        <v/>
      </c>
      <c r="BL56" s="703" t="str">
        <f>IF($E56="","",IF(INDEX(E_SourceStreams!$A:$N,EQ56,BL$7)="","",INDEX(E_SourceStreams!$A:$N,EQ56,BL$7)))</f>
        <v/>
      </c>
      <c r="BM56" s="703" t="str">
        <f>IF($E56="","",IF(INDEX(E_SourceStreams!$A:$N,ER56,BM$7)="","",INDEX(E_SourceStreams!$A:$N,ER56,BM$7)))</f>
        <v/>
      </c>
      <c r="BN56" s="703" t="str">
        <f>IF($E56="","",IF(INDEX(E_SourceStreams!$A:$N,ES56,BN$7)="","",INDEX(E_SourceStreams!$A:$N,ES56,BN$7)))</f>
        <v/>
      </c>
      <c r="BO56" s="703" t="str">
        <f>IF($E56="","",IF(INDEX(E_SourceStreams!$A:$N,ET56,BO$7)="","",INDEX(E_SourceStreams!$A:$N,ET56,BO$7)))</f>
        <v/>
      </c>
      <c r="BP56" s="703" t="str">
        <f>IF($E56="","",IF(INDEX(E_SourceStreams!$A:$N,EU56,BP$7)="","",INDEX(E_SourceStreams!$A:$N,EU56,BP$7)))</f>
        <v/>
      </c>
      <c r="BQ56" s="703" t="str">
        <f>IF($E56="","",IF(INDEX(E_SourceStreams!$A:$N,EV56,BQ$7)="","",INDEX(E_SourceStreams!$A:$N,EV56,BQ$7)))</f>
        <v/>
      </c>
      <c r="BR56" s="703" t="str">
        <f>IF($E56="","",IF(INDEX(E_SourceStreams!$A:$N,EW56,BR$7)="","",INDEX(E_SourceStreams!$A:$N,EW56,BR$7)))</f>
        <v/>
      </c>
      <c r="BS56" s="703" t="str">
        <f>IF($E56="","",IF(INDEX(E_SourceStreams!$A:$N,EX56,BS$7)="","",INDEX(E_SourceStreams!$A:$N,EX56,BS$7)))</f>
        <v/>
      </c>
      <c r="BT56" s="703" t="str">
        <f>IF($E56="","",IF(INDEX(E_SourceStreams!$A:$N,EY56,BT$7)="","",INDEX(E_SourceStreams!$A:$N,EY56,BT$7)))</f>
        <v/>
      </c>
      <c r="BU56" s="625"/>
      <c r="CJ56" s="679" t="str">
        <f t="shared" si="66"/>
        <v>SourceCategory_</v>
      </c>
      <c r="CK56" s="679" t="b">
        <f>INDEX(C_InstallationDescription!$A$226:$A$332,ROWS($CI$11:CI56))="ausblenden"</f>
        <v>1</v>
      </c>
      <c r="CL56" s="679" t="str">
        <f t="shared" si="67"/>
        <v>SourceStreamName_</v>
      </c>
      <c r="CN56" s="679">
        <f t="shared" si="65"/>
        <v>3105</v>
      </c>
      <c r="CO56" s="679">
        <f t="shared" si="2"/>
        <v>3107</v>
      </c>
      <c r="CP56" s="679">
        <f t="shared" si="3"/>
        <v>3109</v>
      </c>
      <c r="CQ56" s="679">
        <f t="shared" si="4"/>
        <v>3111</v>
      </c>
      <c r="CR56" s="679">
        <f t="shared" si="5"/>
        <v>3113</v>
      </c>
      <c r="CS56" s="679">
        <f t="shared" si="6"/>
        <v>3115</v>
      </c>
      <c r="CT56" s="679">
        <f t="shared" si="7"/>
        <v>3117</v>
      </c>
      <c r="CU56" s="679">
        <f t="shared" si="8"/>
        <v>3117</v>
      </c>
      <c r="CV56" s="679">
        <f t="shared" si="9"/>
        <v>3117</v>
      </c>
      <c r="CW56" s="679">
        <f t="shared" si="10"/>
        <v>3117</v>
      </c>
      <c r="CX56" s="679">
        <f t="shared" si="11"/>
        <v>3117</v>
      </c>
      <c r="CY56" s="679">
        <f t="shared" si="12"/>
        <v>3120</v>
      </c>
      <c r="CZ56" s="679">
        <f t="shared" si="13"/>
        <v>3124</v>
      </c>
      <c r="DA56" s="679">
        <f t="shared" si="14"/>
        <v>3125</v>
      </c>
      <c r="DB56" s="679">
        <f t="shared" si="15"/>
        <v>3126</v>
      </c>
      <c r="DC56" s="679">
        <f t="shared" si="16"/>
        <v>3133</v>
      </c>
      <c r="DD56" s="679">
        <f t="shared" si="17"/>
        <v>3143</v>
      </c>
      <c r="DE56" s="679">
        <f t="shared" si="18"/>
        <v>3143</v>
      </c>
      <c r="DF56" s="679">
        <f t="shared" si="19"/>
        <v>3143</v>
      </c>
      <c r="DG56" s="679">
        <f t="shared" si="20"/>
        <v>3143</v>
      </c>
      <c r="DH56" s="679">
        <f t="shared" si="21"/>
        <v>3143</v>
      </c>
      <c r="DI56" s="679">
        <f t="shared" si="22"/>
        <v>3143</v>
      </c>
      <c r="DJ56" s="679">
        <f t="shared" si="23"/>
        <v>3143</v>
      </c>
      <c r="DK56" s="679">
        <f t="shared" si="24"/>
        <v>3134</v>
      </c>
      <c r="DL56" s="679">
        <f t="shared" si="25"/>
        <v>3144</v>
      </c>
      <c r="DM56" s="679">
        <f t="shared" si="26"/>
        <v>3144</v>
      </c>
      <c r="DN56" s="679">
        <f t="shared" si="27"/>
        <v>3144</v>
      </c>
      <c r="DO56" s="679">
        <f t="shared" si="28"/>
        <v>3144</v>
      </c>
      <c r="DP56" s="679">
        <f t="shared" si="29"/>
        <v>3144</v>
      </c>
      <c r="DQ56" s="679">
        <f t="shared" si="30"/>
        <v>3144</v>
      </c>
      <c r="DR56" s="679">
        <f t="shared" si="31"/>
        <v>3144</v>
      </c>
      <c r="DS56" s="679">
        <f t="shared" si="32"/>
        <v>3135</v>
      </c>
      <c r="DT56" s="679">
        <f t="shared" si="33"/>
        <v>3145</v>
      </c>
      <c r="DU56" s="679">
        <f t="shared" si="34"/>
        <v>3145</v>
      </c>
      <c r="DV56" s="679">
        <f t="shared" si="35"/>
        <v>3145</v>
      </c>
      <c r="DW56" s="679">
        <f t="shared" si="36"/>
        <v>3145</v>
      </c>
      <c r="DX56" s="679">
        <f t="shared" si="37"/>
        <v>3145</v>
      </c>
      <c r="DY56" s="679">
        <f t="shared" si="38"/>
        <v>3145</v>
      </c>
      <c r="DZ56" s="679">
        <f t="shared" si="39"/>
        <v>3145</v>
      </c>
      <c r="EA56" s="679">
        <f t="shared" si="40"/>
        <v>3136</v>
      </c>
      <c r="EB56" s="679">
        <f t="shared" si="41"/>
        <v>3146</v>
      </c>
      <c r="EC56" s="679">
        <f t="shared" si="42"/>
        <v>3146</v>
      </c>
      <c r="ED56" s="679">
        <f t="shared" si="43"/>
        <v>3146</v>
      </c>
      <c r="EE56" s="679">
        <f t="shared" si="44"/>
        <v>3146</v>
      </c>
      <c r="EF56" s="679">
        <f t="shared" si="45"/>
        <v>3146</v>
      </c>
      <c r="EG56" s="679">
        <f t="shared" si="46"/>
        <v>3146</v>
      </c>
      <c r="EH56" s="679">
        <f t="shared" si="47"/>
        <v>3146</v>
      </c>
      <c r="EI56" s="679">
        <f t="shared" si="48"/>
        <v>3137</v>
      </c>
      <c r="EJ56" s="679">
        <f t="shared" si="49"/>
        <v>3147</v>
      </c>
      <c r="EK56" s="679">
        <f t="shared" si="50"/>
        <v>3147</v>
      </c>
      <c r="EL56" s="679">
        <f t="shared" si="51"/>
        <v>3147</v>
      </c>
      <c r="EM56" s="679">
        <f t="shared" si="52"/>
        <v>3147</v>
      </c>
      <c r="EN56" s="679">
        <f t="shared" si="53"/>
        <v>3147</v>
      </c>
      <c r="EO56" s="679">
        <f t="shared" si="54"/>
        <v>3147</v>
      </c>
      <c r="EP56" s="679">
        <f t="shared" si="55"/>
        <v>3147</v>
      </c>
      <c r="EQ56" s="679">
        <f t="shared" si="56"/>
        <v>3138</v>
      </c>
      <c r="ER56" s="679">
        <f t="shared" si="57"/>
        <v>3148</v>
      </c>
      <c r="ES56" s="679">
        <f t="shared" si="58"/>
        <v>3148</v>
      </c>
      <c r="ET56" s="679">
        <f t="shared" si="59"/>
        <v>3148</v>
      </c>
      <c r="EU56" s="679">
        <f t="shared" si="60"/>
        <v>3148</v>
      </c>
      <c r="EV56" s="679">
        <f t="shared" si="61"/>
        <v>3148</v>
      </c>
      <c r="EW56" s="679">
        <f t="shared" si="62"/>
        <v>3148</v>
      </c>
      <c r="EX56" s="679">
        <f t="shared" si="63"/>
        <v>3148</v>
      </c>
      <c r="EY56" s="679">
        <f t="shared" si="64"/>
        <v>3154</v>
      </c>
    </row>
    <row r="57" spans="2:155" ht="12.75" customHeight="1" x14ac:dyDescent="0.2">
      <c r="B57" s="700" t="str">
        <f>IF(COUNTIF($CK$10:CK57,TRUE)&gt;0,"",INDEX(C_InstallationDescription!$E$226:$E$242,ROWS($A$11:A57)))</f>
        <v/>
      </c>
      <c r="C57" s="581" t="str">
        <f>IF($E57="","",INDEX(C_InstallationDescription!F:F,MATCH($B57,C_InstallationDescription!$E:$E,0)))</f>
        <v/>
      </c>
      <c r="D57" s="581" t="str">
        <f>IF($E57="","",INDEX(C_InstallationDescription!I:I,MATCH($B57,C_InstallationDescription!$E:$E,0)))</f>
        <v/>
      </c>
      <c r="E57" s="581" t="str">
        <f>IF($B57="","",INDEX(C_InstallationDescription!F:F,MATCH($CJ57,C_InstallationDescription!$Q:$Q,0)))</f>
        <v/>
      </c>
      <c r="F57" s="706" t="str">
        <f>IF($E57="","",INDEX(C_InstallationDescription!L:L,MATCH($CJ57,C_InstallationDescription!$Q:$Q,0)))</f>
        <v/>
      </c>
      <c r="G57" s="581" t="str">
        <f>IF($E57="","",INDEX(C_InstallationDescription!M:M,MATCH($CJ57,C_InstallationDescription!$Q:$Q,0)))</f>
        <v/>
      </c>
      <c r="H57" s="581" t="str">
        <f>IF($E57="","",INDEX(C_InstallationDescription!N:N,MATCH($CJ57,C_InstallationDescription!$Q:$Q,0)))</f>
        <v/>
      </c>
      <c r="I57" s="703" t="str">
        <f>IF($E57="","",IF(INDEX(E_SourceStreams!$A:$N,CN57,I$7)="","",INDEX(E_SourceStreams!$A:$N,CN57,I$7)))</f>
        <v/>
      </c>
      <c r="J57" s="703" t="str">
        <f>IF($E57="","",IF(INDEX(E_SourceStreams!$A:$N,CO57,J$7)="","",INDEX(E_SourceStreams!$A:$N,CO57,J$7)))</f>
        <v/>
      </c>
      <c r="K57" s="703" t="str">
        <f>IF($E57="","",IF(INDEX(E_SourceStreams!$A:$N,CP57,K$7)="","",INDEX(E_SourceStreams!$A:$N,CP57,K$7)))</f>
        <v/>
      </c>
      <c r="L57" s="703" t="str">
        <f>IF($E57="","",IF(INDEX(E_SourceStreams!$A:$N,CQ57,L$7)="","",INDEX(E_SourceStreams!$A:$N,CQ57,L$7)))</f>
        <v/>
      </c>
      <c r="M57" s="703" t="str">
        <f>IF($E57="","",IF(INDEX(E_SourceStreams!$A:$N,CR57,M$7)="","",INDEX(E_SourceStreams!$A:$N,CR57,M$7)))</f>
        <v/>
      </c>
      <c r="N57" s="703" t="str">
        <f>IF($E57="","",IF(INDEX(E_SourceStreams!$A:$N,CS57,N$7)="","",INDEX(E_SourceStreams!$A:$N,CS57,N$7)))</f>
        <v/>
      </c>
      <c r="O57" s="703" t="str">
        <f>IF($E57="","",IF(INDEX(E_SourceStreams!$A:$N,CT57,O$7)="","",INDEX(E_SourceStreams!$A:$N,CT57,O$7)))</f>
        <v/>
      </c>
      <c r="P57" s="703" t="str">
        <f>IF($E57="","",IF(INDEX(E_SourceStreams!$A:$N,CU57,P$7)="","",INDEX(E_SourceStreams!$A:$N,CU57,P$7)))</f>
        <v/>
      </c>
      <c r="Q57" s="703" t="str">
        <f>IF($E57="","",IF(INDEX(E_SourceStreams!$A:$N,CV57,Q$7)="","",INDEX(E_SourceStreams!$A:$N,CV57,Q$7)))</f>
        <v/>
      </c>
      <c r="R57" s="703" t="str">
        <f>IF($E57="","",IF(INDEX(E_SourceStreams!$A:$N,CW57,R$7)="","",INDEX(E_SourceStreams!$A:$N,CW57,R$7)))</f>
        <v/>
      </c>
      <c r="S57" s="703" t="str">
        <f>IF($E57="","",IF(INDEX(E_SourceStreams!$A:$N,CX57,S$7)="","",INDEX(E_SourceStreams!$A:$N,CX57,S$7)))</f>
        <v/>
      </c>
      <c r="T57" s="703" t="str">
        <f>IF($E57="","",IF(INDEX(E_SourceStreams!$A:$N,CY57,T$7)="","",INDEX(E_SourceStreams!$A:$N,CY57,T$7)))</f>
        <v/>
      </c>
      <c r="U57" s="703" t="str">
        <f>IF($E57="","",IF(INDEX(E_SourceStreams!$A:$N,CZ57,U$7)="","",INDEX(E_SourceStreams!$A:$N,CZ57,U$7)))</f>
        <v/>
      </c>
      <c r="V57" s="703" t="str">
        <f>IF($E57="","",IF(INDEX(E_SourceStreams!$A:$N,DA57,V$7)="","",INDEX(E_SourceStreams!$A:$N,DA57,V$7)))</f>
        <v/>
      </c>
      <c r="W57" s="704" t="str">
        <f>IF($E57="","",IF(INDEX(E_SourceStreams!$A:$N,DB57,W$7)="","",INDEX(E_SourceStreams!$A:$N,DB57,W$7)))</f>
        <v/>
      </c>
      <c r="X57" s="703" t="str">
        <f>IF($E57="","",IF(INDEX(E_SourceStreams!$A:$N,DC57,X$7)="","",INDEX(E_SourceStreams!$A:$N,DC57,X$7)))</f>
        <v/>
      </c>
      <c r="Y57" s="703" t="str">
        <f>IF($E57="","",IF(INDEX(E_SourceStreams!$A:$N,DD57,Y$7)="","",INDEX(E_SourceStreams!$A:$N,DD57,Y$7)))</f>
        <v/>
      </c>
      <c r="Z57" s="703" t="str">
        <f>IF($E57="","",IF(INDEX(E_SourceStreams!$A:$N,DE57,Z$7)="","",INDEX(E_SourceStreams!$A:$N,DE57,Z$7)))</f>
        <v/>
      </c>
      <c r="AA57" s="703" t="str">
        <f>IF($E57="","",IF(INDEX(E_SourceStreams!$A:$N,DF57,AA$7)="","",INDEX(E_SourceStreams!$A:$N,DF57,AA$7)))</f>
        <v/>
      </c>
      <c r="AB57" s="703" t="str">
        <f>IF($E57="","",IF(INDEX(E_SourceStreams!$A:$N,DG57,AB$7)="","",INDEX(E_SourceStreams!$A:$N,DG57,AB$7)))</f>
        <v/>
      </c>
      <c r="AC57" s="703" t="str">
        <f>IF($E57="","",IF(INDEX(E_SourceStreams!$A:$N,DH57,AC$7)="","",INDEX(E_SourceStreams!$A:$N,DH57,AC$7)))</f>
        <v/>
      </c>
      <c r="AD57" s="703" t="str">
        <f>IF($E57="","",IF(INDEX(E_SourceStreams!$A:$N,DI57,AD$7)="","",INDEX(E_SourceStreams!$A:$N,DI57,AD$7)))</f>
        <v/>
      </c>
      <c r="AE57" s="703" t="str">
        <f>IF($E57="","",IF(INDEX(E_SourceStreams!$A:$N,DJ57,AE$7)="","",INDEX(E_SourceStreams!$A:$N,DJ57,AE$7)))</f>
        <v/>
      </c>
      <c r="AF57" s="703" t="str">
        <f>IF($E57="","",IF(INDEX(E_SourceStreams!$A:$N,DK57,AF$7)="","",INDEX(E_SourceStreams!$A:$N,DK57,AF$7)))</f>
        <v/>
      </c>
      <c r="AG57" s="703" t="str">
        <f>IF($E57="","",IF(INDEX(E_SourceStreams!$A:$N,DL57,AG$7)="","",INDEX(E_SourceStreams!$A:$N,DL57,AG$7)))</f>
        <v/>
      </c>
      <c r="AH57" s="703" t="str">
        <f>IF($E57="","",IF(INDEX(E_SourceStreams!$A:$N,DM57,AH$7)="","",INDEX(E_SourceStreams!$A:$N,DM57,AH$7)))</f>
        <v/>
      </c>
      <c r="AI57" s="703" t="str">
        <f>IF($E57="","",IF(INDEX(E_SourceStreams!$A:$N,DN57,AI$7)="","",INDEX(E_SourceStreams!$A:$N,DN57,AI$7)))</f>
        <v/>
      </c>
      <c r="AJ57" s="703" t="str">
        <f>IF($E57="","",IF(INDEX(E_SourceStreams!$A:$N,DO57,AJ$7)="","",INDEX(E_SourceStreams!$A:$N,DO57,AJ$7)))</f>
        <v/>
      </c>
      <c r="AK57" s="703" t="str">
        <f>IF($E57="","",IF(INDEX(E_SourceStreams!$A:$N,DP57,AK$7)="","",INDEX(E_SourceStreams!$A:$N,DP57,AK$7)))</f>
        <v/>
      </c>
      <c r="AL57" s="703" t="str">
        <f>IF($E57="","",IF(INDEX(E_SourceStreams!$A:$N,DQ57,AL$7)="","",INDEX(E_SourceStreams!$A:$N,DQ57,AL$7)))</f>
        <v/>
      </c>
      <c r="AM57" s="703" t="str">
        <f>IF($E57="","",IF(INDEX(E_SourceStreams!$A:$N,DR57,AM$7)="","",INDEX(E_SourceStreams!$A:$N,DR57,AM$7)))</f>
        <v/>
      </c>
      <c r="AN57" s="703" t="str">
        <f>IF($E57="","",IF(INDEX(E_SourceStreams!$A:$N,DS57,AN$7)="","",INDEX(E_SourceStreams!$A:$N,DS57,AN$7)))</f>
        <v/>
      </c>
      <c r="AO57" s="703" t="str">
        <f>IF($E57="","",IF(INDEX(E_SourceStreams!$A:$N,DT57,AO$7)="","",INDEX(E_SourceStreams!$A:$N,DT57,AO$7)))</f>
        <v/>
      </c>
      <c r="AP57" s="703" t="str">
        <f>IF($E57="","",IF(INDEX(E_SourceStreams!$A:$N,DU57,AP$7)="","",INDEX(E_SourceStreams!$A:$N,DU57,AP$7)))</f>
        <v/>
      </c>
      <c r="AQ57" s="703" t="str">
        <f>IF($E57="","",IF(INDEX(E_SourceStreams!$A:$N,DV57,AQ$7)="","",INDEX(E_SourceStreams!$A:$N,DV57,AQ$7)))</f>
        <v/>
      </c>
      <c r="AR57" s="703" t="str">
        <f>IF($E57="","",IF(INDEX(E_SourceStreams!$A:$N,DW57,AR$7)="","",INDEX(E_SourceStreams!$A:$N,DW57,AR$7)))</f>
        <v/>
      </c>
      <c r="AS57" s="703" t="str">
        <f>IF($E57="","",IF(INDEX(E_SourceStreams!$A:$N,DX57,AS$7)="","",INDEX(E_SourceStreams!$A:$N,DX57,AS$7)))</f>
        <v/>
      </c>
      <c r="AT57" s="703" t="str">
        <f>IF($E57="","",IF(INDEX(E_SourceStreams!$A:$N,DY57,AT$7)="","",INDEX(E_SourceStreams!$A:$N,DY57,AT$7)))</f>
        <v/>
      </c>
      <c r="AU57" s="703" t="str">
        <f>IF($E57="","",IF(INDEX(E_SourceStreams!$A:$N,DZ57,AU$7)="","",INDEX(E_SourceStreams!$A:$N,DZ57,AU$7)))</f>
        <v/>
      </c>
      <c r="AV57" s="703" t="str">
        <f>IF($E57="","",IF(INDEX(E_SourceStreams!$A:$N,EA57,AV$7)="","",INDEX(E_SourceStreams!$A:$N,EA57,AV$7)))</f>
        <v/>
      </c>
      <c r="AW57" s="703" t="str">
        <f>IF($E57="","",IF(INDEX(E_SourceStreams!$A:$N,EB57,AW$7)="","",INDEX(E_SourceStreams!$A:$N,EB57,AW$7)))</f>
        <v/>
      </c>
      <c r="AX57" s="703" t="str">
        <f>IF($E57="","",IF(INDEX(E_SourceStreams!$A:$N,EC57,AX$7)="","",INDEX(E_SourceStreams!$A:$N,EC57,AX$7)))</f>
        <v/>
      </c>
      <c r="AY57" s="703" t="str">
        <f>IF($E57="","",IF(INDEX(E_SourceStreams!$A:$N,ED57,AY$7)="","",INDEX(E_SourceStreams!$A:$N,ED57,AY$7)))</f>
        <v/>
      </c>
      <c r="AZ57" s="703" t="str">
        <f>IF($E57="","",IF(INDEX(E_SourceStreams!$A:$N,EE57,AZ$7)="","",INDEX(E_SourceStreams!$A:$N,EE57,AZ$7)))</f>
        <v/>
      </c>
      <c r="BA57" s="703" t="str">
        <f>IF($E57="","",IF(INDEX(E_SourceStreams!$A:$N,EF57,BA$7)="","",INDEX(E_SourceStreams!$A:$N,EF57,BA$7)))</f>
        <v/>
      </c>
      <c r="BB57" s="703" t="str">
        <f>IF($E57="","",IF(INDEX(E_SourceStreams!$A:$N,EG57,BB$7)="","",INDEX(E_SourceStreams!$A:$N,EG57,BB$7)))</f>
        <v/>
      </c>
      <c r="BC57" s="703" t="str">
        <f>IF($E57="","",IF(INDEX(E_SourceStreams!$A:$N,EH57,BC$7)="","",INDEX(E_SourceStreams!$A:$N,EH57,BC$7)))</f>
        <v/>
      </c>
      <c r="BD57" s="703" t="str">
        <f>IF($E57="","",IF(INDEX(E_SourceStreams!$A:$N,EI57,BD$7)="","",INDEX(E_SourceStreams!$A:$N,EI57,BD$7)))</f>
        <v/>
      </c>
      <c r="BE57" s="703" t="str">
        <f>IF($E57="","",IF(INDEX(E_SourceStreams!$A:$N,EJ57,BE$7)="","",INDEX(E_SourceStreams!$A:$N,EJ57,BE$7)))</f>
        <v/>
      </c>
      <c r="BF57" s="703" t="str">
        <f>IF($E57="","",IF(INDEX(E_SourceStreams!$A:$N,EK57,BF$7)="","",INDEX(E_SourceStreams!$A:$N,EK57,BF$7)))</f>
        <v/>
      </c>
      <c r="BG57" s="703" t="str">
        <f>IF($E57="","",IF(INDEX(E_SourceStreams!$A:$N,EL57,BG$7)="","",INDEX(E_SourceStreams!$A:$N,EL57,BG$7)))</f>
        <v/>
      </c>
      <c r="BH57" s="703" t="str">
        <f>IF($E57="","",IF(INDEX(E_SourceStreams!$A:$N,EM57,BH$7)="","",INDEX(E_SourceStreams!$A:$N,EM57,BH$7)))</f>
        <v/>
      </c>
      <c r="BI57" s="703" t="str">
        <f>IF($E57="","",IF(INDEX(E_SourceStreams!$A:$N,EN57,BI$7)="","",INDEX(E_SourceStreams!$A:$N,EN57,BI$7)))</f>
        <v/>
      </c>
      <c r="BJ57" s="703" t="str">
        <f>IF($E57="","",IF(INDEX(E_SourceStreams!$A:$N,EO57,BJ$7)="","",INDEX(E_SourceStreams!$A:$N,EO57,BJ$7)))</f>
        <v/>
      </c>
      <c r="BK57" s="703" t="str">
        <f>IF($E57="","",IF(INDEX(E_SourceStreams!$A:$N,EP57,BK$7)="","",INDEX(E_SourceStreams!$A:$N,EP57,BK$7)))</f>
        <v/>
      </c>
      <c r="BL57" s="703" t="str">
        <f>IF($E57="","",IF(INDEX(E_SourceStreams!$A:$N,EQ57,BL$7)="","",INDEX(E_SourceStreams!$A:$N,EQ57,BL$7)))</f>
        <v/>
      </c>
      <c r="BM57" s="703" t="str">
        <f>IF($E57="","",IF(INDEX(E_SourceStreams!$A:$N,ER57,BM$7)="","",INDEX(E_SourceStreams!$A:$N,ER57,BM$7)))</f>
        <v/>
      </c>
      <c r="BN57" s="703" t="str">
        <f>IF($E57="","",IF(INDEX(E_SourceStreams!$A:$N,ES57,BN$7)="","",INDEX(E_SourceStreams!$A:$N,ES57,BN$7)))</f>
        <v/>
      </c>
      <c r="BO57" s="703" t="str">
        <f>IF($E57="","",IF(INDEX(E_SourceStreams!$A:$N,ET57,BO$7)="","",INDEX(E_SourceStreams!$A:$N,ET57,BO$7)))</f>
        <v/>
      </c>
      <c r="BP57" s="703" t="str">
        <f>IF($E57="","",IF(INDEX(E_SourceStreams!$A:$N,EU57,BP$7)="","",INDEX(E_SourceStreams!$A:$N,EU57,BP$7)))</f>
        <v/>
      </c>
      <c r="BQ57" s="703" t="str">
        <f>IF($E57="","",IF(INDEX(E_SourceStreams!$A:$N,EV57,BQ$7)="","",INDEX(E_SourceStreams!$A:$N,EV57,BQ$7)))</f>
        <v/>
      </c>
      <c r="BR57" s="703" t="str">
        <f>IF($E57="","",IF(INDEX(E_SourceStreams!$A:$N,EW57,BR$7)="","",INDEX(E_SourceStreams!$A:$N,EW57,BR$7)))</f>
        <v/>
      </c>
      <c r="BS57" s="703" t="str">
        <f>IF($E57="","",IF(INDEX(E_SourceStreams!$A:$N,EX57,BS$7)="","",INDEX(E_SourceStreams!$A:$N,EX57,BS$7)))</f>
        <v/>
      </c>
      <c r="BT57" s="703" t="str">
        <f>IF($E57="","",IF(INDEX(E_SourceStreams!$A:$N,EY57,BT$7)="","",INDEX(E_SourceStreams!$A:$N,EY57,BT$7)))</f>
        <v/>
      </c>
      <c r="BU57" s="625"/>
      <c r="CJ57" s="679" t="str">
        <f t="shared" si="66"/>
        <v>SourceCategory_</v>
      </c>
      <c r="CK57" s="679" t="b">
        <f>INDEX(C_InstallationDescription!$A$226:$A$332,ROWS($CI$11:CI57))="ausblenden"</f>
        <v>1</v>
      </c>
      <c r="CL57" s="679" t="str">
        <f t="shared" si="67"/>
        <v>SourceStreamName_</v>
      </c>
      <c r="CN57" s="679">
        <f t="shared" si="65"/>
        <v>3171</v>
      </c>
      <c r="CO57" s="679">
        <f t="shared" si="2"/>
        <v>3173</v>
      </c>
      <c r="CP57" s="679">
        <f t="shared" si="3"/>
        <v>3175</v>
      </c>
      <c r="CQ57" s="679">
        <f t="shared" si="4"/>
        <v>3177</v>
      </c>
      <c r="CR57" s="679">
        <f t="shared" si="5"/>
        <v>3179</v>
      </c>
      <c r="CS57" s="679">
        <f t="shared" si="6"/>
        <v>3181</v>
      </c>
      <c r="CT57" s="679">
        <f t="shared" si="7"/>
        <v>3183</v>
      </c>
      <c r="CU57" s="679">
        <f t="shared" si="8"/>
        <v>3183</v>
      </c>
      <c r="CV57" s="679">
        <f t="shared" si="9"/>
        <v>3183</v>
      </c>
      <c r="CW57" s="679">
        <f t="shared" si="10"/>
        <v>3183</v>
      </c>
      <c r="CX57" s="679">
        <f t="shared" si="11"/>
        <v>3183</v>
      </c>
      <c r="CY57" s="679">
        <f t="shared" si="12"/>
        <v>3186</v>
      </c>
      <c r="CZ57" s="679">
        <f t="shared" si="13"/>
        <v>3190</v>
      </c>
      <c r="DA57" s="679">
        <f t="shared" si="14"/>
        <v>3191</v>
      </c>
      <c r="DB57" s="679">
        <f t="shared" si="15"/>
        <v>3192</v>
      </c>
      <c r="DC57" s="679">
        <f t="shared" si="16"/>
        <v>3199</v>
      </c>
      <c r="DD57" s="679">
        <f t="shared" si="17"/>
        <v>3209</v>
      </c>
      <c r="DE57" s="679">
        <f t="shared" si="18"/>
        <v>3209</v>
      </c>
      <c r="DF57" s="679">
        <f t="shared" si="19"/>
        <v>3209</v>
      </c>
      <c r="DG57" s="679">
        <f t="shared" si="20"/>
        <v>3209</v>
      </c>
      <c r="DH57" s="679">
        <f t="shared" si="21"/>
        <v>3209</v>
      </c>
      <c r="DI57" s="679">
        <f t="shared" si="22"/>
        <v>3209</v>
      </c>
      <c r="DJ57" s="679">
        <f t="shared" si="23"/>
        <v>3209</v>
      </c>
      <c r="DK57" s="679">
        <f t="shared" si="24"/>
        <v>3200</v>
      </c>
      <c r="DL57" s="679">
        <f t="shared" si="25"/>
        <v>3210</v>
      </c>
      <c r="DM57" s="679">
        <f t="shared" si="26"/>
        <v>3210</v>
      </c>
      <c r="DN57" s="679">
        <f t="shared" si="27"/>
        <v>3210</v>
      </c>
      <c r="DO57" s="679">
        <f t="shared" si="28"/>
        <v>3210</v>
      </c>
      <c r="DP57" s="679">
        <f t="shared" si="29"/>
        <v>3210</v>
      </c>
      <c r="DQ57" s="679">
        <f t="shared" si="30"/>
        <v>3210</v>
      </c>
      <c r="DR57" s="679">
        <f t="shared" si="31"/>
        <v>3210</v>
      </c>
      <c r="DS57" s="679">
        <f t="shared" si="32"/>
        <v>3201</v>
      </c>
      <c r="DT57" s="679">
        <f t="shared" si="33"/>
        <v>3211</v>
      </c>
      <c r="DU57" s="679">
        <f t="shared" si="34"/>
        <v>3211</v>
      </c>
      <c r="DV57" s="679">
        <f t="shared" si="35"/>
        <v>3211</v>
      </c>
      <c r="DW57" s="679">
        <f t="shared" si="36"/>
        <v>3211</v>
      </c>
      <c r="DX57" s="679">
        <f t="shared" si="37"/>
        <v>3211</v>
      </c>
      <c r="DY57" s="679">
        <f t="shared" si="38"/>
        <v>3211</v>
      </c>
      <c r="DZ57" s="679">
        <f t="shared" si="39"/>
        <v>3211</v>
      </c>
      <c r="EA57" s="679">
        <f t="shared" si="40"/>
        <v>3202</v>
      </c>
      <c r="EB57" s="679">
        <f t="shared" si="41"/>
        <v>3212</v>
      </c>
      <c r="EC57" s="679">
        <f t="shared" si="42"/>
        <v>3212</v>
      </c>
      <c r="ED57" s="679">
        <f t="shared" si="43"/>
        <v>3212</v>
      </c>
      <c r="EE57" s="679">
        <f t="shared" si="44"/>
        <v>3212</v>
      </c>
      <c r="EF57" s="679">
        <f t="shared" si="45"/>
        <v>3212</v>
      </c>
      <c r="EG57" s="679">
        <f t="shared" si="46"/>
        <v>3212</v>
      </c>
      <c r="EH57" s="679">
        <f t="shared" si="47"/>
        <v>3212</v>
      </c>
      <c r="EI57" s="679">
        <f t="shared" si="48"/>
        <v>3203</v>
      </c>
      <c r="EJ57" s="679">
        <f t="shared" si="49"/>
        <v>3213</v>
      </c>
      <c r="EK57" s="679">
        <f t="shared" si="50"/>
        <v>3213</v>
      </c>
      <c r="EL57" s="679">
        <f t="shared" si="51"/>
        <v>3213</v>
      </c>
      <c r="EM57" s="679">
        <f t="shared" si="52"/>
        <v>3213</v>
      </c>
      <c r="EN57" s="679">
        <f t="shared" si="53"/>
        <v>3213</v>
      </c>
      <c r="EO57" s="679">
        <f t="shared" si="54"/>
        <v>3213</v>
      </c>
      <c r="EP57" s="679">
        <f t="shared" si="55"/>
        <v>3213</v>
      </c>
      <c r="EQ57" s="679">
        <f t="shared" si="56"/>
        <v>3204</v>
      </c>
      <c r="ER57" s="679">
        <f t="shared" si="57"/>
        <v>3214</v>
      </c>
      <c r="ES57" s="679">
        <f t="shared" si="58"/>
        <v>3214</v>
      </c>
      <c r="ET57" s="679">
        <f t="shared" si="59"/>
        <v>3214</v>
      </c>
      <c r="EU57" s="679">
        <f t="shared" si="60"/>
        <v>3214</v>
      </c>
      <c r="EV57" s="679">
        <f t="shared" si="61"/>
        <v>3214</v>
      </c>
      <c r="EW57" s="679">
        <f t="shared" si="62"/>
        <v>3214</v>
      </c>
      <c r="EX57" s="679">
        <f t="shared" si="63"/>
        <v>3214</v>
      </c>
      <c r="EY57" s="679">
        <f t="shared" si="64"/>
        <v>3220</v>
      </c>
    </row>
    <row r="58" spans="2:155" ht="12.75" customHeight="1" x14ac:dyDescent="0.2">
      <c r="B58" s="700" t="str">
        <f>IF(COUNTIF($CK$10:CK58,TRUE)&gt;0,"",INDEX(C_InstallationDescription!$E$226:$E$242,ROWS($A$11:A58)))</f>
        <v/>
      </c>
      <c r="C58" s="581" t="str">
        <f>IF($E58="","",INDEX(C_InstallationDescription!F:F,MATCH($B58,C_InstallationDescription!$E:$E,0)))</f>
        <v/>
      </c>
      <c r="D58" s="581" t="str">
        <f>IF($E58="","",INDEX(C_InstallationDescription!I:I,MATCH($B58,C_InstallationDescription!$E:$E,0)))</f>
        <v/>
      </c>
      <c r="E58" s="581" t="str">
        <f>IF($B58="","",INDEX(C_InstallationDescription!F:F,MATCH($CJ58,C_InstallationDescription!$Q:$Q,0)))</f>
        <v/>
      </c>
      <c r="F58" s="706" t="str">
        <f>IF($E58="","",INDEX(C_InstallationDescription!L:L,MATCH($CJ58,C_InstallationDescription!$Q:$Q,0)))</f>
        <v/>
      </c>
      <c r="G58" s="581" t="str">
        <f>IF($E58="","",INDEX(C_InstallationDescription!M:M,MATCH($CJ58,C_InstallationDescription!$Q:$Q,0)))</f>
        <v/>
      </c>
      <c r="H58" s="581" t="str">
        <f>IF($E58="","",INDEX(C_InstallationDescription!N:N,MATCH($CJ58,C_InstallationDescription!$Q:$Q,0)))</f>
        <v/>
      </c>
      <c r="I58" s="703" t="str">
        <f>IF($E58="","",IF(INDEX(E_SourceStreams!$A:$N,CN58,I$7)="","",INDEX(E_SourceStreams!$A:$N,CN58,I$7)))</f>
        <v/>
      </c>
      <c r="J58" s="703" t="str">
        <f>IF($E58="","",IF(INDEX(E_SourceStreams!$A:$N,CO58,J$7)="","",INDEX(E_SourceStreams!$A:$N,CO58,J$7)))</f>
        <v/>
      </c>
      <c r="K58" s="703" t="str">
        <f>IF($E58="","",IF(INDEX(E_SourceStreams!$A:$N,CP58,K$7)="","",INDEX(E_SourceStreams!$A:$N,CP58,K$7)))</f>
        <v/>
      </c>
      <c r="L58" s="703" t="str">
        <f>IF($E58="","",IF(INDEX(E_SourceStreams!$A:$N,CQ58,L$7)="","",INDEX(E_SourceStreams!$A:$N,CQ58,L$7)))</f>
        <v/>
      </c>
      <c r="M58" s="703" t="str">
        <f>IF($E58="","",IF(INDEX(E_SourceStreams!$A:$N,CR58,M$7)="","",INDEX(E_SourceStreams!$A:$N,CR58,M$7)))</f>
        <v/>
      </c>
      <c r="N58" s="703" t="str">
        <f>IF($E58="","",IF(INDEX(E_SourceStreams!$A:$N,CS58,N$7)="","",INDEX(E_SourceStreams!$A:$N,CS58,N$7)))</f>
        <v/>
      </c>
      <c r="O58" s="703" t="str">
        <f>IF($E58="","",IF(INDEX(E_SourceStreams!$A:$N,CT58,O$7)="","",INDEX(E_SourceStreams!$A:$N,CT58,O$7)))</f>
        <v/>
      </c>
      <c r="P58" s="703" t="str">
        <f>IF($E58="","",IF(INDEX(E_SourceStreams!$A:$N,CU58,P$7)="","",INDEX(E_SourceStreams!$A:$N,CU58,P$7)))</f>
        <v/>
      </c>
      <c r="Q58" s="703" t="str">
        <f>IF($E58="","",IF(INDEX(E_SourceStreams!$A:$N,CV58,Q$7)="","",INDEX(E_SourceStreams!$A:$N,CV58,Q$7)))</f>
        <v/>
      </c>
      <c r="R58" s="703" t="str">
        <f>IF($E58="","",IF(INDEX(E_SourceStreams!$A:$N,CW58,R$7)="","",INDEX(E_SourceStreams!$A:$N,CW58,R$7)))</f>
        <v/>
      </c>
      <c r="S58" s="703" t="str">
        <f>IF($E58="","",IF(INDEX(E_SourceStreams!$A:$N,CX58,S$7)="","",INDEX(E_SourceStreams!$A:$N,CX58,S$7)))</f>
        <v/>
      </c>
      <c r="T58" s="703" t="str">
        <f>IF($E58="","",IF(INDEX(E_SourceStreams!$A:$N,CY58,T$7)="","",INDEX(E_SourceStreams!$A:$N,CY58,T$7)))</f>
        <v/>
      </c>
      <c r="U58" s="703" t="str">
        <f>IF($E58="","",IF(INDEX(E_SourceStreams!$A:$N,CZ58,U$7)="","",INDEX(E_SourceStreams!$A:$N,CZ58,U$7)))</f>
        <v/>
      </c>
      <c r="V58" s="703" t="str">
        <f>IF($E58="","",IF(INDEX(E_SourceStreams!$A:$N,DA58,V$7)="","",INDEX(E_SourceStreams!$A:$N,DA58,V$7)))</f>
        <v/>
      </c>
      <c r="W58" s="704" t="str">
        <f>IF($E58="","",IF(INDEX(E_SourceStreams!$A:$N,DB58,W$7)="","",INDEX(E_SourceStreams!$A:$N,DB58,W$7)))</f>
        <v/>
      </c>
      <c r="X58" s="703" t="str">
        <f>IF($E58="","",IF(INDEX(E_SourceStreams!$A:$N,DC58,X$7)="","",INDEX(E_SourceStreams!$A:$N,DC58,X$7)))</f>
        <v/>
      </c>
      <c r="Y58" s="703" t="str">
        <f>IF($E58="","",IF(INDEX(E_SourceStreams!$A:$N,DD58,Y$7)="","",INDEX(E_SourceStreams!$A:$N,DD58,Y$7)))</f>
        <v/>
      </c>
      <c r="Z58" s="703" t="str">
        <f>IF($E58="","",IF(INDEX(E_SourceStreams!$A:$N,DE58,Z$7)="","",INDEX(E_SourceStreams!$A:$N,DE58,Z$7)))</f>
        <v/>
      </c>
      <c r="AA58" s="703" t="str">
        <f>IF($E58="","",IF(INDEX(E_SourceStreams!$A:$N,DF58,AA$7)="","",INDEX(E_SourceStreams!$A:$N,DF58,AA$7)))</f>
        <v/>
      </c>
      <c r="AB58" s="703" t="str">
        <f>IF($E58="","",IF(INDEX(E_SourceStreams!$A:$N,DG58,AB$7)="","",INDEX(E_SourceStreams!$A:$N,DG58,AB$7)))</f>
        <v/>
      </c>
      <c r="AC58" s="703" t="str">
        <f>IF($E58="","",IF(INDEX(E_SourceStreams!$A:$N,DH58,AC$7)="","",INDEX(E_SourceStreams!$A:$N,DH58,AC$7)))</f>
        <v/>
      </c>
      <c r="AD58" s="703" t="str">
        <f>IF($E58="","",IF(INDEX(E_SourceStreams!$A:$N,DI58,AD$7)="","",INDEX(E_SourceStreams!$A:$N,DI58,AD$7)))</f>
        <v/>
      </c>
      <c r="AE58" s="703" t="str">
        <f>IF($E58="","",IF(INDEX(E_SourceStreams!$A:$N,DJ58,AE$7)="","",INDEX(E_SourceStreams!$A:$N,DJ58,AE$7)))</f>
        <v/>
      </c>
      <c r="AF58" s="703" t="str">
        <f>IF($E58="","",IF(INDEX(E_SourceStreams!$A:$N,DK58,AF$7)="","",INDEX(E_SourceStreams!$A:$N,DK58,AF$7)))</f>
        <v/>
      </c>
      <c r="AG58" s="703" t="str">
        <f>IF($E58="","",IF(INDEX(E_SourceStreams!$A:$N,DL58,AG$7)="","",INDEX(E_SourceStreams!$A:$N,DL58,AG$7)))</f>
        <v/>
      </c>
      <c r="AH58" s="703" t="str">
        <f>IF($E58="","",IF(INDEX(E_SourceStreams!$A:$N,DM58,AH$7)="","",INDEX(E_SourceStreams!$A:$N,DM58,AH$7)))</f>
        <v/>
      </c>
      <c r="AI58" s="703" t="str">
        <f>IF($E58="","",IF(INDEX(E_SourceStreams!$A:$N,DN58,AI$7)="","",INDEX(E_SourceStreams!$A:$N,DN58,AI$7)))</f>
        <v/>
      </c>
      <c r="AJ58" s="703" t="str">
        <f>IF($E58="","",IF(INDEX(E_SourceStreams!$A:$N,DO58,AJ$7)="","",INDEX(E_SourceStreams!$A:$N,DO58,AJ$7)))</f>
        <v/>
      </c>
      <c r="AK58" s="703" t="str">
        <f>IF($E58="","",IF(INDEX(E_SourceStreams!$A:$N,DP58,AK$7)="","",INDEX(E_SourceStreams!$A:$N,DP58,AK$7)))</f>
        <v/>
      </c>
      <c r="AL58" s="703" t="str">
        <f>IF($E58="","",IF(INDEX(E_SourceStreams!$A:$N,DQ58,AL$7)="","",INDEX(E_SourceStreams!$A:$N,DQ58,AL$7)))</f>
        <v/>
      </c>
      <c r="AM58" s="703" t="str">
        <f>IF($E58="","",IF(INDEX(E_SourceStreams!$A:$N,DR58,AM$7)="","",INDEX(E_SourceStreams!$A:$N,DR58,AM$7)))</f>
        <v/>
      </c>
      <c r="AN58" s="703" t="str">
        <f>IF($E58="","",IF(INDEX(E_SourceStreams!$A:$N,DS58,AN$7)="","",INDEX(E_SourceStreams!$A:$N,DS58,AN$7)))</f>
        <v/>
      </c>
      <c r="AO58" s="703" t="str">
        <f>IF($E58="","",IF(INDEX(E_SourceStreams!$A:$N,DT58,AO$7)="","",INDEX(E_SourceStreams!$A:$N,DT58,AO$7)))</f>
        <v/>
      </c>
      <c r="AP58" s="703" t="str">
        <f>IF($E58="","",IF(INDEX(E_SourceStreams!$A:$N,DU58,AP$7)="","",INDEX(E_SourceStreams!$A:$N,DU58,AP$7)))</f>
        <v/>
      </c>
      <c r="AQ58" s="703" t="str">
        <f>IF($E58="","",IF(INDEX(E_SourceStreams!$A:$N,DV58,AQ$7)="","",INDEX(E_SourceStreams!$A:$N,DV58,AQ$7)))</f>
        <v/>
      </c>
      <c r="AR58" s="703" t="str">
        <f>IF($E58="","",IF(INDEX(E_SourceStreams!$A:$N,DW58,AR$7)="","",INDEX(E_SourceStreams!$A:$N,DW58,AR$7)))</f>
        <v/>
      </c>
      <c r="AS58" s="703" t="str">
        <f>IF($E58="","",IF(INDEX(E_SourceStreams!$A:$N,DX58,AS$7)="","",INDEX(E_SourceStreams!$A:$N,DX58,AS$7)))</f>
        <v/>
      </c>
      <c r="AT58" s="703" t="str">
        <f>IF($E58="","",IF(INDEX(E_SourceStreams!$A:$N,DY58,AT$7)="","",INDEX(E_SourceStreams!$A:$N,DY58,AT$7)))</f>
        <v/>
      </c>
      <c r="AU58" s="703" t="str">
        <f>IF($E58="","",IF(INDEX(E_SourceStreams!$A:$N,DZ58,AU$7)="","",INDEX(E_SourceStreams!$A:$N,DZ58,AU$7)))</f>
        <v/>
      </c>
      <c r="AV58" s="703" t="str">
        <f>IF($E58="","",IF(INDEX(E_SourceStreams!$A:$N,EA58,AV$7)="","",INDEX(E_SourceStreams!$A:$N,EA58,AV$7)))</f>
        <v/>
      </c>
      <c r="AW58" s="703" t="str">
        <f>IF($E58="","",IF(INDEX(E_SourceStreams!$A:$N,EB58,AW$7)="","",INDEX(E_SourceStreams!$A:$N,EB58,AW$7)))</f>
        <v/>
      </c>
      <c r="AX58" s="703" t="str">
        <f>IF($E58="","",IF(INDEX(E_SourceStreams!$A:$N,EC58,AX$7)="","",INDEX(E_SourceStreams!$A:$N,EC58,AX$7)))</f>
        <v/>
      </c>
      <c r="AY58" s="703" t="str">
        <f>IF($E58="","",IF(INDEX(E_SourceStreams!$A:$N,ED58,AY$7)="","",INDEX(E_SourceStreams!$A:$N,ED58,AY$7)))</f>
        <v/>
      </c>
      <c r="AZ58" s="703" t="str">
        <f>IF($E58="","",IF(INDEX(E_SourceStreams!$A:$N,EE58,AZ$7)="","",INDEX(E_SourceStreams!$A:$N,EE58,AZ$7)))</f>
        <v/>
      </c>
      <c r="BA58" s="703" t="str">
        <f>IF($E58="","",IF(INDEX(E_SourceStreams!$A:$N,EF58,BA$7)="","",INDEX(E_SourceStreams!$A:$N,EF58,BA$7)))</f>
        <v/>
      </c>
      <c r="BB58" s="703" t="str">
        <f>IF($E58="","",IF(INDEX(E_SourceStreams!$A:$N,EG58,BB$7)="","",INDEX(E_SourceStreams!$A:$N,EG58,BB$7)))</f>
        <v/>
      </c>
      <c r="BC58" s="703" t="str">
        <f>IF($E58="","",IF(INDEX(E_SourceStreams!$A:$N,EH58,BC$7)="","",INDEX(E_SourceStreams!$A:$N,EH58,BC$7)))</f>
        <v/>
      </c>
      <c r="BD58" s="703" t="str">
        <f>IF($E58="","",IF(INDEX(E_SourceStreams!$A:$N,EI58,BD$7)="","",INDEX(E_SourceStreams!$A:$N,EI58,BD$7)))</f>
        <v/>
      </c>
      <c r="BE58" s="703" t="str">
        <f>IF($E58="","",IF(INDEX(E_SourceStreams!$A:$N,EJ58,BE$7)="","",INDEX(E_SourceStreams!$A:$N,EJ58,BE$7)))</f>
        <v/>
      </c>
      <c r="BF58" s="703" t="str">
        <f>IF($E58="","",IF(INDEX(E_SourceStreams!$A:$N,EK58,BF$7)="","",INDEX(E_SourceStreams!$A:$N,EK58,BF$7)))</f>
        <v/>
      </c>
      <c r="BG58" s="703" t="str">
        <f>IF($E58="","",IF(INDEX(E_SourceStreams!$A:$N,EL58,BG$7)="","",INDEX(E_SourceStreams!$A:$N,EL58,BG$7)))</f>
        <v/>
      </c>
      <c r="BH58" s="703" t="str">
        <f>IF($E58="","",IF(INDEX(E_SourceStreams!$A:$N,EM58,BH$7)="","",INDEX(E_SourceStreams!$A:$N,EM58,BH$7)))</f>
        <v/>
      </c>
      <c r="BI58" s="703" t="str">
        <f>IF($E58="","",IF(INDEX(E_SourceStreams!$A:$N,EN58,BI$7)="","",INDEX(E_SourceStreams!$A:$N,EN58,BI$7)))</f>
        <v/>
      </c>
      <c r="BJ58" s="703" t="str">
        <f>IF($E58="","",IF(INDEX(E_SourceStreams!$A:$N,EO58,BJ$7)="","",INDEX(E_SourceStreams!$A:$N,EO58,BJ$7)))</f>
        <v/>
      </c>
      <c r="BK58" s="703" t="str">
        <f>IF($E58="","",IF(INDEX(E_SourceStreams!$A:$N,EP58,BK$7)="","",INDEX(E_SourceStreams!$A:$N,EP58,BK$7)))</f>
        <v/>
      </c>
      <c r="BL58" s="703" t="str">
        <f>IF($E58="","",IF(INDEX(E_SourceStreams!$A:$N,EQ58,BL$7)="","",INDEX(E_SourceStreams!$A:$N,EQ58,BL$7)))</f>
        <v/>
      </c>
      <c r="BM58" s="703" t="str">
        <f>IF($E58="","",IF(INDEX(E_SourceStreams!$A:$N,ER58,BM$7)="","",INDEX(E_SourceStreams!$A:$N,ER58,BM$7)))</f>
        <v/>
      </c>
      <c r="BN58" s="703" t="str">
        <f>IF($E58="","",IF(INDEX(E_SourceStreams!$A:$N,ES58,BN$7)="","",INDEX(E_SourceStreams!$A:$N,ES58,BN$7)))</f>
        <v/>
      </c>
      <c r="BO58" s="703" t="str">
        <f>IF($E58="","",IF(INDEX(E_SourceStreams!$A:$N,ET58,BO$7)="","",INDEX(E_SourceStreams!$A:$N,ET58,BO$7)))</f>
        <v/>
      </c>
      <c r="BP58" s="703" t="str">
        <f>IF($E58="","",IF(INDEX(E_SourceStreams!$A:$N,EU58,BP$7)="","",INDEX(E_SourceStreams!$A:$N,EU58,BP$7)))</f>
        <v/>
      </c>
      <c r="BQ58" s="703" t="str">
        <f>IF($E58="","",IF(INDEX(E_SourceStreams!$A:$N,EV58,BQ$7)="","",INDEX(E_SourceStreams!$A:$N,EV58,BQ$7)))</f>
        <v/>
      </c>
      <c r="BR58" s="703" t="str">
        <f>IF($E58="","",IF(INDEX(E_SourceStreams!$A:$N,EW58,BR$7)="","",INDEX(E_SourceStreams!$A:$N,EW58,BR$7)))</f>
        <v/>
      </c>
      <c r="BS58" s="703" t="str">
        <f>IF($E58="","",IF(INDEX(E_SourceStreams!$A:$N,EX58,BS$7)="","",INDEX(E_SourceStreams!$A:$N,EX58,BS$7)))</f>
        <v/>
      </c>
      <c r="BT58" s="703" t="str">
        <f>IF($E58="","",IF(INDEX(E_SourceStreams!$A:$N,EY58,BT$7)="","",INDEX(E_SourceStreams!$A:$N,EY58,BT$7)))</f>
        <v/>
      </c>
      <c r="BU58" s="625"/>
      <c r="CJ58" s="679" t="str">
        <f t="shared" si="66"/>
        <v>SourceCategory_</v>
      </c>
      <c r="CK58" s="679" t="b">
        <f>INDEX(C_InstallationDescription!$A$226:$A$332,ROWS($CI$11:CI58))="ausblenden"</f>
        <v>1</v>
      </c>
      <c r="CL58" s="679" t="str">
        <f t="shared" si="67"/>
        <v>SourceStreamName_</v>
      </c>
      <c r="CN58" s="679">
        <f t="shared" si="65"/>
        <v>3237</v>
      </c>
      <c r="CO58" s="679">
        <f t="shared" si="2"/>
        <v>3239</v>
      </c>
      <c r="CP58" s="679">
        <f t="shared" si="3"/>
        <v>3241</v>
      </c>
      <c r="CQ58" s="679">
        <f t="shared" si="4"/>
        <v>3243</v>
      </c>
      <c r="CR58" s="679">
        <f t="shared" si="5"/>
        <v>3245</v>
      </c>
      <c r="CS58" s="679">
        <f t="shared" si="6"/>
        <v>3247</v>
      </c>
      <c r="CT58" s="679">
        <f t="shared" si="7"/>
        <v>3249</v>
      </c>
      <c r="CU58" s="679">
        <f t="shared" si="8"/>
        <v>3249</v>
      </c>
      <c r="CV58" s="679">
        <f t="shared" si="9"/>
        <v>3249</v>
      </c>
      <c r="CW58" s="679">
        <f t="shared" si="10"/>
        <v>3249</v>
      </c>
      <c r="CX58" s="679">
        <f t="shared" si="11"/>
        <v>3249</v>
      </c>
      <c r="CY58" s="679">
        <f t="shared" si="12"/>
        <v>3252</v>
      </c>
      <c r="CZ58" s="679">
        <f t="shared" si="13"/>
        <v>3256</v>
      </c>
      <c r="DA58" s="679">
        <f t="shared" si="14"/>
        <v>3257</v>
      </c>
      <c r="DB58" s="679">
        <f t="shared" si="15"/>
        <v>3258</v>
      </c>
      <c r="DC58" s="679">
        <f t="shared" si="16"/>
        <v>3265</v>
      </c>
      <c r="DD58" s="679">
        <f t="shared" si="17"/>
        <v>3275</v>
      </c>
      <c r="DE58" s="679">
        <f t="shared" si="18"/>
        <v>3275</v>
      </c>
      <c r="DF58" s="679">
        <f t="shared" si="19"/>
        <v>3275</v>
      </c>
      <c r="DG58" s="679">
        <f t="shared" si="20"/>
        <v>3275</v>
      </c>
      <c r="DH58" s="679">
        <f t="shared" si="21"/>
        <v>3275</v>
      </c>
      <c r="DI58" s="679">
        <f t="shared" si="22"/>
        <v>3275</v>
      </c>
      <c r="DJ58" s="679">
        <f t="shared" si="23"/>
        <v>3275</v>
      </c>
      <c r="DK58" s="679">
        <f t="shared" si="24"/>
        <v>3266</v>
      </c>
      <c r="DL58" s="679">
        <f t="shared" si="25"/>
        <v>3276</v>
      </c>
      <c r="DM58" s="679">
        <f t="shared" si="26"/>
        <v>3276</v>
      </c>
      <c r="DN58" s="679">
        <f t="shared" si="27"/>
        <v>3276</v>
      </c>
      <c r="DO58" s="679">
        <f t="shared" si="28"/>
        <v>3276</v>
      </c>
      <c r="DP58" s="679">
        <f t="shared" si="29"/>
        <v>3276</v>
      </c>
      <c r="DQ58" s="679">
        <f t="shared" si="30"/>
        <v>3276</v>
      </c>
      <c r="DR58" s="679">
        <f t="shared" si="31"/>
        <v>3276</v>
      </c>
      <c r="DS58" s="679">
        <f t="shared" si="32"/>
        <v>3267</v>
      </c>
      <c r="DT58" s="679">
        <f t="shared" si="33"/>
        <v>3277</v>
      </c>
      <c r="DU58" s="679">
        <f t="shared" si="34"/>
        <v>3277</v>
      </c>
      <c r="DV58" s="679">
        <f t="shared" si="35"/>
        <v>3277</v>
      </c>
      <c r="DW58" s="679">
        <f t="shared" si="36"/>
        <v>3277</v>
      </c>
      <c r="DX58" s="679">
        <f t="shared" si="37"/>
        <v>3277</v>
      </c>
      <c r="DY58" s="679">
        <f t="shared" si="38"/>
        <v>3277</v>
      </c>
      <c r="DZ58" s="679">
        <f t="shared" si="39"/>
        <v>3277</v>
      </c>
      <c r="EA58" s="679">
        <f t="shared" si="40"/>
        <v>3268</v>
      </c>
      <c r="EB58" s="679">
        <f t="shared" si="41"/>
        <v>3278</v>
      </c>
      <c r="EC58" s="679">
        <f t="shared" si="42"/>
        <v>3278</v>
      </c>
      <c r="ED58" s="679">
        <f t="shared" si="43"/>
        <v>3278</v>
      </c>
      <c r="EE58" s="679">
        <f t="shared" si="44"/>
        <v>3278</v>
      </c>
      <c r="EF58" s="679">
        <f t="shared" si="45"/>
        <v>3278</v>
      </c>
      <c r="EG58" s="679">
        <f t="shared" si="46"/>
        <v>3278</v>
      </c>
      <c r="EH58" s="679">
        <f t="shared" si="47"/>
        <v>3278</v>
      </c>
      <c r="EI58" s="679">
        <f t="shared" si="48"/>
        <v>3269</v>
      </c>
      <c r="EJ58" s="679">
        <f t="shared" si="49"/>
        <v>3279</v>
      </c>
      <c r="EK58" s="679">
        <f t="shared" si="50"/>
        <v>3279</v>
      </c>
      <c r="EL58" s="679">
        <f t="shared" si="51"/>
        <v>3279</v>
      </c>
      <c r="EM58" s="679">
        <f t="shared" si="52"/>
        <v>3279</v>
      </c>
      <c r="EN58" s="679">
        <f t="shared" si="53"/>
        <v>3279</v>
      </c>
      <c r="EO58" s="679">
        <f t="shared" si="54"/>
        <v>3279</v>
      </c>
      <c r="EP58" s="679">
        <f t="shared" si="55"/>
        <v>3279</v>
      </c>
      <c r="EQ58" s="679">
        <f t="shared" si="56"/>
        <v>3270</v>
      </c>
      <c r="ER58" s="679">
        <f t="shared" si="57"/>
        <v>3280</v>
      </c>
      <c r="ES58" s="679">
        <f t="shared" si="58"/>
        <v>3280</v>
      </c>
      <c r="ET58" s="679">
        <f t="shared" si="59"/>
        <v>3280</v>
      </c>
      <c r="EU58" s="679">
        <f t="shared" si="60"/>
        <v>3280</v>
      </c>
      <c r="EV58" s="679">
        <f t="shared" si="61"/>
        <v>3280</v>
      </c>
      <c r="EW58" s="679">
        <f t="shared" si="62"/>
        <v>3280</v>
      </c>
      <c r="EX58" s="679">
        <f t="shared" si="63"/>
        <v>3280</v>
      </c>
      <c r="EY58" s="679">
        <f t="shared" si="64"/>
        <v>3286</v>
      </c>
    </row>
    <row r="59" spans="2:155" ht="12.75" customHeight="1" x14ac:dyDescent="0.2">
      <c r="B59" s="700" t="str">
        <f>IF(COUNTIF($CK$10:CK59,TRUE)&gt;0,"",INDEX(C_InstallationDescription!$E$226:$E$242,ROWS($A$11:A59)))</f>
        <v/>
      </c>
      <c r="C59" s="581" t="str">
        <f>IF($E59="","",INDEX(C_InstallationDescription!F:F,MATCH($B59,C_InstallationDescription!$E:$E,0)))</f>
        <v/>
      </c>
      <c r="D59" s="581" t="str">
        <f>IF($E59="","",INDEX(C_InstallationDescription!I:I,MATCH($B59,C_InstallationDescription!$E:$E,0)))</f>
        <v/>
      </c>
      <c r="E59" s="581" t="str">
        <f>IF($B59="","",INDEX(C_InstallationDescription!F:F,MATCH($CJ59,C_InstallationDescription!$Q:$Q,0)))</f>
        <v/>
      </c>
      <c r="F59" s="706" t="str">
        <f>IF($E59="","",INDEX(C_InstallationDescription!L:L,MATCH($CJ59,C_InstallationDescription!$Q:$Q,0)))</f>
        <v/>
      </c>
      <c r="G59" s="581" t="str">
        <f>IF($E59="","",INDEX(C_InstallationDescription!M:M,MATCH($CJ59,C_InstallationDescription!$Q:$Q,0)))</f>
        <v/>
      </c>
      <c r="H59" s="581" t="str">
        <f>IF($E59="","",INDEX(C_InstallationDescription!N:N,MATCH($CJ59,C_InstallationDescription!$Q:$Q,0)))</f>
        <v/>
      </c>
      <c r="I59" s="703" t="str">
        <f>IF($E59="","",IF(INDEX(E_SourceStreams!$A:$N,CN59,I$7)="","",INDEX(E_SourceStreams!$A:$N,CN59,I$7)))</f>
        <v/>
      </c>
      <c r="J59" s="703" t="str">
        <f>IF($E59="","",IF(INDEX(E_SourceStreams!$A:$N,CO59,J$7)="","",INDEX(E_SourceStreams!$A:$N,CO59,J$7)))</f>
        <v/>
      </c>
      <c r="K59" s="703" t="str">
        <f>IF($E59="","",IF(INDEX(E_SourceStreams!$A:$N,CP59,K$7)="","",INDEX(E_SourceStreams!$A:$N,CP59,K$7)))</f>
        <v/>
      </c>
      <c r="L59" s="703" t="str">
        <f>IF($E59="","",IF(INDEX(E_SourceStreams!$A:$N,CQ59,L$7)="","",INDEX(E_SourceStreams!$A:$N,CQ59,L$7)))</f>
        <v/>
      </c>
      <c r="M59" s="703" t="str">
        <f>IF($E59="","",IF(INDEX(E_SourceStreams!$A:$N,CR59,M$7)="","",INDEX(E_SourceStreams!$A:$N,CR59,M$7)))</f>
        <v/>
      </c>
      <c r="N59" s="703" t="str">
        <f>IF($E59="","",IF(INDEX(E_SourceStreams!$A:$N,CS59,N$7)="","",INDEX(E_SourceStreams!$A:$N,CS59,N$7)))</f>
        <v/>
      </c>
      <c r="O59" s="703" t="str">
        <f>IF($E59="","",IF(INDEX(E_SourceStreams!$A:$N,CT59,O$7)="","",INDEX(E_SourceStreams!$A:$N,CT59,O$7)))</f>
        <v/>
      </c>
      <c r="P59" s="703" t="str">
        <f>IF($E59="","",IF(INDEX(E_SourceStreams!$A:$N,CU59,P$7)="","",INDEX(E_SourceStreams!$A:$N,CU59,P$7)))</f>
        <v/>
      </c>
      <c r="Q59" s="703" t="str">
        <f>IF($E59="","",IF(INDEX(E_SourceStreams!$A:$N,CV59,Q$7)="","",INDEX(E_SourceStreams!$A:$N,CV59,Q$7)))</f>
        <v/>
      </c>
      <c r="R59" s="703" t="str">
        <f>IF($E59="","",IF(INDEX(E_SourceStreams!$A:$N,CW59,R$7)="","",INDEX(E_SourceStreams!$A:$N,CW59,R$7)))</f>
        <v/>
      </c>
      <c r="S59" s="703" t="str">
        <f>IF($E59="","",IF(INDEX(E_SourceStreams!$A:$N,CX59,S$7)="","",INDEX(E_SourceStreams!$A:$N,CX59,S$7)))</f>
        <v/>
      </c>
      <c r="T59" s="703" t="str">
        <f>IF($E59="","",IF(INDEX(E_SourceStreams!$A:$N,CY59,T$7)="","",INDEX(E_SourceStreams!$A:$N,CY59,T$7)))</f>
        <v/>
      </c>
      <c r="U59" s="703" t="str">
        <f>IF($E59="","",IF(INDEX(E_SourceStreams!$A:$N,CZ59,U$7)="","",INDEX(E_SourceStreams!$A:$N,CZ59,U$7)))</f>
        <v/>
      </c>
      <c r="V59" s="703" t="str">
        <f>IF($E59="","",IF(INDEX(E_SourceStreams!$A:$N,DA59,V$7)="","",INDEX(E_SourceStreams!$A:$N,DA59,V$7)))</f>
        <v/>
      </c>
      <c r="W59" s="704" t="str">
        <f>IF($E59="","",IF(INDEX(E_SourceStreams!$A:$N,DB59,W$7)="","",INDEX(E_SourceStreams!$A:$N,DB59,W$7)))</f>
        <v/>
      </c>
      <c r="X59" s="703" t="str">
        <f>IF($E59="","",IF(INDEX(E_SourceStreams!$A:$N,DC59,X$7)="","",INDEX(E_SourceStreams!$A:$N,DC59,X$7)))</f>
        <v/>
      </c>
      <c r="Y59" s="703" t="str">
        <f>IF($E59="","",IF(INDEX(E_SourceStreams!$A:$N,DD59,Y$7)="","",INDEX(E_SourceStreams!$A:$N,DD59,Y$7)))</f>
        <v/>
      </c>
      <c r="Z59" s="703" t="str">
        <f>IF($E59="","",IF(INDEX(E_SourceStreams!$A:$N,DE59,Z$7)="","",INDEX(E_SourceStreams!$A:$N,DE59,Z$7)))</f>
        <v/>
      </c>
      <c r="AA59" s="703" t="str">
        <f>IF($E59="","",IF(INDEX(E_SourceStreams!$A:$N,DF59,AA$7)="","",INDEX(E_SourceStreams!$A:$N,DF59,AA$7)))</f>
        <v/>
      </c>
      <c r="AB59" s="703" t="str">
        <f>IF($E59="","",IF(INDEX(E_SourceStreams!$A:$N,DG59,AB$7)="","",INDEX(E_SourceStreams!$A:$N,DG59,AB$7)))</f>
        <v/>
      </c>
      <c r="AC59" s="703" t="str">
        <f>IF($E59="","",IF(INDEX(E_SourceStreams!$A:$N,DH59,AC$7)="","",INDEX(E_SourceStreams!$A:$N,DH59,AC$7)))</f>
        <v/>
      </c>
      <c r="AD59" s="703" t="str">
        <f>IF($E59="","",IF(INDEX(E_SourceStreams!$A:$N,DI59,AD$7)="","",INDEX(E_SourceStreams!$A:$N,DI59,AD$7)))</f>
        <v/>
      </c>
      <c r="AE59" s="703" t="str">
        <f>IF($E59="","",IF(INDEX(E_SourceStreams!$A:$N,DJ59,AE$7)="","",INDEX(E_SourceStreams!$A:$N,DJ59,AE$7)))</f>
        <v/>
      </c>
      <c r="AF59" s="703" t="str">
        <f>IF($E59="","",IF(INDEX(E_SourceStreams!$A:$N,DK59,AF$7)="","",INDEX(E_SourceStreams!$A:$N,DK59,AF$7)))</f>
        <v/>
      </c>
      <c r="AG59" s="703" t="str">
        <f>IF($E59="","",IF(INDEX(E_SourceStreams!$A:$N,DL59,AG$7)="","",INDEX(E_SourceStreams!$A:$N,DL59,AG$7)))</f>
        <v/>
      </c>
      <c r="AH59" s="703" t="str">
        <f>IF($E59="","",IF(INDEX(E_SourceStreams!$A:$N,DM59,AH$7)="","",INDEX(E_SourceStreams!$A:$N,DM59,AH$7)))</f>
        <v/>
      </c>
      <c r="AI59" s="703" t="str">
        <f>IF($E59="","",IF(INDEX(E_SourceStreams!$A:$N,DN59,AI$7)="","",INDEX(E_SourceStreams!$A:$N,DN59,AI$7)))</f>
        <v/>
      </c>
      <c r="AJ59" s="703" t="str">
        <f>IF($E59="","",IF(INDEX(E_SourceStreams!$A:$N,DO59,AJ$7)="","",INDEX(E_SourceStreams!$A:$N,DO59,AJ$7)))</f>
        <v/>
      </c>
      <c r="AK59" s="703" t="str">
        <f>IF($E59="","",IF(INDEX(E_SourceStreams!$A:$N,DP59,AK$7)="","",INDEX(E_SourceStreams!$A:$N,DP59,AK$7)))</f>
        <v/>
      </c>
      <c r="AL59" s="703" t="str">
        <f>IF($E59="","",IF(INDEX(E_SourceStreams!$A:$N,DQ59,AL$7)="","",INDEX(E_SourceStreams!$A:$N,DQ59,AL$7)))</f>
        <v/>
      </c>
      <c r="AM59" s="703" t="str">
        <f>IF($E59="","",IF(INDEX(E_SourceStreams!$A:$N,DR59,AM$7)="","",INDEX(E_SourceStreams!$A:$N,DR59,AM$7)))</f>
        <v/>
      </c>
      <c r="AN59" s="703" t="str">
        <f>IF($E59="","",IF(INDEX(E_SourceStreams!$A:$N,DS59,AN$7)="","",INDEX(E_SourceStreams!$A:$N,DS59,AN$7)))</f>
        <v/>
      </c>
      <c r="AO59" s="703" t="str">
        <f>IF($E59="","",IF(INDEX(E_SourceStreams!$A:$N,DT59,AO$7)="","",INDEX(E_SourceStreams!$A:$N,DT59,AO$7)))</f>
        <v/>
      </c>
      <c r="AP59" s="703" t="str">
        <f>IF($E59="","",IF(INDEX(E_SourceStreams!$A:$N,DU59,AP$7)="","",INDEX(E_SourceStreams!$A:$N,DU59,AP$7)))</f>
        <v/>
      </c>
      <c r="AQ59" s="703" t="str">
        <f>IF($E59="","",IF(INDEX(E_SourceStreams!$A:$N,DV59,AQ$7)="","",INDEX(E_SourceStreams!$A:$N,DV59,AQ$7)))</f>
        <v/>
      </c>
      <c r="AR59" s="703" t="str">
        <f>IF($E59="","",IF(INDEX(E_SourceStreams!$A:$N,DW59,AR$7)="","",INDEX(E_SourceStreams!$A:$N,DW59,AR$7)))</f>
        <v/>
      </c>
      <c r="AS59" s="703" t="str">
        <f>IF($E59="","",IF(INDEX(E_SourceStreams!$A:$N,DX59,AS$7)="","",INDEX(E_SourceStreams!$A:$N,DX59,AS$7)))</f>
        <v/>
      </c>
      <c r="AT59" s="703" t="str">
        <f>IF($E59="","",IF(INDEX(E_SourceStreams!$A:$N,DY59,AT$7)="","",INDEX(E_SourceStreams!$A:$N,DY59,AT$7)))</f>
        <v/>
      </c>
      <c r="AU59" s="703" t="str">
        <f>IF($E59="","",IF(INDEX(E_SourceStreams!$A:$N,DZ59,AU$7)="","",INDEX(E_SourceStreams!$A:$N,DZ59,AU$7)))</f>
        <v/>
      </c>
      <c r="AV59" s="703" t="str">
        <f>IF($E59="","",IF(INDEX(E_SourceStreams!$A:$N,EA59,AV$7)="","",INDEX(E_SourceStreams!$A:$N,EA59,AV$7)))</f>
        <v/>
      </c>
      <c r="AW59" s="703" t="str">
        <f>IF($E59="","",IF(INDEX(E_SourceStreams!$A:$N,EB59,AW$7)="","",INDEX(E_SourceStreams!$A:$N,EB59,AW$7)))</f>
        <v/>
      </c>
      <c r="AX59" s="703" t="str">
        <f>IF($E59="","",IF(INDEX(E_SourceStreams!$A:$N,EC59,AX$7)="","",INDEX(E_SourceStreams!$A:$N,EC59,AX$7)))</f>
        <v/>
      </c>
      <c r="AY59" s="703" t="str">
        <f>IF($E59="","",IF(INDEX(E_SourceStreams!$A:$N,ED59,AY$7)="","",INDEX(E_SourceStreams!$A:$N,ED59,AY$7)))</f>
        <v/>
      </c>
      <c r="AZ59" s="703" t="str">
        <f>IF($E59="","",IF(INDEX(E_SourceStreams!$A:$N,EE59,AZ$7)="","",INDEX(E_SourceStreams!$A:$N,EE59,AZ$7)))</f>
        <v/>
      </c>
      <c r="BA59" s="703" t="str">
        <f>IF($E59="","",IF(INDEX(E_SourceStreams!$A:$N,EF59,BA$7)="","",INDEX(E_SourceStreams!$A:$N,EF59,BA$7)))</f>
        <v/>
      </c>
      <c r="BB59" s="703" t="str">
        <f>IF($E59="","",IF(INDEX(E_SourceStreams!$A:$N,EG59,BB$7)="","",INDEX(E_SourceStreams!$A:$N,EG59,BB$7)))</f>
        <v/>
      </c>
      <c r="BC59" s="703" t="str">
        <f>IF($E59="","",IF(INDEX(E_SourceStreams!$A:$N,EH59,BC$7)="","",INDEX(E_SourceStreams!$A:$N,EH59,BC$7)))</f>
        <v/>
      </c>
      <c r="BD59" s="703" t="str">
        <f>IF($E59="","",IF(INDEX(E_SourceStreams!$A:$N,EI59,BD$7)="","",INDEX(E_SourceStreams!$A:$N,EI59,BD$7)))</f>
        <v/>
      </c>
      <c r="BE59" s="703" t="str">
        <f>IF($E59="","",IF(INDEX(E_SourceStreams!$A:$N,EJ59,BE$7)="","",INDEX(E_SourceStreams!$A:$N,EJ59,BE$7)))</f>
        <v/>
      </c>
      <c r="BF59" s="703" t="str">
        <f>IF($E59="","",IF(INDEX(E_SourceStreams!$A:$N,EK59,BF$7)="","",INDEX(E_SourceStreams!$A:$N,EK59,BF$7)))</f>
        <v/>
      </c>
      <c r="BG59" s="703" t="str">
        <f>IF($E59="","",IF(INDEX(E_SourceStreams!$A:$N,EL59,BG$7)="","",INDEX(E_SourceStreams!$A:$N,EL59,BG$7)))</f>
        <v/>
      </c>
      <c r="BH59" s="703" t="str">
        <f>IF($E59="","",IF(INDEX(E_SourceStreams!$A:$N,EM59,BH$7)="","",INDEX(E_SourceStreams!$A:$N,EM59,BH$7)))</f>
        <v/>
      </c>
      <c r="BI59" s="703" t="str">
        <f>IF($E59="","",IF(INDEX(E_SourceStreams!$A:$N,EN59,BI$7)="","",INDEX(E_SourceStreams!$A:$N,EN59,BI$7)))</f>
        <v/>
      </c>
      <c r="BJ59" s="703" t="str">
        <f>IF($E59="","",IF(INDEX(E_SourceStreams!$A:$N,EO59,BJ$7)="","",INDEX(E_SourceStreams!$A:$N,EO59,BJ$7)))</f>
        <v/>
      </c>
      <c r="BK59" s="703" t="str">
        <f>IF($E59="","",IF(INDEX(E_SourceStreams!$A:$N,EP59,BK$7)="","",INDEX(E_SourceStreams!$A:$N,EP59,BK$7)))</f>
        <v/>
      </c>
      <c r="BL59" s="703" t="str">
        <f>IF($E59="","",IF(INDEX(E_SourceStreams!$A:$N,EQ59,BL$7)="","",INDEX(E_SourceStreams!$A:$N,EQ59,BL$7)))</f>
        <v/>
      </c>
      <c r="BM59" s="703" t="str">
        <f>IF($E59="","",IF(INDEX(E_SourceStreams!$A:$N,ER59,BM$7)="","",INDEX(E_SourceStreams!$A:$N,ER59,BM$7)))</f>
        <v/>
      </c>
      <c r="BN59" s="703" t="str">
        <f>IF($E59="","",IF(INDEX(E_SourceStreams!$A:$N,ES59,BN$7)="","",INDEX(E_SourceStreams!$A:$N,ES59,BN$7)))</f>
        <v/>
      </c>
      <c r="BO59" s="703" t="str">
        <f>IF($E59="","",IF(INDEX(E_SourceStreams!$A:$N,ET59,BO$7)="","",INDEX(E_SourceStreams!$A:$N,ET59,BO$7)))</f>
        <v/>
      </c>
      <c r="BP59" s="703" t="str">
        <f>IF($E59="","",IF(INDEX(E_SourceStreams!$A:$N,EU59,BP$7)="","",INDEX(E_SourceStreams!$A:$N,EU59,BP$7)))</f>
        <v/>
      </c>
      <c r="BQ59" s="703" t="str">
        <f>IF($E59="","",IF(INDEX(E_SourceStreams!$A:$N,EV59,BQ$7)="","",INDEX(E_SourceStreams!$A:$N,EV59,BQ$7)))</f>
        <v/>
      </c>
      <c r="BR59" s="703" t="str">
        <f>IF($E59="","",IF(INDEX(E_SourceStreams!$A:$N,EW59,BR$7)="","",INDEX(E_SourceStreams!$A:$N,EW59,BR$7)))</f>
        <v/>
      </c>
      <c r="BS59" s="703" t="str">
        <f>IF($E59="","",IF(INDEX(E_SourceStreams!$A:$N,EX59,BS$7)="","",INDEX(E_SourceStreams!$A:$N,EX59,BS$7)))</f>
        <v/>
      </c>
      <c r="BT59" s="703" t="str">
        <f>IF($E59="","",IF(INDEX(E_SourceStreams!$A:$N,EY59,BT$7)="","",INDEX(E_SourceStreams!$A:$N,EY59,BT$7)))</f>
        <v/>
      </c>
      <c r="BU59" s="625"/>
      <c r="CJ59" s="679" t="str">
        <f t="shared" si="66"/>
        <v>SourceCategory_</v>
      </c>
      <c r="CK59" s="679" t="b">
        <f>INDEX(C_InstallationDescription!$A$226:$A$332,ROWS($CI$11:CI59))="ausblenden"</f>
        <v>1</v>
      </c>
      <c r="CL59" s="679" t="str">
        <f t="shared" si="67"/>
        <v>SourceStreamName_</v>
      </c>
      <c r="CN59" s="679">
        <f t="shared" si="65"/>
        <v>3303</v>
      </c>
      <c r="CO59" s="679">
        <f t="shared" si="2"/>
        <v>3305</v>
      </c>
      <c r="CP59" s="679">
        <f t="shared" si="3"/>
        <v>3307</v>
      </c>
      <c r="CQ59" s="679">
        <f t="shared" si="4"/>
        <v>3309</v>
      </c>
      <c r="CR59" s="679">
        <f t="shared" si="5"/>
        <v>3311</v>
      </c>
      <c r="CS59" s="679">
        <f t="shared" si="6"/>
        <v>3313</v>
      </c>
      <c r="CT59" s="679">
        <f t="shared" si="7"/>
        <v>3315</v>
      </c>
      <c r="CU59" s="679">
        <f t="shared" si="8"/>
        <v>3315</v>
      </c>
      <c r="CV59" s="679">
        <f t="shared" si="9"/>
        <v>3315</v>
      </c>
      <c r="CW59" s="679">
        <f t="shared" si="10"/>
        <v>3315</v>
      </c>
      <c r="CX59" s="679">
        <f t="shared" si="11"/>
        <v>3315</v>
      </c>
      <c r="CY59" s="679">
        <f t="shared" si="12"/>
        <v>3318</v>
      </c>
      <c r="CZ59" s="679">
        <f t="shared" si="13"/>
        <v>3322</v>
      </c>
      <c r="DA59" s="679">
        <f t="shared" si="14"/>
        <v>3323</v>
      </c>
      <c r="DB59" s="679">
        <f t="shared" si="15"/>
        <v>3324</v>
      </c>
      <c r="DC59" s="679">
        <f t="shared" si="16"/>
        <v>3331</v>
      </c>
      <c r="DD59" s="679">
        <f t="shared" si="17"/>
        <v>3341</v>
      </c>
      <c r="DE59" s="679">
        <f t="shared" si="18"/>
        <v>3341</v>
      </c>
      <c r="DF59" s="679">
        <f t="shared" si="19"/>
        <v>3341</v>
      </c>
      <c r="DG59" s="679">
        <f t="shared" si="20"/>
        <v>3341</v>
      </c>
      <c r="DH59" s="679">
        <f t="shared" si="21"/>
        <v>3341</v>
      </c>
      <c r="DI59" s="679">
        <f t="shared" si="22"/>
        <v>3341</v>
      </c>
      <c r="DJ59" s="679">
        <f t="shared" si="23"/>
        <v>3341</v>
      </c>
      <c r="DK59" s="679">
        <f t="shared" si="24"/>
        <v>3332</v>
      </c>
      <c r="DL59" s="679">
        <f t="shared" si="25"/>
        <v>3342</v>
      </c>
      <c r="DM59" s="679">
        <f t="shared" si="26"/>
        <v>3342</v>
      </c>
      <c r="DN59" s="679">
        <f t="shared" si="27"/>
        <v>3342</v>
      </c>
      <c r="DO59" s="679">
        <f t="shared" si="28"/>
        <v>3342</v>
      </c>
      <c r="DP59" s="679">
        <f t="shared" si="29"/>
        <v>3342</v>
      </c>
      <c r="DQ59" s="679">
        <f t="shared" si="30"/>
        <v>3342</v>
      </c>
      <c r="DR59" s="679">
        <f t="shared" si="31"/>
        <v>3342</v>
      </c>
      <c r="DS59" s="679">
        <f t="shared" si="32"/>
        <v>3333</v>
      </c>
      <c r="DT59" s="679">
        <f t="shared" si="33"/>
        <v>3343</v>
      </c>
      <c r="DU59" s="679">
        <f t="shared" si="34"/>
        <v>3343</v>
      </c>
      <c r="DV59" s="679">
        <f t="shared" si="35"/>
        <v>3343</v>
      </c>
      <c r="DW59" s="679">
        <f t="shared" si="36"/>
        <v>3343</v>
      </c>
      <c r="DX59" s="679">
        <f t="shared" si="37"/>
        <v>3343</v>
      </c>
      <c r="DY59" s="679">
        <f t="shared" si="38"/>
        <v>3343</v>
      </c>
      <c r="DZ59" s="679">
        <f t="shared" si="39"/>
        <v>3343</v>
      </c>
      <c r="EA59" s="679">
        <f t="shared" si="40"/>
        <v>3334</v>
      </c>
      <c r="EB59" s="679">
        <f t="shared" si="41"/>
        <v>3344</v>
      </c>
      <c r="EC59" s="679">
        <f t="shared" si="42"/>
        <v>3344</v>
      </c>
      <c r="ED59" s="679">
        <f t="shared" si="43"/>
        <v>3344</v>
      </c>
      <c r="EE59" s="679">
        <f t="shared" si="44"/>
        <v>3344</v>
      </c>
      <c r="EF59" s="679">
        <f t="shared" si="45"/>
        <v>3344</v>
      </c>
      <c r="EG59" s="679">
        <f t="shared" si="46"/>
        <v>3344</v>
      </c>
      <c r="EH59" s="679">
        <f t="shared" si="47"/>
        <v>3344</v>
      </c>
      <c r="EI59" s="679">
        <f t="shared" si="48"/>
        <v>3335</v>
      </c>
      <c r="EJ59" s="679">
        <f t="shared" si="49"/>
        <v>3345</v>
      </c>
      <c r="EK59" s="679">
        <f t="shared" si="50"/>
        <v>3345</v>
      </c>
      <c r="EL59" s="679">
        <f t="shared" si="51"/>
        <v>3345</v>
      </c>
      <c r="EM59" s="679">
        <f t="shared" si="52"/>
        <v>3345</v>
      </c>
      <c r="EN59" s="679">
        <f t="shared" si="53"/>
        <v>3345</v>
      </c>
      <c r="EO59" s="679">
        <f t="shared" si="54"/>
        <v>3345</v>
      </c>
      <c r="EP59" s="679">
        <f t="shared" si="55"/>
        <v>3345</v>
      </c>
      <c r="EQ59" s="679">
        <f t="shared" si="56"/>
        <v>3336</v>
      </c>
      <c r="ER59" s="679">
        <f t="shared" si="57"/>
        <v>3346</v>
      </c>
      <c r="ES59" s="679">
        <f t="shared" si="58"/>
        <v>3346</v>
      </c>
      <c r="ET59" s="679">
        <f t="shared" si="59"/>
        <v>3346</v>
      </c>
      <c r="EU59" s="679">
        <f t="shared" si="60"/>
        <v>3346</v>
      </c>
      <c r="EV59" s="679">
        <f t="shared" si="61"/>
        <v>3346</v>
      </c>
      <c r="EW59" s="679">
        <f t="shared" si="62"/>
        <v>3346</v>
      </c>
      <c r="EX59" s="679">
        <f t="shared" si="63"/>
        <v>3346</v>
      </c>
      <c r="EY59" s="679">
        <f t="shared" si="64"/>
        <v>3352</v>
      </c>
    </row>
    <row r="60" spans="2:155" ht="12.75" customHeight="1" x14ac:dyDescent="0.2">
      <c r="B60" s="700" t="str">
        <f>IF(COUNTIF($CK$10:CK60,TRUE)&gt;0,"",INDEX(C_InstallationDescription!$E$226:$E$242,ROWS($A$11:A60)))</f>
        <v/>
      </c>
      <c r="C60" s="581" t="str">
        <f>IF($E60="","",INDEX(C_InstallationDescription!F:F,MATCH($B60,C_InstallationDescription!$E:$E,0)))</f>
        <v/>
      </c>
      <c r="D60" s="581" t="str">
        <f>IF($E60="","",INDEX(C_InstallationDescription!I:I,MATCH($B60,C_InstallationDescription!$E:$E,0)))</f>
        <v/>
      </c>
      <c r="E60" s="581" t="str">
        <f>IF($B60="","",INDEX(C_InstallationDescription!F:F,MATCH($CJ60,C_InstallationDescription!$Q:$Q,0)))</f>
        <v/>
      </c>
      <c r="F60" s="706" t="str">
        <f>IF($E60="","",INDEX(C_InstallationDescription!L:L,MATCH($CJ60,C_InstallationDescription!$Q:$Q,0)))</f>
        <v/>
      </c>
      <c r="G60" s="581" t="str">
        <f>IF($E60="","",INDEX(C_InstallationDescription!M:M,MATCH($CJ60,C_InstallationDescription!$Q:$Q,0)))</f>
        <v/>
      </c>
      <c r="H60" s="581" t="str">
        <f>IF($E60="","",INDEX(C_InstallationDescription!N:N,MATCH($CJ60,C_InstallationDescription!$Q:$Q,0)))</f>
        <v/>
      </c>
      <c r="I60" s="703" t="str">
        <f>IF($E60="","",IF(INDEX(E_SourceStreams!$A:$N,CN60,I$7)="","",INDEX(E_SourceStreams!$A:$N,CN60,I$7)))</f>
        <v/>
      </c>
      <c r="J60" s="703" t="str">
        <f>IF($E60="","",IF(INDEX(E_SourceStreams!$A:$N,CO60,J$7)="","",INDEX(E_SourceStreams!$A:$N,CO60,J$7)))</f>
        <v/>
      </c>
      <c r="K60" s="703" t="str">
        <f>IF($E60="","",IF(INDEX(E_SourceStreams!$A:$N,CP60,K$7)="","",INDEX(E_SourceStreams!$A:$N,CP60,K$7)))</f>
        <v/>
      </c>
      <c r="L60" s="703" t="str">
        <f>IF($E60="","",IF(INDEX(E_SourceStreams!$A:$N,CQ60,L$7)="","",INDEX(E_SourceStreams!$A:$N,CQ60,L$7)))</f>
        <v/>
      </c>
      <c r="M60" s="703" t="str">
        <f>IF($E60="","",IF(INDEX(E_SourceStreams!$A:$N,CR60,M$7)="","",INDEX(E_SourceStreams!$A:$N,CR60,M$7)))</f>
        <v/>
      </c>
      <c r="N60" s="703" t="str">
        <f>IF($E60="","",IF(INDEX(E_SourceStreams!$A:$N,CS60,N$7)="","",INDEX(E_SourceStreams!$A:$N,CS60,N$7)))</f>
        <v/>
      </c>
      <c r="O60" s="703" t="str">
        <f>IF($E60="","",IF(INDEX(E_SourceStreams!$A:$N,CT60,O$7)="","",INDEX(E_SourceStreams!$A:$N,CT60,O$7)))</f>
        <v/>
      </c>
      <c r="P60" s="703" t="str">
        <f>IF($E60="","",IF(INDEX(E_SourceStreams!$A:$N,CU60,P$7)="","",INDEX(E_SourceStreams!$A:$N,CU60,P$7)))</f>
        <v/>
      </c>
      <c r="Q60" s="703" t="str">
        <f>IF($E60="","",IF(INDEX(E_SourceStreams!$A:$N,CV60,Q$7)="","",INDEX(E_SourceStreams!$A:$N,CV60,Q$7)))</f>
        <v/>
      </c>
      <c r="R60" s="703" t="str">
        <f>IF($E60="","",IF(INDEX(E_SourceStreams!$A:$N,CW60,R$7)="","",INDEX(E_SourceStreams!$A:$N,CW60,R$7)))</f>
        <v/>
      </c>
      <c r="S60" s="703" t="str">
        <f>IF($E60="","",IF(INDEX(E_SourceStreams!$A:$N,CX60,S$7)="","",INDEX(E_SourceStreams!$A:$N,CX60,S$7)))</f>
        <v/>
      </c>
      <c r="T60" s="703" t="str">
        <f>IF($E60="","",IF(INDEX(E_SourceStreams!$A:$N,CY60,T$7)="","",INDEX(E_SourceStreams!$A:$N,CY60,T$7)))</f>
        <v/>
      </c>
      <c r="U60" s="703" t="str">
        <f>IF($E60="","",IF(INDEX(E_SourceStreams!$A:$N,CZ60,U$7)="","",INDEX(E_SourceStreams!$A:$N,CZ60,U$7)))</f>
        <v/>
      </c>
      <c r="V60" s="703" t="str">
        <f>IF($E60="","",IF(INDEX(E_SourceStreams!$A:$N,DA60,V$7)="","",INDEX(E_SourceStreams!$A:$N,DA60,V$7)))</f>
        <v/>
      </c>
      <c r="W60" s="704" t="str">
        <f>IF($E60="","",IF(INDEX(E_SourceStreams!$A:$N,DB60,W$7)="","",INDEX(E_SourceStreams!$A:$N,DB60,W$7)))</f>
        <v/>
      </c>
      <c r="X60" s="703" t="str">
        <f>IF($E60="","",IF(INDEX(E_SourceStreams!$A:$N,DC60,X$7)="","",INDEX(E_SourceStreams!$A:$N,DC60,X$7)))</f>
        <v/>
      </c>
      <c r="Y60" s="703" t="str">
        <f>IF($E60="","",IF(INDEX(E_SourceStreams!$A:$N,DD60,Y$7)="","",INDEX(E_SourceStreams!$A:$N,DD60,Y$7)))</f>
        <v/>
      </c>
      <c r="Z60" s="703" t="str">
        <f>IF($E60="","",IF(INDEX(E_SourceStreams!$A:$N,DE60,Z$7)="","",INDEX(E_SourceStreams!$A:$N,DE60,Z$7)))</f>
        <v/>
      </c>
      <c r="AA60" s="703" t="str">
        <f>IF($E60="","",IF(INDEX(E_SourceStreams!$A:$N,DF60,AA$7)="","",INDEX(E_SourceStreams!$A:$N,DF60,AA$7)))</f>
        <v/>
      </c>
      <c r="AB60" s="703" t="str">
        <f>IF($E60="","",IF(INDEX(E_SourceStreams!$A:$N,DG60,AB$7)="","",INDEX(E_SourceStreams!$A:$N,DG60,AB$7)))</f>
        <v/>
      </c>
      <c r="AC60" s="703" t="str">
        <f>IF($E60="","",IF(INDEX(E_SourceStreams!$A:$N,DH60,AC$7)="","",INDEX(E_SourceStreams!$A:$N,DH60,AC$7)))</f>
        <v/>
      </c>
      <c r="AD60" s="703" t="str">
        <f>IF($E60="","",IF(INDEX(E_SourceStreams!$A:$N,DI60,AD$7)="","",INDEX(E_SourceStreams!$A:$N,DI60,AD$7)))</f>
        <v/>
      </c>
      <c r="AE60" s="703" t="str">
        <f>IF($E60="","",IF(INDEX(E_SourceStreams!$A:$N,DJ60,AE$7)="","",INDEX(E_SourceStreams!$A:$N,DJ60,AE$7)))</f>
        <v/>
      </c>
      <c r="AF60" s="703" t="str">
        <f>IF($E60="","",IF(INDEX(E_SourceStreams!$A:$N,DK60,AF$7)="","",INDEX(E_SourceStreams!$A:$N,DK60,AF$7)))</f>
        <v/>
      </c>
      <c r="AG60" s="703" t="str">
        <f>IF($E60="","",IF(INDEX(E_SourceStreams!$A:$N,DL60,AG$7)="","",INDEX(E_SourceStreams!$A:$N,DL60,AG$7)))</f>
        <v/>
      </c>
      <c r="AH60" s="703" t="str">
        <f>IF($E60="","",IF(INDEX(E_SourceStreams!$A:$N,DM60,AH$7)="","",INDEX(E_SourceStreams!$A:$N,DM60,AH$7)))</f>
        <v/>
      </c>
      <c r="AI60" s="703" t="str">
        <f>IF($E60="","",IF(INDEX(E_SourceStreams!$A:$N,DN60,AI$7)="","",INDEX(E_SourceStreams!$A:$N,DN60,AI$7)))</f>
        <v/>
      </c>
      <c r="AJ60" s="703" t="str">
        <f>IF($E60="","",IF(INDEX(E_SourceStreams!$A:$N,DO60,AJ$7)="","",INDEX(E_SourceStreams!$A:$N,DO60,AJ$7)))</f>
        <v/>
      </c>
      <c r="AK60" s="703" t="str">
        <f>IF($E60="","",IF(INDEX(E_SourceStreams!$A:$N,DP60,AK$7)="","",INDEX(E_SourceStreams!$A:$N,DP60,AK$7)))</f>
        <v/>
      </c>
      <c r="AL60" s="703" t="str">
        <f>IF($E60="","",IF(INDEX(E_SourceStreams!$A:$N,DQ60,AL$7)="","",INDEX(E_SourceStreams!$A:$N,DQ60,AL$7)))</f>
        <v/>
      </c>
      <c r="AM60" s="703" t="str">
        <f>IF($E60="","",IF(INDEX(E_SourceStreams!$A:$N,DR60,AM$7)="","",INDEX(E_SourceStreams!$A:$N,DR60,AM$7)))</f>
        <v/>
      </c>
      <c r="AN60" s="703" t="str">
        <f>IF($E60="","",IF(INDEX(E_SourceStreams!$A:$N,DS60,AN$7)="","",INDEX(E_SourceStreams!$A:$N,DS60,AN$7)))</f>
        <v/>
      </c>
      <c r="AO60" s="703" t="str">
        <f>IF($E60="","",IF(INDEX(E_SourceStreams!$A:$N,DT60,AO$7)="","",INDEX(E_SourceStreams!$A:$N,DT60,AO$7)))</f>
        <v/>
      </c>
      <c r="AP60" s="703" t="str">
        <f>IF($E60="","",IF(INDEX(E_SourceStreams!$A:$N,DU60,AP$7)="","",INDEX(E_SourceStreams!$A:$N,DU60,AP$7)))</f>
        <v/>
      </c>
      <c r="AQ60" s="703" t="str">
        <f>IF($E60="","",IF(INDEX(E_SourceStreams!$A:$N,DV60,AQ$7)="","",INDEX(E_SourceStreams!$A:$N,DV60,AQ$7)))</f>
        <v/>
      </c>
      <c r="AR60" s="703" t="str">
        <f>IF($E60="","",IF(INDEX(E_SourceStreams!$A:$N,DW60,AR$7)="","",INDEX(E_SourceStreams!$A:$N,DW60,AR$7)))</f>
        <v/>
      </c>
      <c r="AS60" s="703" t="str">
        <f>IF($E60="","",IF(INDEX(E_SourceStreams!$A:$N,DX60,AS$7)="","",INDEX(E_SourceStreams!$A:$N,DX60,AS$7)))</f>
        <v/>
      </c>
      <c r="AT60" s="703" t="str">
        <f>IF($E60="","",IF(INDEX(E_SourceStreams!$A:$N,DY60,AT$7)="","",INDEX(E_SourceStreams!$A:$N,DY60,AT$7)))</f>
        <v/>
      </c>
      <c r="AU60" s="703" t="str">
        <f>IF($E60="","",IF(INDEX(E_SourceStreams!$A:$N,DZ60,AU$7)="","",INDEX(E_SourceStreams!$A:$N,DZ60,AU$7)))</f>
        <v/>
      </c>
      <c r="AV60" s="703" t="str">
        <f>IF($E60="","",IF(INDEX(E_SourceStreams!$A:$N,EA60,AV$7)="","",INDEX(E_SourceStreams!$A:$N,EA60,AV$7)))</f>
        <v/>
      </c>
      <c r="AW60" s="703" t="str">
        <f>IF($E60="","",IF(INDEX(E_SourceStreams!$A:$N,EB60,AW$7)="","",INDEX(E_SourceStreams!$A:$N,EB60,AW$7)))</f>
        <v/>
      </c>
      <c r="AX60" s="703" t="str">
        <f>IF($E60="","",IF(INDEX(E_SourceStreams!$A:$N,EC60,AX$7)="","",INDEX(E_SourceStreams!$A:$N,EC60,AX$7)))</f>
        <v/>
      </c>
      <c r="AY60" s="703" t="str">
        <f>IF($E60="","",IF(INDEX(E_SourceStreams!$A:$N,ED60,AY$7)="","",INDEX(E_SourceStreams!$A:$N,ED60,AY$7)))</f>
        <v/>
      </c>
      <c r="AZ60" s="703" t="str">
        <f>IF($E60="","",IF(INDEX(E_SourceStreams!$A:$N,EE60,AZ$7)="","",INDEX(E_SourceStreams!$A:$N,EE60,AZ$7)))</f>
        <v/>
      </c>
      <c r="BA60" s="703" t="str">
        <f>IF($E60="","",IF(INDEX(E_SourceStreams!$A:$N,EF60,BA$7)="","",INDEX(E_SourceStreams!$A:$N,EF60,BA$7)))</f>
        <v/>
      </c>
      <c r="BB60" s="703" t="str">
        <f>IF($E60="","",IF(INDEX(E_SourceStreams!$A:$N,EG60,BB$7)="","",INDEX(E_SourceStreams!$A:$N,EG60,BB$7)))</f>
        <v/>
      </c>
      <c r="BC60" s="703" t="str">
        <f>IF($E60="","",IF(INDEX(E_SourceStreams!$A:$N,EH60,BC$7)="","",INDEX(E_SourceStreams!$A:$N,EH60,BC$7)))</f>
        <v/>
      </c>
      <c r="BD60" s="703" t="str">
        <f>IF($E60="","",IF(INDEX(E_SourceStreams!$A:$N,EI60,BD$7)="","",INDEX(E_SourceStreams!$A:$N,EI60,BD$7)))</f>
        <v/>
      </c>
      <c r="BE60" s="703" t="str">
        <f>IF($E60="","",IF(INDEX(E_SourceStreams!$A:$N,EJ60,BE$7)="","",INDEX(E_SourceStreams!$A:$N,EJ60,BE$7)))</f>
        <v/>
      </c>
      <c r="BF60" s="703" t="str">
        <f>IF($E60="","",IF(INDEX(E_SourceStreams!$A:$N,EK60,BF$7)="","",INDEX(E_SourceStreams!$A:$N,EK60,BF$7)))</f>
        <v/>
      </c>
      <c r="BG60" s="703" t="str">
        <f>IF($E60="","",IF(INDEX(E_SourceStreams!$A:$N,EL60,BG$7)="","",INDEX(E_SourceStreams!$A:$N,EL60,BG$7)))</f>
        <v/>
      </c>
      <c r="BH60" s="703" t="str">
        <f>IF($E60="","",IF(INDEX(E_SourceStreams!$A:$N,EM60,BH$7)="","",INDEX(E_SourceStreams!$A:$N,EM60,BH$7)))</f>
        <v/>
      </c>
      <c r="BI60" s="703" t="str">
        <f>IF($E60="","",IF(INDEX(E_SourceStreams!$A:$N,EN60,BI$7)="","",INDEX(E_SourceStreams!$A:$N,EN60,BI$7)))</f>
        <v/>
      </c>
      <c r="BJ60" s="703" t="str">
        <f>IF($E60="","",IF(INDEX(E_SourceStreams!$A:$N,EO60,BJ$7)="","",INDEX(E_SourceStreams!$A:$N,EO60,BJ$7)))</f>
        <v/>
      </c>
      <c r="BK60" s="703" t="str">
        <f>IF($E60="","",IF(INDEX(E_SourceStreams!$A:$N,EP60,BK$7)="","",INDEX(E_SourceStreams!$A:$N,EP60,BK$7)))</f>
        <v/>
      </c>
      <c r="BL60" s="703" t="str">
        <f>IF($E60="","",IF(INDEX(E_SourceStreams!$A:$N,EQ60,BL$7)="","",INDEX(E_SourceStreams!$A:$N,EQ60,BL$7)))</f>
        <v/>
      </c>
      <c r="BM60" s="703" t="str">
        <f>IF($E60="","",IF(INDEX(E_SourceStreams!$A:$N,ER60,BM$7)="","",INDEX(E_SourceStreams!$A:$N,ER60,BM$7)))</f>
        <v/>
      </c>
      <c r="BN60" s="703" t="str">
        <f>IF($E60="","",IF(INDEX(E_SourceStreams!$A:$N,ES60,BN$7)="","",INDEX(E_SourceStreams!$A:$N,ES60,BN$7)))</f>
        <v/>
      </c>
      <c r="BO60" s="703" t="str">
        <f>IF($E60="","",IF(INDEX(E_SourceStreams!$A:$N,ET60,BO$7)="","",INDEX(E_SourceStreams!$A:$N,ET60,BO$7)))</f>
        <v/>
      </c>
      <c r="BP60" s="703" t="str">
        <f>IF($E60="","",IF(INDEX(E_SourceStreams!$A:$N,EU60,BP$7)="","",INDEX(E_SourceStreams!$A:$N,EU60,BP$7)))</f>
        <v/>
      </c>
      <c r="BQ60" s="703" t="str">
        <f>IF($E60="","",IF(INDEX(E_SourceStreams!$A:$N,EV60,BQ$7)="","",INDEX(E_SourceStreams!$A:$N,EV60,BQ$7)))</f>
        <v/>
      </c>
      <c r="BR60" s="703" t="str">
        <f>IF($E60="","",IF(INDEX(E_SourceStreams!$A:$N,EW60,BR$7)="","",INDEX(E_SourceStreams!$A:$N,EW60,BR$7)))</f>
        <v/>
      </c>
      <c r="BS60" s="703" t="str">
        <f>IF($E60="","",IF(INDEX(E_SourceStreams!$A:$N,EX60,BS$7)="","",INDEX(E_SourceStreams!$A:$N,EX60,BS$7)))</f>
        <v/>
      </c>
      <c r="BT60" s="703" t="str">
        <f>IF($E60="","",IF(INDEX(E_SourceStreams!$A:$N,EY60,BT$7)="","",INDEX(E_SourceStreams!$A:$N,EY60,BT$7)))</f>
        <v/>
      </c>
      <c r="BU60" s="625"/>
      <c r="CJ60" s="679" t="str">
        <f t="shared" si="66"/>
        <v>SourceCategory_</v>
      </c>
      <c r="CK60" s="679" t="b">
        <f>INDEX(C_InstallationDescription!$A$226:$A$332,ROWS($CI$11:CI60))="ausblenden"</f>
        <v>1</v>
      </c>
      <c r="CL60" s="679" t="str">
        <f t="shared" si="67"/>
        <v>SourceStreamName_</v>
      </c>
      <c r="CN60" s="679">
        <f t="shared" si="65"/>
        <v>3369</v>
      </c>
      <c r="CO60" s="679">
        <f t="shared" si="2"/>
        <v>3371</v>
      </c>
      <c r="CP60" s="679">
        <f t="shared" si="3"/>
        <v>3373</v>
      </c>
      <c r="CQ60" s="679">
        <f t="shared" si="4"/>
        <v>3375</v>
      </c>
      <c r="CR60" s="679">
        <f t="shared" si="5"/>
        <v>3377</v>
      </c>
      <c r="CS60" s="679">
        <f t="shared" si="6"/>
        <v>3379</v>
      </c>
      <c r="CT60" s="679">
        <f t="shared" si="7"/>
        <v>3381</v>
      </c>
      <c r="CU60" s="679">
        <f t="shared" si="8"/>
        <v>3381</v>
      </c>
      <c r="CV60" s="679">
        <f t="shared" si="9"/>
        <v>3381</v>
      </c>
      <c r="CW60" s="679">
        <f t="shared" si="10"/>
        <v>3381</v>
      </c>
      <c r="CX60" s="679">
        <f t="shared" si="11"/>
        <v>3381</v>
      </c>
      <c r="CY60" s="679">
        <f t="shared" si="12"/>
        <v>3384</v>
      </c>
      <c r="CZ60" s="679">
        <f t="shared" si="13"/>
        <v>3388</v>
      </c>
      <c r="DA60" s="679">
        <f t="shared" si="14"/>
        <v>3389</v>
      </c>
      <c r="DB60" s="679">
        <f t="shared" si="15"/>
        <v>3390</v>
      </c>
      <c r="DC60" s="679">
        <f t="shared" si="16"/>
        <v>3397</v>
      </c>
      <c r="DD60" s="679">
        <f t="shared" si="17"/>
        <v>3407</v>
      </c>
      <c r="DE60" s="679">
        <f t="shared" si="18"/>
        <v>3407</v>
      </c>
      <c r="DF60" s="679">
        <f t="shared" si="19"/>
        <v>3407</v>
      </c>
      <c r="DG60" s="679">
        <f t="shared" si="20"/>
        <v>3407</v>
      </c>
      <c r="DH60" s="679">
        <f t="shared" si="21"/>
        <v>3407</v>
      </c>
      <c r="DI60" s="679">
        <f t="shared" si="22"/>
        <v>3407</v>
      </c>
      <c r="DJ60" s="679">
        <f t="shared" si="23"/>
        <v>3407</v>
      </c>
      <c r="DK60" s="679">
        <f t="shared" si="24"/>
        <v>3398</v>
      </c>
      <c r="DL60" s="679">
        <f t="shared" si="25"/>
        <v>3408</v>
      </c>
      <c r="DM60" s="679">
        <f t="shared" si="26"/>
        <v>3408</v>
      </c>
      <c r="DN60" s="679">
        <f t="shared" si="27"/>
        <v>3408</v>
      </c>
      <c r="DO60" s="679">
        <f t="shared" si="28"/>
        <v>3408</v>
      </c>
      <c r="DP60" s="679">
        <f t="shared" si="29"/>
        <v>3408</v>
      </c>
      <c r="DQ60" s="679">
        <f t="shared" si="30"/>
        <v>3408</v>
      </c>
      <c r="DR60" s="679">
        <f t="shared" si="31"/>
        <v>3408</v>
      </c>
      <c r="DS60" s="679">
        <f t="shared" si="32"/>
        <v>3399</v>
      </c>
      <c r="DT60" s="679">
        <f t="shared" si="33"/>
        <v>3409</v>
      </c>
      <c r="DU60" s="679">
        <f t="shared" si="34"/>
        <v>3409</v>
      </c>
      <c r="DV60" s="679">
        <f t="shared" si="35"/>
        <v>3409</v>
      </c>
      <c r="DW60" s="679">
        <f t="shared" si="36"/>
        <v>3409</v>
      </c>
      <c r="DX60" s="679">
        <f t="shared" si="37"/>
        <v>3409</v>
      </c>
      <c r="DY60" s="679">
        <f t="shared" si="38"/>
        <v>3409</v>
      </c>
      <c r="DZ60" s="679">
        <f t="shared" si="39"/>
        <v>3409</v>
      </c>
      <c r="EA60" s="679">
        <f t="shared" si="40"/>
        <v>3400</v>
      </c>
      <c r="EB60" s="679">
        <f t="shared" si="41"/>
        <v>3410</v>
      </c>
      <c r="EC60" s="679">
        <f t="shared" si="42"/>
        <v>3410</v>
      </c>
      <c r="ED60" s="679">
        <f t="shared" si="43"/>
        <v>3410</v>
      </c>
      <c r="EE60" s="679">
        <f t="shared" si="44"/>
        <v>3410</v>
      </c>
      <c r="EF60" s="679">
        <f t="shared" si="45"/>
        <v>3410</v>
      </c>
      <c r="EG60" s="679">
        <f t="shared" si="46"/>
        <v>3410</v>
      </c>
      <c r="EH60" s="679">
        <f t="shared" si="47"/>
        <v>3410</v>
      </c>
      <c r="EI60" s="679">
        <f t="shared" si="48"/>
        <v>3401</v>
      </c>
      <c r="EJ60" s="679">
        <f t="shared" si="49"/>
        <v>3411</v>
      </c>
      <c r="EK60" s="679">
        <f t="shared" si="50"/>
        <v>3411</v>
      </c>
      <c r="EL60" s="679">
        <f t="shared" si="51"/>
        <v>3411</v>
      </c>
      <c r="EM60" s="679">
        <f t="shared" si="52"/>
        <v>3411</v>
      </c>
      <c r="EN60" s="679">
        <f t="shared" si="53"/>
        <v>3411</v>
      </c>
      <c r="EO60" s="679">
        <f t="shared" si="54"/>
        <v>3411</v>
      </c>
      <c r="EP60" s="679">
        <f t="shared" si="55"/>
        <v>3411</v>
      </c>
      <c r="EQ60" s="679">
        <f t="shared" si="56"/>
        <v>3402</v>
      </c>
      <c r="ER60" s="679">
        <f t="shared" si="57"/>
        <v>3412</v>
      </c>
      <c r="ES60" s="679">
        <f t="shared" si="58"/>
        <v>3412</v>
      </c>
      <c r="ET60" s="679">
        <f t="shared" si="59"/>
        <v>3412</v>
      </c>
      <c r="EU60" s="679">
        <f t="shared" si="60"/>
        <v>3412</v>
      </c>
      <c r="EV60" s="679">
        <f t="shared" si="61"/>
        <v>3412</v>
      </c>
      <c r="EW60" s="679">
        <f t="shared" si="62"/>
        <v>3412</v>
      </c>
      <c r="EX60" s="679">
        <f t="shared" si="63"/>
        <v>3412</v>
      </c>
      <c r="EY60" s="679">
        <f t="shared" si="64"/>
        <v>3418</v>
      </c>
    </row>
    <row r="61" spans="2:155" ht="12.75" customHeight="1" x14ac:dyDescent="0.2">
      <c r="B61" s="700" t="str">
        <f>IF(COUNTIF($CK$10:CK61,TRUE)&gt;0,"",INDEX(C_InstallationDescription!$E$226:$E$242,ROWS($A$11:A61)))</f>
        <v/>
      </c>
      <c r="C61" s="581" t="str">
        <f>IF($E61="","",INDEX(C_InstallationDescription!F:F,MATCH($B61,C_InstallationDescription!$E:$E,0)))</f>
        <v/>
      </c>
      <c r="D61" s="581" t="str">
        <f>IF($E61="","",INDEX(C_InstallationDescription!I:I,MATCH($B61,C_InstallationDescription!$E:$E,0)))</f>
        <v/>
      </c>
      <c r="E61" s="581" t="str">
        <f>IF($B61="","",INDEX(C_InstallationDescription!F:F,MATCH($CJ61,C_InstallationDescription!$Q:$Q,0)))</f>
        <v/>
      </c>
      <c r="F61" s="706" t="str">
        <f>IF($E61="","",INDEX(C_InstallationDescription!L:L,MATCH($CJ61,C_InstallationDescription!$Q:$Q,0)))</f>
        <v/>
      </c>
      <c r="G61" s="581" t="str">
        <f>IF($E61="","",INDEX(C_InstallationDescription!M:M,MATCH($CJ61,C_InstallationDescription!$Q:$Q,0)))</f>
        <v/>
      </c>
      <c r="H61" s="581" t="str">
        <f>IF($E61="","",INDEX(C_InstallationDescription!N:N,MATCH($CJ61,C_InstallationDescription!$Q:$Q,0)))</f>
        <v/>
      </c>
      <c r="I61" s="703" t="str">
        <f>IF($E61="","",IF(INDEX(E_SourceStreams!$A:$N,CN61,I$7)="","",INDEX(E_SourceStreams!$A:$N,CN61,I$7)))</f>
        <v/>
      </c>
      <c r="J61" s="703" t="str">
        <f>IF($E61="","",IF(INDEX(E_SourceStreams!$A:$N,CO61,J$7)="","",INDEX(E_SourceStreams!$A:$N,CO61,J$7)))</f>
        <v/>
      </c>
      <c r="K61" s="703" t="str">
        <f>IF($E61="","",IF(INDEX(E_SourceStreams!$A:$N,CP61,K$7)="","",INDEX(E_SourceStreams!$A:$N,CP61,K$7)))</f>
        <v/>
      </c>
      <c r="L61" s="703" t="str">
        <f>IF($E61="","",IF(INDEX(E_SourceStreams!$A:$N,CQ61,L$7)="","",INDEX(E_SourceStreams!$A:$N,CQ61,L$7)))</f>
        <v/>
      </c>
      <c r="M61" s="703" t="str">
        <f>IF($E61="","",IF(INDEX(E_SourceStreams!$A:$N,CR61,M$7)="","",INDEX(E_SourceStreams!$A:$N,CR61,M$7)))</f>
        <v/>
      </c>
      <c r="N61" s="703" t="str">
        <f>IF($E61="","",IF(INDEX(E_SourceStreams!$A:$N,CS61,N$7)="","",INDEX(E_SourceStreams!$A:$N,CS61,N$7)))</f>
        <v/>
      </c>
      <c r="O61" s="703" t="str">
        <f>IF($E61="","",IF(INDEX(E_SourceStreams!$A:$N,CT61,O$7)="","",INDEX(E_SourceStreams!$A:$N,CT61,O$7)))</f>
        <v/>
      </c>
      <c r="P61" s="703" t="str">
        <f>IF($E61="","",IF(INDEX(E_SourceStreams!$A:$N,CU61,P$7)="","",INDEX(E_SourceStreams!$A:$N,CU61,P$7)))</f>
        <v/>
      </c>
      <c r="Q61" s="703" t="str">
        <f>IF($E61="","",IF(INDEX(E_SourceStreams!$A:$N,CV61,Q$7)="","",INDEX(E_SourceStreams!$A:$N,CV61,Q$7)))</f>
        <v/>
      </c>
      <c r="R61" s="703" t="str">
        <f>IF($E61="","",IF(INDEX(E_SourceStreams!$A:$N,CW61,R$7)="","",INDEX(E_SourceStreams!$A:$N,CW61,R$7)))</f>
        <v/>
      </c>
      <c r="S61" s="703" t="str">
        <f>IF($E61="","",IF(INDEX(E_SourceStreams!$A:$N,CX61,S$7)="","",INDEX(E_SourceStreams!$A:$N,CX61,S$7)))</f>
        <v/>
      </c>
      <c r="T61" s="703" t="str">
        <f>IF($E61="","",IF(INDEX(E_SourceStreams!$A:$N,CY61,T$7)="","",INDEX(E_SourceStreams!$A:$N,CY61,T$7)))</f>
        <v/>
      </c>
      <c r="U61" s="703" t="str">
        <f>IF($E61="","",IF(INDEX(E_SourceStreams!$A:$N,CZ61,U$7)="","",INDEX(E_SourceStreams!$A:$N,CZ61,U$7)))</f>
        <v/>
      </c>
      <c r="V61" s="703" t="str">
        <f>IF($E61="","",IF(INDEX(E_SourceStreams!$A:$N,DA61,V$7)="","",INDEX(E_SourceStreams!$A:$N,DA61,V$7)))</f>
        <v/>
      </c>
      <c r="W61" s="704" t="str">
        <f>IF($E61="","",IF(INDEX(E_SourceStreams!$A:$N,DB61,W$7)="","",INDEX(E_SourceStreams!$A:$N,DB61,W$7)))</f>
        <v/>
      </c>
      <c r="X61" s="703" t="str">
        <f>IF($E61="","",IF(INDEX(E_SourceStreams!$A:$N,DC61,X$7)="","",INDEX(E_SourceStreams!$A:$N,DC61,X$7)))</f>
        <v/>
      </c>
      <c r="Y61" s="703" t="str">
        <f>IF($E61="","",IF(INDEX(E_SourceStreams!$A:$N,DD61,Y$7)="","",INDEX(E_SourceStreams!$A:$N,DD61,Y$7)))</f>
        <v/>
      </c>
      <c r="Z61" s="703" t="str">
        <f>IF($E61="","",IF(INDEX(E_SourceStreams!$A:$N,DE61,Z$7)="","",INDEX(E_SourceStreams!$A:$N,DE61,Z$7)))</f>
        <v/>
      </c>
      <c r="AA61" s="703" t="str">
        <f>IF($E61="","",IF(INDEX(E_SourceStreams!$A:$N,DF61,AA$7)="","",INDEX(E_SourceStreams!$A:$N,DF61,AA$7)))</f>
        <v/>
      </c>
      <c r="AB61" s="703" t="str">
        <f>IF($E61="","",IF(INDEX(E_SourceStreams!$A:$N,DG61,AB$7)="","",INDEX(E_SourceStreams!$A:$N,DG61,AB$7)))</f>
        <v/>
      </c>
      <c r="AC61" s="703" t="str">
        <f>IF($E61="","",IF(INDEX(E_SourceStreams!$A:$N,DH61,AC$7)="","",INDEX(E_SourceStreams!$A:$N,DH61,AC$7)))</f>
        <v/>
      </c>
      <c r="AD61" s="703" t="str">
        <f>IF($E61="","",IF(INDEX(E_SourceStreams!$A:$N,DI61,AD$7)="","",INDEX(E_SourceStreams!$A:$N,DI61,AD$7)))</f>
        <v/>
      </c>
      <c r="AE61" s="703" t="str">
        <f>IF($E61="","",IF(INDEX(E_SourceStreams!$A:$N,DJ61,AE$7)="","",INDEX(E_SourceStreams!$A:$N,DJ61,AE$7)))</f>
        <v/>
      </c>
      <c r="AF61" s="703" t="str">
        <f>IF($E61="","",IF(INDEX(E_SourceStreams!$A:$N,DK61,AF$7)="","",INDEX(E_SourceStreams!$A:$N,DK61,AF$7)))</f>
        <v/>
      </c>
      <c r="AG61" s="703" t="str">
        <f>IF($E61="","",IF(INDEX(E_SourceStreams!$A:$N,DL61,AG$7)="","",INDEX(E_SourceStreams!$A:$N,DL61,AG$7)))</f>
        <v/>
      </c>
      <c r="AH61" s="703" t="str">
        <f>IF($E61="","",IF(INDEX(E_SourceStreams!$A:$N,DM61,AH$7)="","",INDEX(E_SourceStreams!$A:$N,DM61,AH$7)))</f>
        <v/>
      </c>
      <c r="AI61" s="703" t="str">
        <f>IF($E61="","",IF(INDEX(E_SourceStreams!$A:$N,DN61,AI$7)="","",INDEX(E_SourceStreams!$A:$N,DN61,AI$7)))</f>
        <v/>
      </c>
      <c r="AJ61" s="703" t="str">
        <f>IF($E61="","",IF(INDEX(E_SourceStreams!$A:$N,DO61,AJ$7)="","",INDEX(E_SourceStreams!$A:$N,DO61,AJ$7)))</f>
        <v/>
      </c>
      <c r="AK61" s="703" t="str">
        <f>IF($E61="","",IF(INDEX(E_SourceStreams!$A:$N,DP61,AK$7)="","",INDEX(E_SourceStreams!$A:$N,DP61,AK$7)))</f>
        <v/>
      </c>
      <c r="AL61" s="703" t="str">
        <f>IF($E61="","",IF(INDEX(E_SourceStreams!$A:$N,DQ61,AL$7)="","",INDEX(E_SourceStreams!$A:$N,DQ61,AL$7)))</f>
        <v/>
      </c>
      <c r="AM61" s="703" t="str">
        <f>IF($E61="","",IF(INDEX(E_SourceStreams!$A:$N,DR61,AM$7)="","",INDEX(E_SourceStreams!$A:$N,DR61,AM$7)))</f>
        <v/>
      </c>
      <c r="AN61" s="703" t="str">
        <f>IF($E61="","",IF(INDEX(E_SourceStreams!$A:$N,DS61,AN$7)="","",INDEX(E_SourceStreams!$A:$N,DS61,AN$7)))</f>
        <v/>
      </c>
      <c r="AO61" s="703" t="str">
        <f>IF($E61="","",IF(INDEX(E_SourceStreams!$A:$N,DT61,AO$7)="","",INDEX(E_SourceStreams!$A:$N,DT61,AO$7)))</f>
        <v/>
      </c>
      <c r="AP61" s="703" t="str">
        <f>IF($E61="","",IF(INDEX(E_SourceStreams!$A:$N,DU61,AP$7)="","",INDEX(E_SourceStreams!$A:$N,DU61,AP$7)))</f>
        <v/>
      </c>
      <c r="AQ61" s="703" t="str">
        <f>IF($E61="","",IF(INDEX(E_SourceStreams!$A:$N,DV61,AQ$7)="","",INDEX(E_SourceStreams!$A:$N,DV61,AQ$7)))</f>
        <v/>
      </c>
      <c r="AR61" s="703" t="str">
        <f>IF($E61="","",IF(INDEX(E_SourceStreams!$A:$N,DW61,AR$7)="","",INDEX(E_SourceStreams!$A:$N,DW61,AR$7)))</f>
        <v/>
      </c>
      <c r="AS61" s="703" t="str">
        <f>IF($E61="","",IF(INDEX(E_SourceStreams!$A:$N,DX61,AS$7)="","",INDEX(E_SourceStreams!$A:$N,DX61,AS$7)))</f>
        <v/>
      </c>
      <c r="AT61" s="703" t="str">
        <f>IF($E61="","",IF(INDEX(E_SourceStreams!$A:$N,DY61,AT$7)="","",INDEX(E_SourceStreams!$A:$N,DY61,AT$7)))</f>
        <v/>
      </c>
      <c r="AU61" s="703" t="str">
        <f>IF($E61="","",IF(INDEX(E_SourceStreams!$A:$N,DZ61,AU$7)="","",INDEX(E_SourceStreams!$A:$N,DZ61,AU$7)))</f>
        <v/>
      </c>
      <c r="AV61" s="703" t="str">
        <f>IF($E61="","",IF(INDEX(E_SourceStreams!$A:$N,EA61,AV$7)="","",INDEX(E_SourceStreams!$A:$N,EA61,AV$7)))</f>
        <v/>
      </c>
      <c r="AW61" s="703" t="str">
        <f>IF($E61="","",IF(INDEX(E_SourceStreams!$A:$N,EB61,AW$7)="","",INDEX(E_SourceStreams!$A:$N,EB61,AW$7)))</f>
        <v/>
      </c>
      <c r="AX61" s="703" t="str">
        <f>IF($E61="","",IF(INDEX(E_SourceStreams!$A:$N,EC61,AX$7)="","",INDEX(E_SourceStreams!$A:$N,EC61,AX$7)))</f>
        <v/>
      </c>
      <c r="AY61" s="703" t="str">
        <f>IF($E61="","",IF(INDEX(E_SourceStreams!$A:$N,ED61,AY$7)="","",INDEX(E_SourceStreams!$A:$N,ED61,AY$7)))</f>
        <v/>
      </c>
      <c r="AZ61" s="703" t="str">
        <f>IF($E61="","",IF(INDEX(E_SourceStreams!$A:$N,EE61,AZ$7)="","",INDEX(E_SourceStreams!$A:$N,EE61,AZ$7)))</f>
        <v/>
      </c>
      <c r="BA61" s="703" t="str">
        <f>IF($E61="","",IF(INDEX(E_SourceStreams!$A:$N,EF61,BA$7)="","",INDEX(E_SourceStreams!$A:$N,EF61,BA$7)))</f>
        <v/>
      </c>
      <c r="BB61" s="703" t="str">
        <f>IF($E61="","",IF(INDEX(E_SourceStreams!$A:$N,EG61,BB$7)="","",INDEX(E_SourceStreams!$A:$N,EG61,BB$7)))</f>
        <v/>
      </c>
      <c r="BC61" s="703" t="str">
        <f>IF($E61="","",IF(INDEX(E_SourceStreams!$A:$N,EH61,BC$7)="","",INDEX(E_SourceStreams!$A:$N,EH61,BC$7)))</f>
        <v/>
      </c>
      <c r="BD61" s="703" t="str">
        <f>IF($E61="","",IF(INDEX(E_SourceStreams!$A:$N,EI61,BD$7)="","",INDEX(E_SourceStreams!$A:$N,EI61,BD$7)))</f>
        <v/>
      </c>
      <c r="BE61" s="703" t="str">
        <f>IF($E61="","",IF(INDEX(E_SourceStreams!$A:$N,EJ61,BE$7)="","",INDEX(E_SourceStreams!$A:$N,EJ61,BE$7)))</f>
        <v/>
      </c>
      <c r="BF61" s="703" t="str">
        <f>IF($E61="","",IF(INDEX(E_SourceStreams!$A:$N,EK61,BF$7)="","",INDEX(E_SourceStreams!$A:$N,EK61,BF$7)))</f>
        <v/>
      </c>
      <c r="BG61" s="703" t="str">
        <f>IF($E61="","",IF(INDEX(E_SourceStreams!$A:$N,EL61,BG$7)="","",INDEX(E_SourceStreams!$A:$N,EL61,BG$7)))</f>
        <v/>
      </c>
      <c r="BH61" s="703" t="str">
        <f>IF($E61="","",IF(INDEX(E_SourceStreams!$A:$N,EM61,BH$7)="","",INDEX(E_SourceStreams!$A:$N,EM61,BH$7)))</f>
        <v/>
      </c>
      <c r="BI61" s="703" t="str">
        <f>IF($E61="","",IF(INDEX(E_SourceStreams!$A:$N,EN61,BI$7)="","",INDEX(E_SourceStreams!$A:$N,EN61,BI$7)))</f>
        <v/>
      </c>
      <c r="BJ61" s="703" t="str">
        <f>IF($E61="","",IF(INDEX(E_SourceStreams!$A:$N,EO61,BJ$7)="","",INDEX(E_SourceStreams!$A:$N,EO61,BJ$7)))</f>
        <v/>
      </c>
      <c r="BK61" s="703" t="str">
        <f>IF($E61="","",IF(INDEX(E_SourceStreams!$A:$N,EP61,BK$7)="","",INDEX(E_SourceStreams!$A:$N,EP61,BK$7)))</f>
        <v/>
      </c>
      <c r="BL61" s="703" t="str">
        <f>IF($E61="","",IF(INDEX(E_SourceStreams!$A:$N,EQ61,BL$7)="","",INDEX(E_SourceStreams!$A:$N,EQ61,BL$7)))</f>
        <v/>
      </c>
      <c r="BM61" s="703" t="str">
        <f>IF($E61="","",IF(INDEX(E_SourceStreams!$A:$N,ER61,BM$7)="","",INDEX(E_SourceStreams!$A:$N,ER61,BM$7)))</f>
        <v/>
      </c>
      <c r="BN61" s="703" t="str">
        <f>IF($E61="","",IF(INDEX(E_SourceStreams!$A:$N,ES61,BN$7)="","",INDEX(E_SourceStreams!$A:$N,ES61,BN$7)))</f>
        <v/>
      </c>
      <c r="BO61" s="703" t="str">
        <f>IF($E61="","",IF(INDEX(E_SourceStreams!$A:$N,ET61,BO$7)="","",INDEX(E_SourceStreams!$A:$N,ET61,BO$7)))</f>
        <v/>
      </c>
      <c r="BP61" s="703" t="str">
        <f>IF($E61="","",IF(INDEX(E_SourceStreams!$A:$N,EU61,BP$7)="","",INDEX(E_SourceStreams!$A:$N,EU61,BP$7)))</f>
        <v/>
      </c>
      <c r="BQ61" s="703" t="str">
        <f>IF($E61="","",IF(INDEX(E_SourceStreams!$A:$N,EV61,BQ$7)="","",INDEX(E_SourceStreams!$A:$N,EV61,BQ$7)))</f>
        <v/>
      </c>
      <c r="BR61" s="703" t="str">
        <f>IF($E61="","",IF(INDEX(E_SourceStreams!$A:$N,EW61,BR$7)="","",INDEX(E_SourceStreams!$A:$N,EW61,BR$7)))</f>
        <v/>
      </c>
      <c r="BS61" s="703" t="str">
        <f>IF($E61="","",IF(INDEX(E_SourceStreams!$A:$N,EX61,BS$7)="","",INDEX(E_SourceStreams!$A:$N,EX61,BS$7)))</f>
        <v/>
      </c>
      <c r="BT61" s="703" t="str">
        <f>IF($E61="","",IF(INDEX(E_SourceStreams!$A:$N,EY61,BT$7)="","",INDEX(E_SourceStreams!$A:$N,EY61,BT$7)))</f>
        <v/>
      </c>
      <c r="BU61" s="625"/>
      <c r="CJ61" s="679" t="str">
        <f t="shared" si="66"/>
        <v>SourceCategory_</v>
      </c>
      <c r="CK61" s="679" t="b">
        <f>INDEX(C_InstallationDescription!$A$226:$A$332,ROWS($CI$11:CI61))="ausblenden"</f>
        <v>1</v>
      </c>
      <c r="CL61" s="679" t="str">
        <f t="shared" si="67"/>
        <v>SourceStreamName_</v>
      </c>
      <c r="CN61" s="679">
        <f t="shared" si="65"/>
        <v>3435</v>
      </c>
      <c r="CO61" s="679">
        <f t="shared" si="2"/>
        <v>3437</v>
      </c>
      <c r="CP61" s="679">
        <f t="shared" si="3"/>
        <v>3439</v>
      </c>
      <c r="CQ61" s="679">
        <f t="shared" si="4"/>
        <v>3441</v>
      </c>
      <c r="CR61" s="679">
        <f t="shared" si="5"/>
        <v>3443</v>
      </c>
      <c r="CS61" s="679">
        <f t="shared" si="6"/>
        <v>3445</v>
      </c>
      <c r="CT61" s="679">
        <f t="shared" si="7"/>
        <v>3447</v>
      </c>
      <c r="CU61" s="679">
        <f t="shared" si="8"/>
        <v>3447</v>
      </c>
      <c r="CV61" s="679">
        <f t="shared" si="9"/>
        <v>3447</v>
      </c>
      <c r="CW61" s="679">
        <f t="shared" si="10"/>
        <v>3447</v>
      </c>
      <c r="CX61" s="679">
        <f t="shared" si="11"/>
        <v>3447</v>
      </c>
      <c r="CY61" s="679">
        <f t="shared" si="12"/>
        <v>3450</v>
      </c>
      <c r="CZ61" s="679">
        <f t="shared" si="13"/>
        <v>3454</v>
      </c>
      <c r="DA61" s="679">
        <f t="shared" si="14"/>
        <v>3455</v>
      </c>
      <c r="DB61" s="679">
        <f t="shared" si="15"/>
        <v>3456</v>
      </c>
      <c r="DC61" s="679">
        <f t="shared" si="16"/>
        <v>3463</v>
      </c>
      <c r="DD61" s="679">
        <f t="shared" si="17"/>
        <v>3473</v>
      </c>
      <c r="DE61" s="679">
        <f t="shared" si="18"/>
        <v>3473</v>
      </c>
      <c r="DF61" s="679">
        <f t="shared" si="19"/>
        <v>3473</v>
      </c>
      <c r="DG61" s="679">
        <f t="shared" si="20"/>
        <v>3473</v>
      </c>
      <c r="DH61" s="679">
        <f t="shared" si="21"/>
        <v>3473</v>
      </c>
      <c r="DI61" s="679">
        <f t="shared" si="22"/>
        <v>3473</v>
      </c>
      <c r="DJ61" s="679">
        <f t="shared" si="23"/>
        <v>3473</v>
      </c>
      <c r="DK61" s="679">
        <f t="shared" si="24"/>
        <v>3464</v>
      </c>
      <c r="DL61" s="679">
        <f t="shared" si="25"/>
        <v>3474</v>
      </c>
      <c r="DM61" s="679">
        <f t="shared" si="26"/>
        <v>3474</v>
      </c>
      <c r="DN61" s="679">
        <f t="shared" si="27"/>
        <v>3474</v>
      </c>
      <c r="DO61" s="679">
        <f t="shared" si="28"/>
        <v>3474</v>
      </c>
      <c r="DP61" s="679">
        <f t="shared" si="29"/>
        <v>3474</v>
      </c>
      <c r="DQ61" s="679">
        <f t="shared" si="30"/>
        <v>3474</v>
      </c>
      <c r="DR61" s="679">
        <f t="shared" si="31"/>
        <v>3474</v>
      </c>
      <c r="DS61" s="679">
        <f t="shared" si="32"/>
        <v>3465</v>
      </c>
      <c r="DT61" s="679">
        <f t="shared" si="33"/>
        <v>3475</v>
      </c>
      <c r="DU61" s="679">
        <f t="shared" si="34"/>
        <v>3475</v>
      </c>
      <c r="DV61" s="679">
        <f t="shared" si="35"/>
        <v>3475</v>
      </c>
      <c r="DW61" s="679">
        <f t="shared" si="36"/>
        <v>3475</v>
      </c>
      <c r="DX61" s="679">
        <f t="shared" si="37"/>
        <v>3475</v>
      </c>
      <c r="DY61" s="679">
        <f t="shared" si="38"/>
        <v>3475</v>
      </c>
      <c r="DZ61" s="679">
        <f t="shared" si="39"/>
        <v>3475</v>
      </c>
      <c r="EA61" s="679">
        <f t="shared" si="40"/>
        <v>3466</v>
      </c>
      <c r="EB61" s="679">
        <f t="shared" si="41"/>
        <v>3476</v>
      </c>
      <c r="EC61" s="679">
        <f t="shared" si="42"/>
        <v>3476</v>
      </c>
      <c r="ED61" s="679">
        <f t="shared" si="43"/>
        <v>3476</v>
      </c>
      <c r="EE61" s="679">
        <f t="shared" si="44"/>
        <v>3476</v>
      </c>
      <c r="EF61" s="679">
        <f t="shared" si="45"/>
        <v>3476</v>
      </c>
      <c r="EG61" s="679">
        <f t="shared" si="46"/>
        <v>3476</v>
      </c>
      <c r="EH61" s="679">
        <f t="shared" si="47"/>
        <v>3476</v>
      </c>
      <c r="EI61" s="679">
        <f t="shared" si="48"/>
        <v>3467</v>
      </c>
      <c r="EJ61" s="679">
        <f t="shared" si="49"/>
        <v>3477</v>
      </c>
      <c r="EK61" s="679">
        <f t="shared" si="50"/>
        <v>3477</v>
      </c>
      <c r="EL61" s="679">
        <f t="shared" si="51"/>
        <v>3477</v>
      </c>
      <c r="EM61" s="679">
        <f t="shared" si="52"/>
        <v>3477</v>
      </c>
      <c r="EN61" s="679">
        <f t="shared" si="53"/>
        <v>3477</v>
      </c>
      <c r="EO61" s="679">
        <f t="shared" si="54"/>
        <v>3477</v>
      </c>
      <c r="EP61" s="679">
        <f t="shared" si="55"/>
        <v>3477</v>
      </c>
      <c r="EQ61" s="679">
        <f t="shared" si="56"/>
        <v>3468</v>
      </c>
      <c r="ER61" s="679">
        <f t="shared" si="57"/>
        <v>3478</v>
      </c>
      <c r="ES61" s="679">
        <f t="shared" si="58"/>
        <v>3478</v>
      </c>
      <c r="ET61" s="679">
        <f t="shared" si="59"/>
        <v>3478</v>
      </c>
      <c r="EU61" s="679">
        <f t="shared" si="60"/>
        <v>3478</v>
      </c>
      <c r="EV61" s="679">
        <f t="shared" si="61"/>
        <v>3478</v>
      </c>
      <c r="EW61" s="679">
        <f t="shared" si="62"/>
        <v>3478</v>
      </c>
      <c r="EX61" s="679">
        <f t="shared" si="63"/>
        <v>3478</v>
      </c>
      <c r="EY61" s="679">
        <f t="shared" si="64"/>
        <v>3484</v>
      </c>
    </row>
    <row r="62" spans="2:155" ht="12.75" customHeight="1" x14ac:dyDescent="0.2">
      <c r="B62" s="700" t="str">
        <f>IF(COUNTIF($CK$10:CK62,TRUE)&gt;0,"",INDEX(C_InstallationDescription!$E$226:$E$242,ROWS($A$11:A62)))</f>
        <v/>
      </c>
      <c r="C62" s="581" t="str">
        <f>IF($E62="","",INDEX(C_InstallationDescription!F:F,MATCH($B62,C_InstallationDescription!$E:$E,0)))</f>
        <v/>
      </c>
      <c r="D62" s="581" t="str">
        <f>IF($E62="","",INDEX(C_InstallationDescription!I:I,MATCH($B62,C_InstallationDescription!$E:$E,0)))</f>
        <v/>
      </c>
      <c r="E62" s="581" t="str">
        <f>IF($B62="","",INDEX(C_InstallationDescription!F:F,MATCH($CJ62,C_InstallationDescription!$Q:$Q,0)))</f>
        <v/>
      </c>
      <c r="F62" s="706" t="str">
        <f>IF($E62="","",INDEX(C_InstallationDescription!L:L,MATCH($CJ62,C_InstallationDescription!$Q:$Q,0)))</f>
        <v/>
      </c>
      <c r="G62" s="581" t="str">
        <f>IF($E62="","",INDEX(C_InstallationDescription!M:M,MATCH($CJ62,C_InstallationDescription!$Q:$Q,0)))</f>
        <v/>
      </c>
      <c r="H62" s="581" t="str">
        <f>IF($E62="","",INDEX(C_InstallationDescription!N:N,MATCH($CJ62,C_InstallationDescription!$Q:$Q,0)))</f>
        <v/>
      </c>
      <c r="I62" s="703" t="str">
        <f>IF($E62="","",IF(INDEX(E_SourceStreams!$A:$N,CN62,I$7)="","",INDEX(E_SourceStreams!$A:$N,CN62,I$7)))</f>
        <v/>
      </c>
      <c r="J62" s="703" t="str">
        <f>IF($E62="","",IF(INDEX(E_SourceStreams!$A:$N,CO62,J$7)="","",INDEX(E_SourceStreams!$A:$N,CO62,J$7)))</f>
        <v/>
      </c>
      <c r="K62" s="703" t="str">
        <f>IF($E62="","",IF(INDEX(E_SourceStreams!$A:$N,CP62,K$7)="","",INDEX(E_SourceStreams!$A:$N,CP62,K$7)))</f>
        <v/>
      </c>
      <c r="L62" s="703" t="str">
        <f>IF($E62="","",IF(INDEX(E_SourceStreams!$A:$N,CQ62,L$7)="","",INDEX(E_SourceStreams!$A:$N,CQ62,L$7)))</f>
        <v/>
      </c>
      <c r="M62" s="703" t="str">
        <f>IF($E62="","",IF(INDEX(E_SourceStreams!$A:$N,CR62,M$7)="","",INDEX(E_SourceStreams!$A:$N,CR62,M$7)))</f>
        <v/>
      </c>
      <c r="N62" s="703" t="str">
        <f>IF($E62="","",IF(INDEX(E_SourceStreams!$A:$N,CS62,N$7)="","",INDEX(E_SourceStreams!$A:$N,CS62,N$7)))</f>
        <v/>
      </c>
      <c r="O62" s="703" t="str">
        <f>IF($E62="","",IF(INDEX(E_SourceStreams!$A:$N,CT62,O$7)="","",INDEX(E_SourceStreams!$A:$N,CT62,O$7)))</f>
        <v/>
      </c>
      <c r="P62" s="703" t="str">
        <f>IF($E62="","",IF(INDEX(E_SourceStreams!$A:$N,CU62,P$7)="","",INDEX(E_SourceStreams!$A:$N,CU62,P$7)))</f>
        <v/>
      </c>
      <c r="Q62" s="703" t="str">
        <f>IF($E62="","",IF(INDEX(E_SourceStreams!$A:$N,CV62,Q$7)="","",INDEX(E_SourceStreams!$A:$N,CV62,Q$7)))</f>
        <v/>
      </c>
      <c r="R62" s="703" t="str">
        <f>IF($E62="","",IF(INDEX(E_SourceStreams!$A:$N,CW62,R$7)="","",INDEX(E_SourceStreams!$A:$N,CW62,R$7)))</f>
        <v/>
      </c>
      <c r="S62" s="703" t="str">
        <f>IF($E62="","",IF(INDEX(E_SourceStreams!$A:$N,CX62,S$7)="","",INDEX(E_SourceStreams!$A:$N,CX62,S$7)))</f>
        <v/>
      </c>
      <c r="T62" s="703" t="str">
        <f>IF($E62="","",IF(INDEX(E_SourceStreams!$A:$N,CY62,T$7)="","",INDEX(E_SourceStreams!$A:$N,CY62,T$7)))</f>
        <v/>
      </c>
      <c r="U62" s="703" t="str">
        <f>IF($E62="","",IF(INDEX(E_SourceStreams!$A:$N,CZ62,U$7)="","",INDEX(E_SourceStreams!$A:$N,CZ62,U$7)))</f>
        <v/>
      </c>
      <c r="V62" s="703" t="str">
        <f>IF($E62="","",IF(INDEX(E_SourceStreams!$A:$N,DA62,V$7)="","",INDEX(E_SourceStreams!$A:$N,DA62,V$7)))</f>
        <v/>
      </c>
      <c r="W62" s="704" t="str">
        <f>IF($E62="","",IF(INDEX(E_SourceStreams!$A:$N,DB62,W$7)="","",INDEX(E_SourceStreams!$A:$N,DB62,W$7)))</f>
        <v/>
      </c>
      <c r="X62" s="703" t="str">
        <f>IF($E62="","",IF(INDEX(E_SourceStreams!$A:$N,DC62,X$7)="","",INDEX(E_SourceStreams!$A:$N,DC62,X$7)))</f>
        <v/>
      </c>
      <c r="Y62" s="703" t="str">
        <f>IF($E62="","",IF(INDEX(E_SourceStreams!$A:$N,DD62,Y$7)="","",INDEX(E_SourceStreams!$A:$N,DD62,Y$7)))</f>
        <v/>
      </c>
      <c r="Z62" s="703" t="str">
        <f>IF($E62="","",IF(INDEX(E_SourceStreams!$A:$N,DE62,Z$7)="","",INDEX(E_SourceStreams!$A:$N,DE62,Z$7)))</f>
        <v/>
      </c>
      <c r="AA62" s="703" t="str">
        <f>IF($E62="","",IF(INDEX(E_SourceStreams!$A:$N,DF62,AA$7)="","",INDEX(E_SourceStreams!$A:$N,DF62,AA$7)))</f>
        <v/>
      </c>
      <c r="AB62" s="703" t="str">
        <f>IF($E62="","",IF(INDEX(E_SourceStreams!$A:$N,DG62,AB$7)="","",INDEX(E_SourceStreams!$A:$N,DG62,AB$7)))</f>
        <v/>
      </c>
      <c r="AC62" s="703" t="str">
        <f>IF($E62="","",IF(INDEX(E_SourceStreams!$A:$N,DH62,AC$7)="","",INDEX(E_SourceStreams!$A:$N,DH62,AC$7)))</f>
        <v/>
      </c>
      <c r="AD62" s="703" t="str">
        <f>IF($E62="","",IF(INDEX(E_SourceStreams!$A:$N,DI62,AD$7)="","",INDEX(E_SourceStreams!$A:$N,DI62,AD$7)))</f>
        <v/>
      </c>
      <c r="AE62" s="703" t="str">
        <f>IF($E62="","",IF(INDEX(E_SourceStreams!$A:$N,DJ62,AE$7)="","",INDEX(E_SourceStreams!$A:$N,DJ62,AE$7)))</f>
        <v/>
      </c>
      <c r="AF62" s="703" t="str">
        <f>IF($E62="","",IF(INDEX(E_SourceStreams!$A:$N,DK62,AF$7)="","",INDEX(E_SourceStreams!$A:$N,DK62,AF$7)))</f>
        <v/>
      </c>
      <c r="AG62" s="703" t="str">
        <f>IF($E62="","",IF(INDEX(E_SourceStreams!$A:$N,DL62,AG$7)="","",INDEX(E_SourceStreams!$A:$N,DL62,AG$7)))</f>
        <v/>
      </c>
      <c r="AH62" s="703" t="str">
        <f>IF($E62="","",IF(INDEX(E_SourceStreams!$A:$N,DM62,AH$7)="","",INDEX(E_SourceStreams!$A:$N,DM62,AH$7)))</f>
        <v/>
      </c>
      <c r="AI62" s="703" t="str">
        <f>IF($E62="","",IF(INDEX(E_SourceStreams!$A:$N,DN62,AI$7)="","",INDEX(E_SourceStreams!$A:$N,DN62,AI$7)))</f>
        <v/>
      </c>
      <c r="AJ62" s="703" t="str">
        <f>IF($E62="","",IF(INDEX(E_SourceStreams!$A:$N,DO62,AJ$7)="","",INDEX(E_SourceStreams!$A:$N,DO62,AJ$7)))</f>
        <v/>
      </c>
      <c r="AK62" s="703" t="str">
        <f>IF($E62="","",IF(INDEX(E_SourceStreams!$A:$N,DP62,AK$7)="","",INDEX(E_SourceStreams!$A:$N,DP62,AK$7)))</f>
        <v/>
      </c>
      <c r="AL62" s="703" t="str">
        <f>IF($E62="","",IF(INDEX(E_SourceStreams!$A:$N,DQ62,AL$7)="","",INDEX(E_SourceStreams!$A:$N,DQ62,AL$7)))</f>
        <v/>
      </c>
      <c r="AM62" s="703" t="str">
        <f>IF($E62="","",IF(INDEX(E_SourceStreams!$A:$N,DR62,AM$7)="","",INDEX(E_SourceStreams!$A:$N,DR62,AM$7)))</f>
        <v/>
      </c>
      <c r="AN62" s="703" t="str">
        <f>IF($E62="","",IF(INDEX(E_SourceStreams!$A:$N,DS62,AN$7)="","",INDEX(E_SourceStreams!$A:$N,DS62,AN$7)))</f>
        <v/>
      </c>
      <c r="AO62" s="703" t="str">
        <f>IF($E62="","",IF(INDEX(E_SourceStreams!$A:$N,DT62,AO$7)="","",INDEX(E_SourceStreams!$A:$N,DT62,AO$7)))</f>
        <v/>
      </c>
      <c r="AP62" s="703" t="str">
        <f>IF($E62="","",IF(INDEX(E_SourceStreams!$A:$N,DU62,AP$7)="","",INDEX(E_SourceStreams!$A:$N,DU62,AP$7)))</f>
        <v/>
      </c>
      <c r="AQ62" s="703" t="str">
        <f>IF($E62="","",IF(INDEX(E_SourceStreams!$A:$N,DV62,AQ$7)="","",INDEX(E_SourceStreams!$A:$N,DV62,AQ$7)))</f>
        <v/>
      </c>
      <c r="AR62" s="703" t="str">
        <f>IF($E62="","",IF(INDEX(E_SourceStreams!$A:$N,DW62,AR$7)="","",INDEX(E_SourceStreams!$A:$N,DW62,AR$7)))</f>
        <v/>
      </c>
      <c r="AS62" s="703" t="str">
        <f>IF($E62="","",IF(INDEX(E_SourceStreams!$A:$N,DX62,AS$7)="","",INDEX(E_SourceStreams!$A:$N,DX62,AS$7)))</f>
        <v/>
      </c>
      <c r="AT62" s="703" t="str">
        <f>IF($E62="","",IF(INDEX(E_SourceStreams!$A:$N,DY62,AT$7)="","",INDEX(E_SourceStreams!$A:$N,DY62,AT$7)))</f>
        <v/>
      </c>
      <c r="AU62" s="703" t="str">
        <f>IF($E62="","",IF(INDEX(E_SourceStreams!$A:$N,DZ62,AU$7)="","",INDEX(E_SourceStreams!$A:$N,DZ62,AU$7)))</f>
        <v/>
      </c>
      <c r="AV62" s="703" t="str">
        <f>IF($E62="","",IF(INDEX(E_SourceStreams!$A:$N,EA62,AV$7)="","",INDEX(E_SourceStreams!$A:$N,EA62,AV$7)))</f>
        <v/>
      </c>
      <c r="AW62" s="703" t="str">
        <f>IF($E62="","",IF(INDEX(E_SourceStreams!$A:$N,EB62,AW$7)="","",INDEX(E_SourceStreams!$A:$N,EB62,AW$7)))</f>
        <v/>
      </c>
      <c r="AX62" s="703" t="str">
        <f>IF($E62="","",IF(INDEX(E_SourceStreams!$A:$N,EC62,AX$7)="","",INDEX(E_SourceStreams!$A:$N,EC62,AX$7)))</f>
        <v/>
      </c>
      <c r="AY62" s="703" t="str">
        <f>IF($E62="","",IF(INDEX(E_SourceStreams!$A:$N,ED62,AY$7)="","",INDEX(E_SourceStreams!$A:$N,ED62,AY$7)))</f>
        <v/>
      </c>
      <c r="AZ62" s="703" t="str">
        <f>IF($E62="","",IF(INDEX(E_SourceStreams!$A:$N,EE62,AZ$7)="","",INDEX(E_SourceStreams!$A:$N,EE62,AZ$7)))</f>
        <v/>
      </c>
      <c r="BA62" s="703" t="str">
        <f>IF($E62="","",IF(INDEX(E_SourceStreams!$A:$N,EF62,BA$7)="","",INDEX(E_SourceStreams!$A:$N,EF62,BA$7)))</f>
        <v/>
      </c>
      <c r="BB62" s="703" t="str">
        <f>IF($E62="","",IF(INDEX(E_SourceStreams!$A:$N,EG62,BB$7)="","",INDEX(E_SourceStreams!$A:$N,EG62,BB$7)))</f>
        <v/>
      </c>
      <c r="BC62" s="703" t="str">
        <f>IF($E62="","",IF(INDEX(E_SourceStreams!$A:$N,EH62,BC$7)="","",INDEX(E_SourceStreams!$A:$N,EH62,BC$7)))</f>
        <v/>
      </c>
      <c r="BD62" s="703" t="str">
        <f>IF($E62="","",IF(INDEX(E_SourceStreams!$A:$N,EI62,BD$7)="","",INDEX(E_SourceStreams!$A:$N,EI62,BD$7)))</f>
        <v/>
      </c>
      <c r="BE62" s="703" t="str">
        <f>IF($E62="","",IF(INDEX(E_SourceStreams!$A:$N,EJ62,BE$7)="","",INDEX(E_SourceStreams!$A:$N,EJ62,BE$7)))</f>
        <v/>
      </c>
      <c r="BF62" s="703" t="str">
        <f>IF($E62="","",IF(INDEX(E_SourceStreams!$A:$N,EK62,BF$7)="","",INDEX(E_SourceStreams!$A:$N,EK62,BF$7)))</f>
        <v/>
      </c>
      <c r="BG62" s="703" t="str">
        <f>IF($E62="","",IF(INDEX(E_SourceStreams!$A:$N,EL62,BG$7)="","",INDEX(E_SourceStreams!$A:$N,EL62,BG$7)))</f>
        <v/>
      </c>
      <c r="BH62" s="703" t="str">
        <f>IF($E62="","",IF(INDEX(E_SourceStreams!$A:$N,EM62,BH$7)="","",INDEX(E_SourceStreams!$A:$N,EM62,BH$7)))</f>
        <v/>
      </c>
      <c r="BI62" s="703" t="str">
        <f>IF($E62="","",IF(INDEX(E_SourceStreams!$A:$N,EN62,BI$7)="","",INDEX(E_SourceStreams!$A:$N,EN62,BI$7)))</f>
        <v/>
      </c>
      <c r="BJ62" s="703" t="str">
        <f>IF($E62="","",IF(INDEX(E_SourceStreams!$A:$N,EO62,BJ$7)="","",INDEX(E_SourceStreams!$A:$N,EO62,BJ$7)))</f>
        <v/>
      </c>
      <c r="BK62" s="703" t="str">
        <f>IF($E62="","",IF(INDEX(E_SourceStreams!$A:$N,EP62,BK$7)="","",INDEX(E_SourceStreams!$A:$N,EP62,BK$7)))</f>
        <v/>
      </c>
      <c r="BL62" s="703" t="str">
        <f>IF($E62="","",IF(INDEX(E_SourceStreams!$A:$N,EQ62,BL$7)="","",INDEX(E_SourceStreams!$A:$N,EQ62,BL$7)))</f>
        <v/>
      </c>
      <c r="BM62" s="703" t="str">
        <f>IF($E62="","",IF(INDEX(E_SourceStreams!$A:$N,ER62,BM$7)="","",INDEX(E_SourceStreams!$A:$N,ER62,BM$7)))</f>
        <v/>
      </c>
      <c r="BN62" s="703" t="str">
        <f>IF($E62="","",IF(INDEX(E_SourceStreams!$A:$N,ES62,BN$7)="","",INDEX(E_SourceStreams!$A:$N,ES62,BN$7)))</f>
        <v/>
      </c>
      <c r="BO62" s="703" t="str">
        <f>IF($E62="","",IF(INDEX(E_SourceStreams!$A:$N,ET62,BO$7)="","",INDEX(E_SourceStreams!$A:$N,ET62,BO$7)))</f>
        <v/>
      </c>
      <c r="BP62" s="703" t="str">
        <f>IF($E62="","",IF(INDEX(E_SourceStreams!$A:$N,EU62,BP$7)="","",INDEX(E_SourceStreams!$A:$N,EU62,BP$7)))</f>
        <v/>
      </c>
      <c r="BQ62" s="703" t="str">
        <f>IF($E62="","",IF(INDEX(E_SourceStreams!$A:$N,EV62,BQ$7)="","",INDEX(E_SourceStreams!$A:$N,EV62,BQ$7)))</f>
        <v/>
      </c>
      <c r="BR62" s="703" t="str">
        <f>IF($E62="","",IF(INDEX(E_SourceStreams!$A:$N,EW62,BR$7)="","",INDEX(E_SourceStreams!$A:$N,EW62,BR$7)))</f>
        <v/>
      </c>
      <c r="BS62" s="703" t="str">
        <f>IF($E62="","",IF(INDEX(E_SourceStreams!$A:$N,EX62,BS$7)="","",INDEX(E_SourceStreams!$A:$N,EX62,BS$7)))</f>
        <v/>
      </c>
      <c r="BT62" s="703" t="str">
        <f>IF($E62="","",IF(INDEX(E_SourceStreams!$A:$N,EY62,BT$7)="","",INDEX(E_SourceStreams!$A:$N,EY62,BT$7)))</f>
        <v/>
      </c>
      <c r="BU62" s="625"/>
      <c r="CJ62" s="679" t="str">
        <f t="shared" si="66"/>
        <v>SourceCategory_</v>
      </c>
      <c r="CK62" s="679" t="b">
        <f>INDEX(C_InstallationDescription!$A$226:$A$332,ROWS($CI$11:CI62))="ausblenden"</f>
        <v>1</v>
      </c>
      <c r="CL62" s="679" t="str">
        <f t="shared" si="67"/>
        <v>SourceStreamName_</v>
      </c>
      <c r="CN62" s="679">
        <f t="shared" si="65"/>
        <v>3501</v>
      </c>
      <c r="CO62" s="679">
        <f t="shared" si="2"/>
        <v>3503</v>
      </c>
      <c r="CP62" s="679">
        <f t="shared" si="3"/>
        <v>3505</v>
      </c>
      <c r="CQ62" s="679">
        <f t="shared" si="4"/>
        <v>3507</v>
      </c>
      <c r="CR62" s="679">
        <f t="shared" si="5"/>
        <v>3509</v>
      </c>
      <c r="CS62" s="679">
        <f t="shared" si="6"/>
        <v>3511</v>
      </c>
      <c r="CT62" s="679">
        <f t="shared" si="7"/>
        <v>3513</v>
      </c>
      <c r="CU62" s="679">
        <f t="shared" si="8"/>
        <v>3513</v>
      </c>
      <c r="CV62" s="679">
        <f t="shared" si="9"/>
        <v>3513</v>
      </c>
      <c r="CW62" s="679">
        <f t="shared" si="10"/>
        <v>3513</v>
      </c>
      <c r="CX62" s="679">
        <f t="shared" si="11"/>
        <v>3513</v>
      </c>
      <c r="CY62" s="679">
        <f t="shared" si="12"/>
        <v>3516</v>
      </c>
      <c r="CZ62" s="679">
        <f t="shared" si="13"/>
        <v>3520</v>
      </c>
      <c r="DA62" s="679">
        <f t="shared" si="14"/>
        <v>3521</v>
      </c>
      <c r="DB62" s="679">
        <f t="shared" si="15"/>
        <v>3522</v>
      </c>
      <c r="DC62" s="679">
        <f t="shared" si="16"/>
        <v>3529</v>
      </c>
      <c r="DD62" s="679">
        <f t="shared" si="17"/>
        <v>3539</v>
      </c>
      <c r="DE62" s="679">
        <f t="shared" si="18"/>
        <v>3539</v>
      </c>
      <c r="DF62" s="679">
        <f t="shared" si="19"/>
        <v>3539</v>
      </c>
      <c r="DG62" s="679">
        <f t="shared" si="20"/>
        <v>3539</v>
      </c>
      <c r="DH62" s="679">
        <f t="shared" si="21"/>
        <v>3539</v>
      </c>
      <c r="DI62" s="679">
        <f t="shared" si="22"/>
        <v>3539</v>
      </c>
      <c r="DJ62" s="679">
        <f t="shared" si="23"/>
        <v>3539</v>
      </c>
      <c r="DK62" s="679">
        <f t="shared" si="24"/>
        <v>3530</v>
      </c>
      <c r="DL62" s="679">
        <f t="shared" si="25"/>
        <v>3540</v>
      </c>
      <c r="DM62" s="679">
        <f t="shared" si="26"/>
        <v>3540</v>
      </c>
      <c r="DN62" s="679">
        <f t="shared" si="27"/>
        <v>3540</v>
      </c>
      <c r="DO62" s="679">
        <f t="shared" si="28"/>
        <v>3540</v>
      </c>
      <c r="DP62" s="679">
        <f t="shared" si="29"/>
        <v>3540</v>
      </c>
      <c r="DQ62" s="679">
        <f t="shared" si="30"/>
        <v>3540</v>
      </c>
      <c r="DR62" s="679">
        <f t="shared" si="31"/>
        <v>3540</v>
      </c>
      <c r="DS62" s="679">
        <f t="shared" si="32"/>
        <v>3531</v>
      </c>
      <c r="DT62" s="679">
        <f t="shared" si="33"/>
        <v>3541</v>
      </c>
      <c r="DU62" s="679">
        <f t="shared" si="34"/>
        <v>3541</v>
      </c>
      <c r="DV62" s="679">
        <f t="shared" si="35"/>
        <v>3541</v>
      </c>
      <c r="DW62" s="679">
        <f t="shared" si="36"/>
        <v>3541</v>
      </c>
      <c r="DX62" s="679">
        <f t="shared" si="37"/>
        <v>3541</v>
      </c>
      <c r="DY62" s="679">
        <f t="shared" si="38"/>
        <v>3541</v>
      </c>
      <c r="DZ62" s="679">
        <f t="shared" si="39"/>
        <v>3541</v>
      </c>
      <c r="EA62" s="679">
        <f t="shared" si="40"/>
        <v>3532</v>
      </c>
      <c r="EB62" s="679">
        <f t="shared" si="41"/>
        <v>3542</v>
      </c>
      <c r="EC62" s="679">
        <f t="shared" si="42"/>
        <v>3542</v>
      </c>
      <c r="ED62" s="679">
        <f t="shared" si="43"/>
        <v>3542</v>
      </c>
      <c r="EE62" s="679">
        <f t="shared" si="44"/>
        <v>3542</v>
      </c>
      <c r="EF62" s="679">
        <f t="shared" si="45"/>
        <v>3542</v>
      </c>
      <c r="EG62" s="679">
        <f t="shared" si="46"/>
        <v>3542</v>
      </c>
      <c r="EH62" s="679">
        <f t="shared" si="47"/>
        <v>3542</v>
      </c>
      <c r="EI62" s="679">
        <f t="shared" si="48"/>
        <v>3533</v>
      </c>
      <c r="EJ62" s="679">
        <f t="shared" si="49"/>
        <v>3543</v>
      </c>
      <c r="EK62" s="679">
        <f t="shared" si="50"/>
        <v>3543</v>
      </c>
      <c r="EL62" s="679">
        <f t="shared" si="51"/>
        <v>3543</v>
      </c>
      <c r="EM62" s="679">
        <f t="shared" si="52"/>
        <v>3543</v>
      </c>
      <c r="EN62" s="679">
        <f t="shared" si="53"/>
        <v>3543</v>
      </c>
      <c r="EO62" s="679">
        <f t="shared" si="54"/>
        <v>3543</v>
      </c>
      <c r="EP62" s="679">
        <f t="shared" si="55"/>
        <v>3543</v>
      </c>
      <c r="EQ62" s="679">
        <f t="shared" si="56"/>
        <v>3534</v>
      </c>
      <c r="ER62" s="679">
        <f t="shared" si="57"/>
        <v>3544</v>
      </c>
      <c r="ES62" s="679">
        <f t="shared" si="58"/>
        <v>3544</v>
      </c>
      <c r="ET62" s="679">
        <f t="shared" si="59"/>
        <v>3544</v>
      </c>
      <c r="EU62" s="679">
        <f t="shared" si="60"/>
        <v>3544</v>
      </c>
      <c r="EV62" s="679">
        <f t="shared" si="61"/>
        <v>3544</v>
      </c>
      <c r="EW62" s="679">
        <f t="shared" si="62"/>
        <v>3544</v>
      </c>
      <c r="EX62" s="679">
        <f t="shared" si="63"/>
        <v>3544</v>
      </c>
      <c r="EY62" s="679">
        <f t="shared" si="64"/>
        <v>3550</v>
      </c>
    </row>
    <row r="63" spans="2:155" ht="12.75" customHeight="1" x14ac:dyDescent="0.2">
      <c r="B63" s="700" t="str">
        <f>IF(COUNTIF($CK$10:CK63,TRUE)&gt;0,"",INDEX(C_InstallationDescription!$E$226:$E$242,ROWS($A$11:A63)))</f>
        <v/>
      </c>
      <c r="C63" s="581" t="str">
        <f>IF($E63="","",INDEX(C_InstallationDescription!F:F,MATCH($B63,C_InstallationDescription!$E:$E,0)))</f>
        <v/>
      </c>
      <c r="D63" s="581" t="str">
        <f>IF($E63="","",INDEX(C_InstallationDescription!I:I,MATCH($B63,C_InstallationDescription!$E:$E,0)))</f>
        <v/>
      </c>
      <c r="E63" s="581" t="str">
        <f>IF($B63="","",INDEX(C_InstallationDescription!F:F,MATCH($CJ63,C_InstallationDescription!$Q:$Q,0)))</f>
        <v/>
      </c>
      <c r="F63" s="706" t="str">
        <f>IF($E63="","",INDEX(C_InstallationDescription!L:L,MATCH($CJ63,C_InstallationDescription!$Q:$Q,0)))</f>
        <v/>
      </c>
      <c r="G63" s="581" t="str">
        <f>IF($E63="","",INDEX(C_InstallationDescription!M:M,MATCH($CJ63,C_InstallationDescription!$Q:$Q,0)))</f>
        <v/>
      </c>
      <c r="H63" s="581" t="str">
        <f>IF($E63="","",INDEX(C_InstallationDescription!N:N,MATCH($CJ63,C_InstallationDescription!$Q:$Q,0)))</f>
        <v/>
      </c>
      <c r="I63" s="703" t="str">
        <f>IF($E63="","",IF(INDEX(E_SourceStreams!$A:$N,CN63,I$7)="","",INDEX(E_SourceStreams!$A:$N,CN63,I$7)))</f>
        <v/>
      </c>
      <c r="J63" s="703" t="str">
        <f>IF($E63="","",IF(INDEX(E_SourceStreams!$A:$N,CO63,J$7)="","",INDEX(E_SourceStreams!$A:$N,CO63,J$7)))</f>
        <v/>
      </c>
      <c r="K63" s="703" t="str">
        <f>IF($E63="","",IF(INDEX(E_SourceStreams!$A:$N,CP63,K$7)="","",INDEX(E_SourceStreams!$A:$N,CP63,K$7)))</f>
        <v/>
      </c>
      <c r="L63" s="703" t="str">
        <f>IF($E63="","",IF(INDEX(E_SourceStreams!$A:$N,CQ63,L$7)="","",INDEX(E_SourceStreams!$A:$N,CQ63,L$7)))</f>
        <v/>
      </c>
      <c r="M63" s="703" t="str">
        <f>IF($E63="","",IF(INDEX(E_SourceStreams!$A:$N,CR63,M$7)="","",INDEX(E_SourceStreams!$A:$N,CR63,M$7)))</f>
        <v/>
      </c>
      <c r="N63" s="703" t="str">
        <f>IF($E63="","",IF(INDEX(E_SourceStreams!$A:$N,CS63,N$7)="","",INDEX(E_SourceStreams!$A:$N,CS63,N$7)))</f>
        <v/>
      </c>
      <c r="O63" s="703" t="str">
        <f>IF($E63="","",IF(INDEX(E_SourceStreams!$A:$N,CT63,O$7)="","",INDEX(E_SourceStreams!$A:$N,CT63,O$7)))</f>
        <v/>
      </c>
      <c r="P63" s="703" t="str">
        <f>IF($E63="","",IF(INDEX(E_SourceStreams!$A:$N,CU63,P$7)="","",INDEX(E_SourceStreams!$A:$N,CU63,P$7)))</f>
        <v/>
      </c>
      <c r="Q63" s="703" t="str">
        <f>IF($E63="","",IF(INDEX(E_SourceStreams!$A:$N,CV63,Q$7)="","",INDEX(E_SourceStreams!$A:$N,CV63,Q$7)))</f>
        <v/>
      </c>
      <c r="R63" s="703" t="str">
        <f>IF($E63="","",IF(INDEX(E_SourceStreams!$A:$N,CW63,R$7)="","",INDEX(E_SourceStreams!$A:$N,CW63,R$7)))</f>
        <v/>
      </c>
      <c r="S63" s="703" t="str">
        <f>IF($E63="","",IF(INDEX(E_SourceStreams!$A:$N,CX63,S$7)="","",INDEX(E_SourceStreams!$A:$N,CX63,S$7)))</f>
        <v/>
      </c>
      <c r="T63" s="703" t="str">
        <f>IF($E63="","",IF(INDEX(E_SourceStreams!$A:$N,CY63,T$7)="","",INDEX(E_SourceStreams!$A:$N,CY63,T$7)))</f>
        <v/>
      </c>
      <c r="U63" s="703" t="str">
        <f>IF($E63="","",IF(INDEX(E_SourceStreams!$A:$N,CZ63,U$7)="","",INDEX(E_SourceStreams!$A:$N,CZ63,U$7)))</f>
        <v/>
      </c>
      <c r="V63" s="703" t="str">
        <f>IF($E63="","",IF(INDEX(E_SourceStreams!$A:$N,DA63,V$7)="","",INDEX(E_SourceStreams!$A:$N,DA63,V$7)))</f>
        <v/>
      </c>
      <c r="W63" s="704" t="str">
        <f>IF($E63="","",IF(INDEX(E_SourceStreams!$A:$N,DB63,W$7)="","",INDEX(E_SourceStreams!$A:$N,DB63,W$7)))</f>
        <v/>
      </c>
      <c r="X63" s="703" t="str">
        <f>IF($E63="","",IF(INDEX(E_SourceStreams!$A:$N,DC63,X$7)="","",INDEX(E_SourceStreams!$A:$N,DC63,X$7)))</f>
        <v/>
      </c>
      <c r="Y63" s="703" t="str">
        <f>IF($E63="","",IF(INDEX(E_SourceStreams!$A:$N,DD63,Y$7)="","",INDEX(E_SourceStreams!$A:$N,DD63,Y$7)))</f>
        <v/>
      </c>
      <c r="Z63" s="703" t="str">
        <f>IF($E63="","",IF(INDEX(E_SourceStreams!$A:$N,DE63,Z$7)="","",INDEX(E_SourceStreams!$A:$N,DE63,Z$7)))</f>
        <v/>
      </c>
      <c r="AA63" s="703" t="str">
        <f>IF($E63="","",IF(INDEX(E_SourceStreams!$A:$N,DF63,AA$7)="","",INDEX(E_SourceStreams!$A:$N,DF63,AA$7)))</f>
        <v/>
      </c>
      <c r="AB63" s="703" t="str">
        <f>IF($E63="","",IF(INDEX(E_SourceStreams!$A:$N,DG63,AB$7)="","",INDEX(E_SourceStreams!$A:$N,DG63,AB$7)))</f>
        <v/>
      </c>
      <c r="AC63" s="703" t="str">
        <f>IF($E63="","",IF(INDEX(E_SourceStreams!$A:$N,DH63,AC$7)="","",INDEX(E_SourceStreams!$A:$N,DH63,AC$7)))</f>
        <v/>
      </c>
      <c r="AD63" s="703" t="str">
        <f>IF($E63="","",IF(INDEX(E_SourceStreams!$A:$N,DI63,AD$7)="","",INDEX(E_SourceStreams!$A:$N,DI63,AD$7)))</f>
        <v/>
      </c>
      <c r="AE63" s="703" t="str">
        <f>IF($E63="","",IF(INDEX(E_SourceStreams!$A:$N,DJ63,AE$7)="","",INDEX(E_SourceStreams!$A:$N,DJ63,AE$7)))</f>
        <v/>
      </c>
      <c r="AF63" s="703" t="str">
        <f>IF($E63="","",IF(INDEX(E_SourceStreams!$A:$N,DK63,AF$7)="","",INDEX(E_SourceStreams!$A:$N,DK63,AF$7)))</f>
        <v/>
      </c>
      <c r="AG63" s="703" t="str">
        <f>IF($E63="","",IF(INDEX(E_SourceStreams!$A:$N,DL63,AG$7)="","",INDEX(E_SourceStreams!$A:$N,DL63,AG$7)))</f>
        <v/>
      </c>
      <c r="AH63" s="703" t="str">
        <f>IF($E63="","",IF(INDEX(E_SourceStreams!$A:$N,DM63,AH$7)="","",INDEX(E_SourceStreams!$A:$N,DM63,AH$7)))</f>
        <v/>
      </c>
      <c r="AI63" s="703" t="str">
        <f>IF($E63="","",IF(INDEX(E_SourceStreams!$A:$N,DN63,AI$7)="","",INDEX(E_SourceStreams!$A:$N,DN63,AI$7)))</f>
        <v/>
      </c>
      <c r="AJ63" s="703" t="str">
        <f>IF($E63="","",IF(INDEX(E_SourceStreams!$A:$N,DO63,AJ$7)="","",INDEX(E_SourceStreams!$A:$N,DO63,AJ$7)))</f>
        <v/>
      </c>
      <c r="AK63" s="703" t="str">
        <f>IF($E63="","",IF(INDEX(E_SourceStreams!$A:$N,DP63,AK$7)="","",INDEX(E_SourceStreams!$A:$N,DP63,AK$7)))</f>
        <v/>
      </c>
      <c r="AL63" s="703" t="str">
        <f>IF($E63="","",IF(INDEX(E_SourceStreams!$A:$N,DQ63,AL$7)="","",INDEX(E_SourceStreams!$A:$N,DQ63,AL$7)))</f>
        <v/>
      </c>
      <c r="AM63" s="703" t="str">
        <f>IF($E63="","",IF(INDEX(E_SourceStreams!$A:$N,DR63,AM$7)="","",INDEX(E_SourceStreams!$A:$N,DR63,AM$7)))</f>
        <v/>
      </c>
      <c r="AN63" s="703" t="str">
        <f>IF($E63="","",IF(INDEX(E_SourceStreams!$A:$N,DS63,AN$7)="","",INDEX(E_SourceStreams!$A:$N,DS63,AN$7)))</f>
        <v/>
      </c>
      <c r="AO63" s="703" t="str">
        <f>IF($E63="","",IF(INDEX(E_SourceStreams!$A:$N,DT63,AO$7)="","",INDEX(E_SourceStreams!$A:$N,DT63,AO$7)))</f>
        <v/>
      </c>
      <c r="AP63" s="703" t="str">
        <f>IF($E63="","",IF(INDEX(E_SourceStreams!$A:$N,DU63,AP$7)="","",INDEX(E_SourceStreams!$A:$N,DU63,AP$7)))</f>
        <v/>
      </c>
      <c r="AQ63" s="703" t="str">
        <f>IF($E63="","",IF(INDEX(E_SourceStreams!$A:$N,DV63,AQ$7)="","",INDEX(E_SourceStreams!$A:$N,DV63,AQ$7)))</f>
        <v/>
      </c>
      <c r="AR63" s="703" t="str">
        <f>IF($E63="","",IF(INDEX(E_SourceStreams!$A:$N,DW63,AR$7)="","",INDEX(E_SourceStreams!$A:$N,DW63,AR$7)))</f>
        <v/>
      </c>
      <c r="AS63" s="703" t="str">
        <f>IF($E63="","",IF(INDEX(E_SourceStreams!$A:$N,DX63,AS$7)="","",INDEX(E_SourceStreams!$A:$N,DX63,AS$7)))</f>
        <v/>
      </c>
      <c r="AT63" s="703" t="str">
        <f>IF($E63="","",IF(INDEX(E_SourceStreams!$A:$N,DY63,AT$7)="","",INDEX(E_SourceStreams!$A:$N,DY63,AT$7)))</f>
        <v/>
      </c>
      <c r="AU63" s="703" t="str">
        <f>IF($E63="","",IF(INDEX(E_SourceStreams!$A:$N,DZ63,AU$7)="","",INDEX(E_SourceStreams!$A:$N,DZ63,AU$7)))</f>
        <v/>
      </c>
      <c r="AV63" s="703" t="str">
        <f>IF($E63="","",IF(INDEX(E_SourceStreams!$A:$N,EA63,AV$7)="","",INDEX(E_SourceStreams!$A:$N,EA63,AV$7)))</f>
        <v/>
      </c>
      <c r="AW63" s="703" t="str">
        <f>IF($E63="","",IF(INDEX(E_SourceStreams!$A:$N,EB63,AW$7)="","",INDEX(E_SourceStreams!$A:$N,EB63,AW$7)))</f>
        <v/>
      </c>
      <c r="AX63" s="703" t="str">
        <f>IF($E63="","",IF(INDEX(E_SourceStreams!$A:$N,EC63,AX$7)="","",INDEX(E_SourceStreams!$A:$N,EC63,AX$7)))</f>
        <v/>
      </c>
      <c r="AY63" s="703" t="str">
        <f>IF($E63="","",IF(INDEX(E_SourceStreams!$A:$N,ED63,AY$7)="","",INDEX(E_SourceStreams!$A:$N,ED63,AY$7)))</f>
        <v/>
      </c>
      <c r="AZ63" s="703" t="str">
        <f>IF($E63="","",IF(INDEX(E_SourceStreams!$A:$N,EE63,AZ$7)="","",INDEX(E_SourceStreams!$A:$N,EE63,AZ$7)))</f>
        <v/>
      </c>
      <c r="BA63" s="703" t="str">
        <f>IF($E63="","",IF(INDEX(E_SourceStreams!$A:$N,EF63,BA$7)="","",INDEX(E_SourceStreams!$A:$N,EF63,BA$7)))</f>
        <v/>
      </c>
      <c r="BB63" s="703" t="str">
        <f>IF($E63="","",IF(INDEX(E_SourceStreams!$A:$N,EG63,BB$7)="","",INDEX(E_SourceStreams!$A:$N,EG63,BB$7)))</f>
        <v/>
      </c>
      <c r="BC63" s="703" t="str">
        <f>IF($E63="","",IF(INDEX(E_SourceStreams!$A:$N,EH63,BC$7)="","",INDEX(E_SourceStreams!$A:$N,EH63,BC$7)))</f>
        <v/>
      </c>
      <c r="BD63" s="703" t="str">
        <f>IF($E63="","",IF(INDEX(E_SourceStreams!$A:$N,EI63,BD$7)="","",INDEX(E_SourceStreams!$A:$N,EI63,BD$7)))</f>
        <v/>
      </c>
      <c r="BE63" s="703" t="str">
        <f>IF($E63="","",IF(INDEX(E_SourceStreams!$A:$N,EJ63,BE$7)="","",INDEX(E_SourceStreams!$A:$N,EJ63,BE$7)))</f>
        <v/>
      </c>
      <c r="BF63" s="703" t="str">
        <f>IF($E63="","",IF(INDEX(E_SourceStreams!$A:$N,EK63,BF$7)="","",INDEX(E_SourceStreams!$A:$N,EK63,BF$7)))</f>
        <v/>
      </c>
      <c r="BG63" s="703" t="str">
        <f>IF($E63="","",IF(INDEX(E_SourceStreams!$A:$N,EL63,BG$7)="","",INDEX(E_SourceStreams!$A:$N,EL63,BG$7)))</f>
        <v/>
      </c>
      <c r="BH63" s="703" t="str">
        <f>IF($E63="","",IF(INDEX(E_SourceStreams!$A:$N,EM63,BH$7)="","",INDEX(E_SourceStreams!$A:$N,EM63,BH$7)))</f>
        <v/>
      </c>
      <c r="BI63" s="703" t="str">
        <f>IF($E63="","",IF(INDEX(E_SourceStreams!$A:$N,EN63,BI$7)="","",INDEX(E_SourceStreams!$A:$N,EN63,BI$7)))</f>
        <v/>
      </c>
      <c r="BJ63" s="703" t="str">
        <f>IF($E63="","",IF(INDEX(E_SourceStreams!$A:$N,EO63,BJ$7)="","",INDEX(E_SourceStreams!$A:$N,EO63,BJ$7)))</f>
        <v/>
      </c>
      <c r="BK63" s="703" t="str">
        <f>IF($E63="","",IF(INDEX(E_SourceStreams!$A:$N,EP63,BK$7)="","",INDEX(E_SourceStreams!$A:$N,EP63,BK$7)))</f>
        <v/>
      </c>
      <c r="BL63" s="703" t="str">
        <f>IF($E63="","",IF(INDEX(E_SourceStreams!$A:$N,EQ63,BL$7)="","",INDEX(E_SourceStreams!$A:$N,EQ63,BL$7)))</f>
        <v/>
      </c>
      <c r="BM63" s="703" t="str">
        <f>IF($E63="","",IF(INDEX(E_SourceStreams!$A:$N,ER63,BM$7)="","",INDEX(E_SourceStreams!$A:$N,ER63,BM$7)))</f>
        <v/>
      </c>
      <c r="BN63" s="703" t="str">
        <f>IF($E63="","",IF(INDEX(E_SourceStreams!$A:$N,ES63,BN$7)="","",INDEX(E_SourceStreams!$A:$N,ES63,BN$7)))</f>
        <v/>
      </c>
      <c r="BO63" s="703" t="str">
        <f>IF($E63="","",IF(INDEX(E_SourceStreams!$A:$N,ET63,BO$7)="","",INDEX(E_SourceStreams!$A:$N,ET63,BO$7)))</f>
        <v/>
      </c>
      <c r="BP63" s="703" t="str">
        <f>IF($E63="","",IF(INDEX(E_SourceStreams!$A:$N,EU63,BP$7)="","",INDEX(E_SourceStreams!$A:$N,EU63,BP$7)))</f>
        <v/>
      </c>
      <c r="BQ63" s="703" t="str">
        <f>IF($E63="","",IF(INDEX(E_SourceStreams!$A:$N,EV63,BQ$7)="","",INDEX(E_SourceStreams!$A:$N,EV63,BQ$7)))</f>
        <v/>
      </c>
      <c r="BR63" s="703" t="str">
        <f>IF($E63="","",IF(INDEX(E_SourceStreams!$A:$N,EW63,BR$7)="","",INDEX(E_SourceStreams!$A:$N,EW63,BR$7)))</f>
        <v/>
      </c>
      <c r="BS63" s="703" t="str">
        <f>IF($E63="","",IF(INDEX(E_SourceStreams!$A:$N,EX63,BS$7)="","",INDEX(E_SourceStreams!$A:$N,EX63,BS$7)))</f>
        <v/>
      </c>
      <c r="BT63" s="703" t="str">
        <f>IF($E63="","",IF(INDEX(E_SourceStreams!$A:$N,EY63,BT$7)="","",INDEX(E_SourceStreams!$A:$N,EY63,BT$7)))</f>
        <v/>
      </c>
      <c r="BU63" s="625"/>
      <c r="CJ63" s="679" t="str">
        <f t="shared" si="66"/>
        <v>SourceCategory_</v>
      </c>
      <c r="CK63" s="679" t="b">
        <f>INDEX(C_InstallationDescription!$A$226:$A$332,ROWS($CI$11:CI63))="ausblenden"</f>
        <v>1</v>
      </c>
      <c r="CL63" s="679" t="str">
        <f t="shared" si="67"/>
        <v>SourceStreamName_</v>
      </c>
      <c r="CN63" s="679">
        <f t="shared" si="65"/>
        <v>3567</v>
      </c>
      <c r="CO63" s="679">
        <f t="shared" si="2"/>
        <v>3569</v>
      </c>
      <c r="CP63" s="679">
        <f t="shared" si="3"/>
        <v>3571</v>
      </c>
      <c r="CQ63" s="679">
        <f t="shared" si="4"/>
        <v>3573</v>
      </c>
      <c r="CR63" s="679">
        <f t="shared" si="5"/>
        <v>3575</v>
      </c>
      <c r="CS63" s="679">
        <f t="shared" si="6"/>
        <v>3577</v>
      </c>
      <c r="CT63" s="679">
        <f t="shared" si="7"/>
        <v>3579</v>
      </c>
      <c r="CU63" s="679">
        <f t="shared" si="8"/>
        <v>3579</v>
      </c>
      <c r="CV63" s="679">
        <f t="shared" si="9"/>
        <v>3579</v>
      </c>
      <c r="CW63" s="679">
        <f t="shared" si="10"/>
        <v>3579</v>
      </c>
      <c r="CX63" s="679">
        <f t="shared" si="11"/>
        <v>3579</v>
      </c>
      <c r="CY63" s="679">
        <f t="shared" si="12"/>
        <v>3582</v>
      </c>
      <c r="CZ63" s="679">
        <f t="shared" si="13"/>
        <v>3586</v>
      </c>
      <c r="DA63" s="679">
        <f t="shared" si="14"/>
        <v>3587</v>
      </c>
      <c r="DB63" s="679">
        <f t="shared" si="15"/>
        <v>3588</v>
      </c>
      <c r="DC63" s="679">
        <f t="shared" si="16"/>
        <v>3595</v>
      </c>
      <c r="DD63" s="679">
        <f t="shared" si="17"/>
        <v>3605</v>
      </c>
      <c r="DE63" s="679">
        <f t="shared" si="18"/>
        <v>3605</v>
      </c>
      <c r="DF63" s="679">
        <f t="shared" si="19"/>
        <v>3605</v>
      </c>
      <c r="DG63" s="679">
        <f t="shared" si="20"/>
        <v>3605</v>
      </c>
      <c r="DH63" s="679">
        <f t="shared" si="21"/>
        <v>3605</v>
      </c>
      <c r="DI63" s="679">
        <f t="shared" si="22"/>
        <v>3605</v>
      </c>
      <c r="DJ63" s="679">
        <f t="shared" si="23"/>
        <v>3605</v>
      </c>
      <c r="DK63" s="679">
        <f t="shared" si="24"/>
        <v>3596</v>
      </c>
      <c r="DL63" s="679">
        <f t="shared" si="25"/>
        <v>3606</v>
      </c>
      <c r="DM63" s="679">
        <f t="shared" si="26"/>
        <v>3606</v>
      </c>
      <c r="DN63" s="679">
        <f t="shared" si="27"/>
        <v>3606</v>
      </c>
      <c r="DO63" s="679">
        <f t="shared" si="28"/>
        <v>3606</v>
      </c>
      <c r="DP63" s="679">
        <f t="shared" si="29"/>
        <v>3606</v>
      </c>
      <c r="DQ63" s="679">
        <f t="shared" si="30"/>
        <v>3606</v>
      </c>
      <c r="DR63" s="679">
        <f t="shared" si="31"/>
        <v>3606</v>
      </c>
      <c r="DS63" s="679">
        <f t="shared" si="32"/>
        <v>3597</v>
      </c>
      <c r="DT63" s="679">
        <f t="shared" si="33"/>
        <v>3607</v>
      </c>
      <c r="DU63" s="679">
        <f t="shared" si="34"/>
        <v>3607</v>
      </c>
      <c r="DV63" s="679">
        <f t="shared" si="35"/>
        <v>3607</v>
      </c>
      <c r="DW63" s="679">
        <f t="shared" si="36"/>
        <v>3607</v>
      </c>
      <c r="DX63" s="679">
        <f t="shared" si="37"/>
        <v>3607</v>
      </c>
      <c r="DY63" s="679">
        <f t="shared" si="38"/>
        <v>3607</v>
      </c>
      <c r="DZ63" s="679">
        <f t="shared" si="39"/>
        <v>3607</v>
      </c>
      <c r="EA63" s="679">
        <f t="shared" si="40"/>
        <v>3598</v>
      </c>
      <c r="EB63" s="679">
        <f t="shared" si="41"/>
        <v>3608</v>
      </c>
      <c r="EC63" s="679">
        <f t="shared" si="42"/>
        <v>3608</v>
      </c>
      <c r="ED63" s="679">
        <f t="shared" si="43"/>
        <v>3608</v>
      </c>
      <c r="EE63" s="679">
        <f t="shared" si="44"/>
        <v>3608</v>
      </c>
      <c r="EF63" s="679">
        <f t="shared" si="45"/>
        <v>3608</v>
      </c>
      <c r="EG63" s="679">
        <f t="shared" si="46"/>
        <v>3608</v>
      </c>
      <c r="EH63" s="679">
        <f t="shared" si="47"/>
        <v>3608</v>
      </c>
      <c r="EI63" s="679">
        <f t="shared" si="48"/>
        <v>3599</v>
      </c>
      <c r="EJ63" s="679">
        <f t="shared" si="49"/>
        <v>3609</v>
      </c>
      <c r="EK63" s="679">
        <f t="shared" si="50"/>
        <v>3609</v>
      </c>
      <c r="EL63" s="679">
        <f t="shared" si="51"/>
        <v>3609</v>
      </c>
      <c r="EM63" s="679">
        <f t="shared" si="52"/>
        <v>3609</v>
      </c>
      <c r="EN63" s="679">
        <f t="shared" si="53"/>
        <v>3609</v>
      </c>
      <c r="EO63" s="679">
        <f t="shared" si="54"/>
        <v>3609</v>
      </c>
      <c r="EP63" s="679">
        <f t="shared" si="55"/>
        <v>3609</v>
      </c>
      <c r="EQ63" s="679">
        <f t="shared" si="56"/>
        <v>3600</v>
      </c>
      <c r="ER63" s="679">
        <f t="shared" si="57"/>
        <v>3610</v>
      </c>
      <c r="ES63" s="679">
        <f t="shared" si="58"/>
        <v>3610</v>
      </c>
      <c r="ET63" s="679">
        <f t="shared" si="59"/>
        <v>3610</v>
      </c>
      <c r="EU63" s="679">
        <f t="shared" si="60"/>
        <v>3610</v>
      </c>
      <c r="EV63" s="679">
        <f t="shared" si="61"/>
        <v>3610</v>
      </c>
      <c r="EW63" s="679">
        <f t="shared" si="62"/>
        <v>3610</v>
      </c>
      <c r="EX63" s="679">
        <f t="shared" si="63"/>
        <v>3610</v>
      </c>
      <c r="EY63" s="679">
        <f t="shared" si="64"/>
        <v>3616</v>
      </c>
    </row>
    <row r="64" spans="2:155" ht="12.75" customHeight="1" x14ac:dyDescent="0.2">
      <c r="B64" s="700" t="str">
        <f>IF(COUNTIF($CK$10:CK64,TRUE)&gt;0,"",INDEX(C_InstallationDescription!$E$226:$E$242,ROWS($A$11:A64)))</f>
        <v/>
      </c>
      <c r="C64" s="581" t="str">
        <f>IF($E64="","",INDEX(C_InstallationDescription!F:F,MATCH($B64,C_InstallationDescription!$E:$E,0)))</f>
        <v/>
      </c>
      <c r="D64" s="581" t="str">
        <f>IF($E64="","",INDEX(C_InstallationDescription!I:I,MATCH($B64,C_InstallationDescription!$E:$E,0)))</f>
        <v/>
      </c>
      <c r="E64" s="581" t="str">
        <f>IF($B64="","",INDEX(C_InstallationDescription!F:F,MATCH($CJ64,C_InstallationDescription!$Q:$Q,0)))</f>
        <v/>
      </c>
      <c r="F64" s="706" t="str">
        <f>IF($E64="","",INDEX(C_InstallationDescription!L:L,MATCH($CJ64,C_InstallationDescription!$Q:$Q,0)))</f>
        <v/>
      </c>
      <c r="G64" s="581" t="str">
        <f>IF($E64="","",INDEX(C_InstallationDescription!M:M,MATCH($CJ64,C_InstallationDescription!$Q:$Q,0)))</f>
        <v/>
      </c>
      <c r="H64" s="581" t="str">
        <f>IF($E64="","",INDEX(C_InstallationDescription!N:N,MATCH($CJ64,C_InstallationDescription!$Q:$Q,0)))</f>
        <v/>
      </c>
      <c r="I64" s="703" t="str">
        <f>IF($E64="","",IF(INDEX(E_SourceStreams!$A:$N,CN64,I$7)="","",INDEX(E_SourceStreams!$A:$N,CN64,I$7)))</f>
        <v/>
      </c>
      <c r="J64" s="703" t="str">
        <f>IF($E64="","",IF(INDEX(E_SourceStreams!$A:$N,CO64,J$7)="","",INDEX(E_SourceStreams!$A:$N,CO64,J$7)))</f>
        <v/>
      </c>
      <c r="K64" s="703" t="str">
        <f>IF($E64="","",IF(INDEX(E_SourceStreams!$A:$N,CP64,K$7)="","",INDEX(E_SourceStreams!$A:$N,CP64,K$7)))</f>
        <v/>
      </c>
      <c r="L64" s="703" t="str">
        <f>IF($E64="","",IF(INDEX(E_SourceStreams!$A:$N,CQ64,L$7)="","",INDEX(E_SourceStreams!$A:$N,CQ64,L$7)))</f>
        <v/>
      </c>
      <c r="M64" s="703" t="str">
        <f>IF($E64="","",IF(INDEX(E_SourceStreams!$A:$N,CR64,M$7)="","",INDEX(E_SourceStreams!$A:$N,CR64,M$7)))</f>
        <v/>
      </c>
      <c r="N64" s="703" t="str">
        <f>IF($E64="","",IF(INDEX(E_SourceStreams!$A:$N,CS64,N$7)="","",INDEX(E_SourceStreams!$A:$N,CS64,N$7)))</f>
        <v/>
      </c>
      <c r="O64" s="703" t="str">
        <f>IF($E64="","",IF(INDEX(E_SourceStreams!$A:$N,CT64,O$7)="","",INDEX(E_SourceStreams!$A:$N,CT64,O$7)))</f>
        <v/>
      </c>
      <c r="P64" s="703" t="str">
        <f>IF($E64="","",IF(INDEX(E_SourceStreams!$A:$N,CU64,P$7)="","",INDEX(E_SourceStreams!$A:$N,CU64,P$7)))</f>
        <v/>
      </c>
      <c r="Q64" s="703" t="str">
        <f>IF($E64="","",IF(INDEX(E_SourceStreams!$A:$N,CV64,Q$7)="","",INDEX(E_SourceStreams!$A:$N,CV64,Q$7)))</f>
        <v/>
      </c>
      <c r="R64" s="703" t="str">
        <f>IF($E64="","",IF(INDEX(E_SourceStreams!$A:$N,CW64,R$7)="","",INDEX(E_SourceStreams!$A:$N,CW64,R$7)))</f>
        <v/>
      </c>
      <c r="S64" s="703" t="str">
        <f>IF($E64="","",IF(INDEX(E_SourceStreams!$A:$N,CX64,S$7)="","",INDEX(E_SourceStreams!$A:$N,CX64,S$7)))</f>
        <v/>
      </c>
      <c r="T64" s="703" t="str">
        <f>IF($E64="","",IF(INDEX(E_SourceStreams!$A:$N,CY64,T$7)="","",INDEX(E_SourceStreams!$A:$N,CY64,T$7)))</f>
        <v/>
      </c>
      <c r="U64" s="703" t="str">
        <f>IF($E64="","",IF(INDEX(E_SourceStreams!$A:$N,CZ64,U$7)="","",INDEX(E_SourceStreams!$A:$N,CZ64,U$7)))</f>
        <v/>
      </c>
      <c r="V64" s="703" t="str">
        <f>IF($E64="","",IF(INDEX(E_SourceStreams!$A:$N,DA64,V$7)="","",INDEX(E_SourceStreams!$A:$N,DA64,V$7)))</f>
        <v/>
      </c>
      <c r="W64" s="704" t="str">
        <f>IF($E64="","",IF(INDEX(E_SourceStreams!$A:$N,DB64,W$7)="","",INDEX(E_SourceStreams!$A:$N,DB64,W$7)))</f>
        <v/>
      </c>
      <c r="X64" s="703" t="str">
        <f>IF($E64="","",IF(INDEX(E_SourceStreams!$A:$N,DC64,X$7)="","",INDEX(E_SourceStreams!$A:$N,DC64,X$7)))</f>
        <v/>
      </c>
      <c r="Y64" s="703" t="str">
        <f>IF($E64="","",IF(INDEX(E_SourceStreams!$A:$N,DD64,Y$7)="","",INDEX(E_SourceStreams!$A:$N,DD64,Y$7)))</f>
        <v/>
      </c>
      <c r="Z64" s="703" t="str">
        <f>IF($E64="","",IF(INDEX(E_SourceStreams!$A:$N,DE64,Z$7)="","",INDEX(E_SourceStreams!$A:$N,DE64,Z$7)))</f>
        <v/>
      </c>
      <c r="AA64" s="703" t="str">
        <f>IF($E64="","",IF(INDEX(E_SourceStreams!$A:$N,DF64,AA$7)="","",INDEX(E_SourceStreams!$A:$N,DF64,AA$7)))</f>
        <v/>
      </c>
      <c r="AB64" s="703" t="str">
        <f>IF($E64="","",IF(INDEX(E_SourceStreams!$A:$N,DG64,AB$7)="","",INDEX(E_SourceStreams!$A:$N,DG64,AB$7)))</f>
        <v/>
      </c>
      <c r="AC64" s="703" t="str">
        <f>IF($E64="","",IF(INDEX(E_SourceStreams!$A:$N,DH64,AC$7)="","",INDEX(E_SourceStreams!$A:$N,DH64,AC$7)))</f>
        <v/>
      </c>
      <c r="AD64" s="703" t="str">
        <f>IF($E64="","",IF(INDEX(E_SourceStreams!$A:$N,DI64,AD$7)="","",INDEX(E_SourceStreams!$A:$N,DI64,AD$7)))</f>
        <v/>
      </c>
      <c r="AE64" s="703" t="str">
        <f>IF($E64="","",IF(INDEX(E_SourceStreams!$A:$N,DJ64,AE$7)="","",INDEX(E_SourceStreams!$A:$N,DJ64,AE$7)))</f>
        <v/>
      </c>
      <c r="AF64" s="703" t="str">
        <f>IF($E64="","",IF(INDEX(E_SourceStreams!$A:$N,DK64,AF$7)="","",INDEX(E_SourceStreams!$A:$N,DK64,AF$7)))</f>
        <v/>
      </c>
      <c r="AG64" s="703" t="str">
        <f>IF($E64="","",IF(INDEX(E_SourceStreams!$A:$N,DL64,AG$7)="","",INDEX(E_SourceStreams!$A:$N,DL64,AG$7)))</f>
        <v/>
      </c>
      <c r="AH64" s="703" t="str">
        <f>IF($E64="","",IF(INDEX(E_SourceStreams!$A:$N,DM64,AH$7)="","",INDEX(E_SourceStreams!$A:$N,DM64,AH$7)))</f>
        <v/>
      </c>
      <c r="AI64" s="703" t="str">
        <f>IF($E64="","",IF(INDEX(E_SourceStreams!$A:$N,DN64,AI$7)="","",INDEX(E_SourceStreams!$A:$N,DN64,AI$7)))</f>
        <v/>
      </c>
      <c r="AJ64" s="703" t="str">
        <f>IF($E64="","",IF(INDEX(E_SourceStreams!$A:$N,DO64,AJ$7)="","",INDEX(E_SourceStreams!$A:$N,DO64,AJ$7)))</f>
        <v/>
      </c>
      <c r="AK64" s="703" t="str">
        <f>IF($E64="","",IF(INDEX(E_SourceStreams!$A:$N,DP64,AK$7)="","",INDEX(E_SourceStreams!$A:$N,DP64,AK$7)))</f>
        <v/>
      </c>
      <c r="AL64" s="703" t="str">
        <f>IF($E64="","",IF(INDEX(E_SourceStreams!$A:$N,DQ64,AL$7)="","",INDEX(E_SourceStreams!$A:$N,DQ64,AL$7)))</f>
        <v/>
      </c>
      <c r="AM64" s="703" t="str">
        <f>IF($E64="","",IF(INDEX(E_SourceStreams!$A:$N,DR64,AM$7)="","",INDEX(E_SourceStreams!$A:$N,DR64,AM$7)))</f>
        <v/>
      </c>
      <c r="AN64" s="703" t="str">
        <f>IF($E64="","",IF(INDEX(E_SourceStreams!$A:$N,DS64,AN$7)="","",INDEX(E_SourceStreams!$A:$N,DS64,AN$7)))</f>
        <v/>
      </c>
      <c r="AO64" s="703" t="str">
        <f>IF($E64="","",IF(INDEX(E_SourceStreams!$A:$N,DT64,AO$7)="","",INDEX(E_SourceStreams!$A:$N,DT64,AO$7)))</f>
        <v/>
      </c>
      <c r="AP64" s="703" t="str">
        <f>IF($E64="","",IF(INDEX(E_SourceStreams!$A:$N,DU64,AP$7)="","",INDEX(E_SourceStreams!$A:$N,DU64,AP$7)))</f>
        <v/>
      </c>
      <c r="AQ64" s="703" t="str">
        <f>IF($E64="","",IF(INDEX(E_SourceStreams!$A:$N,DV64,AQ$7)="","",INDEX(E_SourceStreams!$A:$N,DV64,AQ$7)))</f>
        <v/>
      </c>
      <c r="AR64" s="703" t="str">
        <f>IF($E64="","",IF(INDEX(E_SourceStreams!$A:$N,DW64,AR$7)="","",INDEX(E_SourceStreams!$A:$N,DW64,AR$7)))</f>
        <v/>
      </c>
      <c r="AS64" s="703" t="str">
        <f>IF($E64="","",IF(INDEX(E_SourceStreams!$A:$N,DX64,AS$7)="","",INDEX(E_SourceStreams!$A:$N,DX64,AS$7)))</f>
        <v/>
      </c>
      <c r="AT64" s="703" t="str">
        <f>IF($E64="","",IF(INDEX(E_SourceStreams!$A:$N,DY64,AT$7)="","",INDEX(E_SourceStreams!$A:$N,DY64,AT$7)))</f>
        <v/>
      </c>
      <c r="AU64" s="703" t="str">
        <f>IF($E64="","",IF(INDEX(E_SourceStreams!$A:$N,DZ64,AU$7)="","",INDEX(E_SourceStreams!$A:$N,DZ64,AU$7)))</f>
        <v/>
      </c>
      <c r="AV64" s="703" t="str">
        <f>IF($E64="","",IF(INDEX(E_SourceStreams!$A:$N,EA64,AV$7)="","",INDEX(E_SourceStreams!$A:$N,EA64,AV$7)))</f>
        <v/>
      </c>
      <c r="AW64" s="703" t="str">
        <f>IF($E64="","",IF(INDEX(E_SourceStreams!$A:$N,EB64,AW$7)="","",INDEX(E_SourceStreams!$A:$N,EB64,AW$7)))</f>
        <v/>
      </c>
      <c r="AX64" s="703" t="str">
        <f>IF($E64="","",IF(INDEX(E_SourceStreams!$A:$N,EC64,AX$7)="","",INDEX(E_SourceStreams!$A:$N,EC64,AX$7)))</f>
        <v/>
      </c>
      <c r="AY64" s="703" t="str">
        <f>IF($E64="","",IF(INDEX(E_SourceStreams!$A:$N,ED64,AY$7)="","",INDEX(E_SourceStreams!$A:$N,ED64,AY$7)))</f>
        <v/>
      </c>
      <c r="AZ64" s="703" t="str">
        <f>IF($E64="","",IF(INDEX(E_SourceStreams!$A:$N,EE64,AZ$7)="","",INDEX(E_SourceStreams!$A:$N,EE64,AZ$7)))</f>
        <v/>
      </c>
      <c r="BA64" s="703" t="str">
        <f>IF($E64="","",IF(INDEX(E_SourceStreams!$A:$N,EF64,BA$7)="","",INDEX(E_SourceStreams!$A:$N,EF64,BA$7)))</f>
        <v/>
      </c>
      <c r="BB64" s="703" t="str">
        <f>IF($E64="","",IF(INDEX(E_SourceStreams!$A:$N,EG64,BB$7)="","",INDEX(E_SourceStreams!$A:$N,EG64,BB$7)))</f>
        <v/>
      </c>
      <c r="BC64" s="703" t="str">
        <f>IF($E64="","",IF(INDEX(E_SourceStreams!$A:$N,EH64,BC$7)="","",INDEX(E_SourceStreams!$A:$N,EH64,BC$7)))</f>
        <v/>
      </c>
      <c r="BD64" s="703" t="str">
        <f>IF($E64="","",IF(INDEX(E_SourceStreams!$A:$N,EI64,BD$7)="","",INDEX(E_SourceStreams!$A:$N,EI64,BD$7)))</f>
        <v/>
      </c>
      <c r="BE64" s="703" t="str">
        <f>IF($E64="","",IF(INDEX(E_SourceStreams!$A:$N,EJ64,BE$7)="","",INDEX(E_SourceStreams!$A:$N,EJ64,BE$7)))</f>
        <v/>
      </c>
      <c r="BF64" s="703" t="str">
        <f>IF($E64="","",IF(INDEX(E_SourceStreams!$A:$N,EK64,BF$7)="","",INDEX(E_SourceStreams!$A:$N,EK64,BF$7)))</f>
        <v/>
      </c>
      <c r="BG64" s="703" t="str">
        <f>IF($E64="","",IF(INDEX(E_SourceStreams!$A:$N,EL64,BG$7)="","",INDEX(E_SourceStreams!$A:$N,EL64,BG$7)))</f>
        <v/>
      </c>
      <c r="BH64" s="703" t="str">
        <f>IF($E64="","",IF(INDEX(E_SourceStreams!$A:$N,EM64,BH$7)="","",INDEX(E_SourceStreams!$A:$N,EM64,BH$7)))</f>
        <v/>
      </c>
      <c r="BI64" s="703" t="str">
        <f>IF($E64="","",IF(INDEX(E_SourceStreams!$A:$N,EN64,BI$7)="","",INDEX(E_SourceStreams!$A:$N,EN64,BI$7)))</f>
        <v/>
      </c>
      <c r="BJ64" s="703" t="str">
        <f>IF($E64="","",IF(INDEX(E_SourceStreams!$A:$N,EO64,BJ$7)="","",INDEX(E_SourceStreams!$A:$N,EO64,BJ$7)))</f>
        <v/>
      </c>
      <c r="BK64" s="703" t="str">
        <f>IF($E64="","",IF(INDEX(E_SourceStreams!$A:$N,EP64,BK$7)="","",INDEX(E_SourceStreams!$A:$N,EP64,BK$7)))</f>
        <v/>
      </c>
      <c r="BL64" s="703" t="str">
        <f>IF($E64="","",IF(INDEX(E_SourceStreams!$A:$N,EQ64,BL$7)="","",INDEX(E_SourceStreams!$A:$N,EQ64,BL$7)))</f>
        <v/>
      </c>
      <c r="BM64" s="703" t="str">
        <f>IF($E64="","",IF(INDEX(E_SourceStreams!$A:$N,ER64,BM$7)="","",INDEX(E_SourceStreams!$A:$N,ER64,BM$7)))</f>
        <v/>
      </c>
      <c r="BN64" s="703" t="str">
        <f>IF($E64="","",IF(INDEX(E_SourceStreams!$A:$N,ES64,BN$7)="","",INDEX(E_SourceStreams!$A:$N,ES64,BN$7)))</f>
        <v/>
      </c>
      <c r="BO64" s="703" t="str">
        <f>IF($E64="","",IF(INDEX(E_SourceStreams!$A:$N,ET64,BO$7)="","",INDEX(E_SourceStreams!$A:$N,ET64,BO$7)))</f>
        <v/>
      </c>
      <c r="BP64" s="703" t="str">
        <f>IF($E64="","",IF(INDEX(E_SourceStreams!$A:$N,EU64,BP$7)="","",INDEX(E_SourceStreams!$A:$N,EU64,BP$7)))</f>
        <v/>
      </c>
      <c r="BQ64" s="703" t="str">
        <f>IF($E64="","",IF(INDEX(E_SourceStreams!$A:$N,EV64,BQ$7)="","",INDEX(E_SourceStreams!$A:$N,EV64,BQ$7)))</f>
        <v/>
      </c>
      <c r="BR64" s="703" t="str">
        <f>IF($E64="","",IF(INDEX(E_SourceStreams!$A:$N,EW64,BR$7)="","",INDEX(E_SourceStreams!$A:$N,EW64,BR$7)))</f>
        <v/>
      </c>
      <c r="BS64" s="703" t="str">
        <f>IF($E64="","",IF(INDEX(E_SourceStreams!$A:$N,EX64,BS$7)="","",INDEX(E_SourceStreams!$A:$N,EX64,BS$7)))</f>
        <v/>
      </c>
      <c r="BT64" s="703" t="str">
        <f>IF($E64="","",IF(INDEX(E_SourceStreams!$A:$N,EY64,BT$7)="","",INDEX(E_SourceStreams!$A:$N,EY64,BT$7)))</f>
        <v/>
      </c>
      <c r="BU64" s="625"/>
      <c r="CJ64" s="679" t="str">
        <f t="shared" si="66"/>
        <v>SourceCategory_</v>
      </c>
      <c r="CK64" s="679" t="b">
        <f>INDEX(C_InstallationDescription!$A$226:$A$332,ROWS($CI$11:CI64))="ausblenden"</f>
        <v>1</v>
      </c>
      <c r="CL64" s="679" t="str">
        <f t="shared" si="67"/>
        <v>SourceStreamName_</v>
      </c>
      <c r="CN64" s="679">
        <f t="shared" si="65"/>
        <v>3633</v>
      </c>
      <c r="CO64" s="679">
        <f t="shared" si="2"/>
        <v>3635</v>
      </c>
      <c r="CP64" s="679">
        <f t="shared" si="3"/>
        <v>3637</v>
      </c>
      <c r="CQ64" s="679">
        <f t="shared" si="4"/>
        <v>3639</v>
      </c>
      <c r="CR64" s="679">
        <f t="shared" si="5"/>
        <v>3641</v>
      </c>
      <c r="CS64" s="679">
        <f t="shared" si="6"/>
        <v>3643</v>
      </c>
      <c r="CT64" s="679">
        <f t="shared" si="7"/>
        <v>3645</v>
      </c>
      <c r="CU64" s="679">
        <f t="shared" si="8"/>
        <v>3645</v>
      </c>
      <c r="CV64" s="679">
        <f t="shared" si="9"/>
        <v>3645</v>
      </c>
      <c r="CW64" s="679">
        <f t="shared" si="10"/>
        <v>3645</v>
      </c>
      <c r="CX64" s="679">
        <f t="shared" si="11"/>
        <v>3645</v>
      </c>
      <c r="CY64" s="679">
        <f t="shared" si="12"/>
        <v>3648</v>
      </c>
      <c r="CZ64" s="679">
        <f t="shared" si="13"/>
        <v>3652</v>
      </c>
      <c r="DA64" s="679">
        <f t="shared" si="14"/>
        <v>3653</v>
      </c>
      <c r="DB64" s="679">
        <f t="shared" si="15"/>
        <v>3654</v>
      </c>
      <c r="DC64" s="679">
        <f t="shared" si="16"/>
        <v>3661</v>
      </c>
      <c r="DD64" s="679">
        <f t="shared" si="17"/>
        <v>3671</v>
      </c>
      <c r="DE64" s="679">
        <f t="shared" si="18"/>
        <v>3671</v>
      </c>
      <c r="DF64" s="679">
        <f t="shared" si="19"/>
        <v>3671</v>
      </c>
      <c r="DG64" s="679">
        <f t="shared" si="20"/>
        <v>3671</v>
      </c>
      <c r="DH64" s="679">
        <f t="shared" si="21"/>
        <v>3671</v>
      </c>
      <c r="DI64" s="679">
        <f t="shared" si="22"/>
        <v>3671</v>
      </c>
      <c r="DJ64" s="679">
        <f t="shared" si="23"/>
        <v>3671</v>
      </c>
      <c r="DK64" s="679">
        <f t="shared" si="24"/>
        <v>3662</v>
      </c>
      <c r="DL64" s="679">
        <f t="shared" si="25"/>
        <v>3672</v>
      </c>
      <c r="DM64" s="679">
        <f t="shared" si="26"/>
        <v>3672</v>
      </c>
      <c r="DN64" s="679">
        <f t="shared" si="27"/>
        <v>3672</v>
      </c>
      <c r="DO64" s="679">
        <f t="shared" si="28"/>
        <v>3672</v>
      </c>
      <c r="DP64" s="679">
        <f t="shared" si="29"/>
        <v>3672</v>
      </c>
      <c r="DQ64" s="679">
        <f t="shared" si="30"/>
        <v>3672</v>
      </c>
      <c r="DR64" s="679">
        <f t="shared" si="31"/>
        <v>3672</v>
      </c>
      <c r="DS64" s="679">
        <f t="shared" si="32"/>
        <v>3663</v>
      </c>
      <c r="DT64" s="679">
        <f t="shared" si="33"/>
        <v>3673</v>
      </c>
      <c r="DU64" s="679">
        <f t="shared" si="34"/>
        <v>3673</v>
      </c>
      <c r="DV64" s="679">
        <f t="shared" si="35"/>
        <v>3673</v>
      </c>
      <c r="DW64" s="679">
        <f t="shared" si="36"/>
        <v>3673</v>
      </c>
      <c r="DX64" s="679">
        <f t="shared" si="37"/>
        <v>3673</v>
      </c>
      <c r="DY64" s="679">
        <f t="shared" si="38"/>
        <v>3673</v>
      </c>
      <c r="DZ64" s="679">
        <f t="shared" si="39"/>
        <v>3673</v>
      </c>
      <c r="EA64" s="679">
        <f t="shared" si="40"/>
        <v>3664</v>
      </c>
      <c r="EB64" s="679">
        <f t="shared" si="41"/>
        <v>3674</v>
      </c>
      <c r="EC64" s="679">
        <f t="shared" si="42"/>
        <v>3674</v>
      </c>
      <c r="ED64" s="679">
        <f t="shared" si="43"/>
        <v>3674</v>
      </c>
      <c r="EE64" s="679">
        <f t="shared" si="44"/>
        <v>3674</v>
      </c>
      <c r="EF64" s="679">
        <f t="shared" si="45"/>
        <v>3674</v>
      </c>
      <c r="EG64" s="679">
        <f t="shared" si="46"/>
        <v>3674</v>
      </c>
      <c r="EH64" s="679">
        <f t="shared" si="47"/>
        <v>3674</v>
      </c>
      <c r="EI64" s="679">
        <f t="shared" si="48"/>
        <v>3665</v>
      </c>
      <c r="EJ64" s="679">
        <f t="shared" si="49"/>
        <v>3675</v>
      </c>
      <c r="EK64" s="679">
        <f t="shared" si="50"/>
        <v>3675</v>
      </c>
      <c r="EL64" s="679">
        <f t="shared" si="51"/>
        <v>3675</v>
      </c>
      <c r="EM64" s="679">
        <f t="shared" si="52"/>
        <v>3675</v>
      </c>
      <c r="EN64" s="679">
        <f t="shared" si="53"/>
        <v>3675</v>
      </c>
      <c r="EO64" s="679">
        <f t="shared" si="54"/>
        <v>3675</v>
      </c>
      <c r="EP64" s="679">
        <f t="shared" si="55"/>
        <v>3675</v>
      </c>
      <c r="EQ64" s="679">
        <f t="shared" si="56"/>
        <v>3666</v>
      </c>
      <c r="ER64" s="679">
        <f t="shared" si="57"/>
        <v>3676</v>
      </c>
      <c r="ES64" s="679">
        <f t="shared" si="58"/>
        <v>3676</v>
      </c>
      <c r="ET64" s="679">
        <f t="shared" si="59"/>
        <v>3676</v>
      </c>
      <c r="EU64" s="679">
        <f t="shared" si="60"/>
        <v>3676</v>
      </c>
      <c r="EV64" s="679">
        <f t="shared" si="61"/>
        <v>3676</v>
      </c>
      <c r="EW64" s="679">
        <f t="shared" si="62"/>
        <v>3676</v>
      </c>
      <c r="EX64" s="679">
        <f t="shared" si="63"/>
        <v>3676</v>
      </c>
      <c r="EY64" s="679">
        <f t="shared" si="64"/>
        <v>3682</v>
      </c>
    </row>
    <row r="65" spans="2:155" ht="12.75" customHeight="1" x14ac:dyDescent="0.2">
      <c r="B65" s="700" t="str">
        <f>IF(COUNTIF($CK$10:CK65,TRUE)&gt;0,"",INDEX(C_InstallationDescription!$E$226:$E$242,ROWS($A$11:A65)))</f>
        <v/>
      </c>
      <c r="C65" s="581" t="str">
        <f>IF($E65="","",INDEX(C_InstallationDescription!F:F,MATCH($B65,C_InstallationDescription!$E:$E,0)))</f>
        <v/>
      </c>
      <c r="D65" s="581" t="str">
        <f>IF($E65="","",INDEX(C_InstallationDescription!I:I,MATCH($B65,C_InstallationDescription!$E:$E,0)))</f>
        <v/>
      </c>
      <c r="E65" s="581" t="str">
        <f>IF($B65="","",INDEX(C_InstallationDescription!F:F,MATCH($CJ65,C_InstallationDescription!$Q:$Q,0)))</f>
        <v/>
      </c>
      <c r="F65" s="706" t="str">
        <f>IF($E65="","",INDEX(C_InstallationDescription!L:L,MATCH($CJ65,C_InstallationDescription!$Q:$Q,0)))</f>
        <v/>
      </c>
      <c r="G65" s="581" t="str">
        <f>IF($E65="","",INDEX(C_InstallationDescription!M:M,MATCH($CJ65,C_InstallationDescription!$Q:$Q,0)))</f>
        <v/>
      </c>
      <c r="H65" s="581" t="str">
        <f>IF($E65="","",INDEX(C_InstallationDescription!N:N,MATCH($CJ65,C_InstallationDescription!$Q:$Q,0)))</f>
        <v/>
      </c>
      <c r="I65" s="703" t="str">
        <f>IF($E65="","",IF(INDEX(E_SourceStreams!$A:$N,CN65,I$7)="","",INDEX(E_SourceStreams!$A:$N,CN65,I$7)))</f>
        <v/>
      </c>
      <c r="J65" s="703" t="str">
        <f>IF($E65="","",IF(INDEX(E_SourceStreams!$A:$N,CO65,J$7)="","",INDEX(E_SourceStreams!$A:$N,CO65,J$7)))</f>
        <v/>
      </c>
      <c r="K65" s="703" t="str">
        <f>IF($E65="","",IF(INDEX(E_SourceStreams!$A:$N,CP65,K$7)="","",INDEX(E_SourceStreams!$A:$N,CP65,K$7)))</f>
        <v/>
      </c>
      <c r="L65" s="703" t="str">
        <f>IF($E65="","",IF(INDEX(E_SourceStreams!$A:$N,CQ65,L$7)="","",INDEX(E_SourceStreams!$A:$N,CQ65,L$7)))</f>
        <v/>
      </c>
      <c r="M65" s="703" t="str">
        <f>IF($E65="","",IF(INDEX(E_SourceStreams!$A:$N,CR65,M$7)="","",INDEX(E_SourceStreams!$A:$N,CR65,M$7)))</f>
        <v/>
      </c>
      <c r="N65" s="703" t="str">
        <f>IF($E65="","",IF(INDEX(E_SourceStreams!$A:$N,CS65,N$7)="","",INDEX(E_SourceStreams!$A:$N,CS65,N$7)))</f>
        <v/>
      </c>
      <c r="O65" s="703" t="str">
        <f>IF($E65="","",IF(INDEX(E_SourceStreams!$A:$N,CT65,O$7)="","",INDEX(E_SourceStreams!$A:$N,CT65,O$7)))</f>
        <v/>
      </c>
      <c r="P65" s="703" t="str">
        <f>IF($E65="","",IF(INDEX(E_SourceStreams!$A:$N,CU65,P$7)="","",INDEX(E_SourceStreams!$A:$N,CU65,P$7)))</f>
        <v/>
      </c>
      <c r="Q65" s="703" t="str">
        <f>IF($E65="","",IF(INDEX(E_SourceStreams!$A:$N,CV65,Q$7)="","",INDEX(E_SourceStreams!$A:$N,CV65,Q$7)))</f>
        <v/>
      </c>
      <c r="R65" s="703" t="str">
        <f>IF($E65="","",IF(INDEX(E_SourceStreams!$A:$N,CW65,R$7)="","",INDEX(E_SourceStreams!$A:$N,CW65,R$7)))</f>
        <v/>
      </c>
      <c r="S65" s="703" t="str">
        <f>IF($E65="","",IF(INDEX(E_SourceStreams!$A:$N,CX65,S$7)="","",INDEX(E_SourceStreams!$A:$N,CX65,S$7)))</f>
        <v/>
      </c>
      <c r="T65" s="703" t="str">
        <f>IF($E65="","",IF(INDEX(E_SourceStreams!$A:$N,CY65,T$7)="","",INDEX(E_SourceStreams!$A:$N,CY65,T$7)))</f>
        <v/>
      </c>
      <c r="U65" s="703" t="str">
        <f>IF($E65="","",IF(INDEX(E_SourceStreams!$A:$N,CZ65,U$7)="","",INDEX(E_SourceStreams!$A:$N,CZ65,U$7)))</f>
        <v/>
      </c>
      <c r="V65" s="703" t="str">
        <f>IF($E65="","",IF(INDEX(E_SourceStreams!$A:$N,DA65,V$7)="","",INDEX(E_SourceStreams!$A:$N,DA65,V$7)))</f>
        <v/>
      </c>
      <c r="W65" s="704" t="str">
        <f>IF($E65="","",IF(INDEX(E_SourceStreams!$A:$N,DB65,W$7)="","",INDEX(E_SourceStreams!$A:$N,DB65,W$7)))</f>
        <v/>
      </c>
      <c r="X65" s="703" t="str">
        <f>IF($E65="","",IF(INDEX(E_SourceStreams!$A:$N,DC65,X$7)="","",INDEX(E_SourceStreams!$A:$N,DC65,X$7)))</f>
        <v/>
      </c>
      <c r="Y65" s="703" t="str">
        <f>IF($E65="","",IF(INDEX(E_SourceStreams!$A:$N,DD65,Y$7)="","",INDEX(E_SourceStreams!$A:$N,DD65,Y$7)))</f>
        <v/>
      </c>
      <c r="Z65" s="703" t="str">
        <f>IF($E65="","",IF(INDEX(E_SourceStreams!$A:$N,DE65,Z$7)="","",INDEX(E_SourceStreams!$A:$N,DE65,Z$7)))</f>
        <v/>
      </c>
      <c r="AA65" s="703" t="str">
        <f>IF($E65="","",IF(INDEX(E_SourceStreams!$A:$N,DF65,AA$7)="","",INDEX(E_SourceStreams!$A:$N,DF65,AA$7)))</f>
        <v/>
      </c>
      <c r="AB65" s="703" t="str">
        <f>IF($E65="","",IF(INDEX(E_SourceStreams!$A:$N,DG65,AB$7)="","",INDEX(E_SourceStreams!$A:$N,DG65,AB$7)))</f>
        <v/>
      </c>
      <c r="AC65" s="703" t="str">
        <f>IF($E65="","",IF(INDEX(E_SourceStreams!$A:$N,DH65,AC$7)="","",INDEX(E_SourceStreams!$A:$N,DH65,AC$7)))</f>
        <v/>
      </c>
      <c r="AD65" s="703" t="str">
        <f>IF($E65="","",IF(INDEX(E_SourceStreams!$A:$N,DI65,AD$7)="","",INDEX(E_SourceStreams!$A:$N,DI65,AD$7)))</f>
        <v/>
      </c>
      <c r="AE65" s="703" t="str">
        <f>IF($E65="","",IF(INDEX(E_SourceStreams!$A:$N,DJ65,AE$7)="","",INDEX(E_SourceStreams!$A:$N,DJ65,AE$7)))</f>
        <v/>
      </c>
      <c r="AF65" s="703" t="str">
        <f>IF($E65="","",IF(INDEX(E_SourceStreams!$A:$N,DK65,AF$7)="","",INDEX(E_SourceStreams!$A:$N,DK65,AF$7)))</f>
        <v/>
      </c>
      <c r="AG65" s="703" t="str">
        <f>IF($E65="","",IF(INDEX(E_SourceStreams!$A:$N,DL65,AG$7)="","",INDEX(E_SourceStreams!$A:$N,DL65,AG$7)))</f>
        <v/>
      </c>
      <c r="AH65" s="703" t="str">
        <f>IF($E65="","",IF(INDEX(E_SourceStreams!$A:$N,DM65,AH$7)="","",INDEX(E_SourceStreams!$A:$N,DM65,AH$7)))</f>
        <v/>
      </c>
      <c r="AI65" s="703" t="str">
        <f>IF($E65="","",IF(INDEX(E_SourceStreams!$A:$N,DN65,AI$7)="","",INDEX(E_SourceStreams!$A:$N,DN65,AI$7)))</f>
        <v/>
      </c>
      <c r="AJ65" s="703" t="str">
        <f>IF($E65="","",IF(INDEX(E_SourceStreams!$A:$N,DO65,AJ$7)="","",INDEX(E_SourceStreams!$A:$N,DO65,AJ$7)))</f>
        <v/>
      </c>
      <c r="AK65" s="703" t="str">
        <f>IF($E65="","",IF(INDEX(E_SourceStreams!$A:$N,DP65,AK$7)="","",INDEX(E_SourceStreams!$A:$N,DP65,AK$7)))</f>
        <v/>
      </c>
      <c r="AL65" s="703" t="str">
        <f>IF($E65="","",IF(INDEX(E_SourceStreams!$A:$N,DQ65,AL$7)="","",INDEX(E_SourceStreams!$A:$N,DQ65,AL$7)))</f>
        <v/>
      </c>
      <c r="AM65" s="703" t="str">
        <f>IF($E65="","",IF(INDEX(E_SourceStreams!$A:$N,DR65,AM$7)="","",INDEX(E_SourceStreams!$A:$N,DR65,AM$7)))</f>
        <v/>
      </c>
      <c r="AN65" s="703" t="str">
        <f>IF($E65="","",IF(INDEX(E_SourceStreams!$A:$N,DS65,AN$7)="","",INDEX(E_SourceStreams!$A:$N,DS65,AN$7)))</f>
        <v/>
      </c>
      <c r="AO65" s="703" t="str">
        <f>IF($E65="","",IF(INDEX(E_SourceStreams!$A:$N,DT65,AO$7)="","",INDEX(E_SourceStreams!$A:$N,DT65,AO$7)))</f>
        <v/>
      </c>
      <c r="AP65" s="703" t="str">
        <f>IF($E65="","",IF(INDEX(E_SourceStreams!$A:$N,DU65,AP$7)="","",INDEX(E_SourceStreams!$A:$N,DU65,AP$7)))</f>
        <v/>
      </c>
      <c r="AQ65" s="703" t="str">
        <f>IF($E65="","",IF(INDEX(E_SourceStreams!$A:$N,DV65,AQ$7)="","",INDEX(E_SourceStreams!$A:$N,DV65,AQ$7)))</f>
        <v/>
      </c>
      <c r="AR65" s="703" t="str">
        <f>IF($E65="","",IF(INDEX(E_SourceStreams!$A:$N,DW65,AR$7)="","",INDEX(E_SourceStreams!$A:$N,DW65,AR$7)))</f>
        <v/>
      </c>
      <c r="AS65" s="703" t="str">
        <f>IF($E65="","",IF(INDEX(E_SourceStreams!$A:$N,DX65,AS$7)="","",INDEX(E_SourceStreams!$A:$N,DX65,AS$7)))</f>
        <v/>
      </c>
      <c r="AT65" s="703" t="str">
        <f>IF($E65="","",IF(INDEX(E_SourceStreams!$A:$N,DY65,AT$7)="","",INDEX(E_SourceStreams!$A:$N,DY65,AT$7)))</f>
        <v/>
      </c>
      <c r="AU65" s="703" t="str">
        <f>IF($E65="","",IF(INDEX(E_SourceStreams!$A:$N,DZ65,AU$7)="","",INDEX(E_SourceStreams!$A:$N,DZ65,AU$7)))</f>
        <v/>
      </c>
      <c r="AV65" s="703" t="str">
        <f>IF($E65="","",IF(INDEX(E_SourceStreams!$A:$N,EA65,AV$7)="","",INDEX(E_SourceStreams!$A:$N,EA65,AV$7)))</f>
        <v/>
      </c>
      <c r="AW65" s="703" t="str">
        <f>IF($E65="","",IF(INDEX(E_SourceStreams!$A:$N,EB65,AW$7)="","",INDEX(E_SourceStreams!$A:$N,EB65,AW$7)))</f>
        <v/>
      </c>
      <c r="AX65" s="703" t="str">
        <f>IF($E65="","",IF(INDEX(E_SourceStreams!$A:$N,EC65,AX$7)="","",INDEX(E_SourceStreams!$A:$N,EC65,AX$7)))</f>
        <v/>
      </c>
      <c r="AY65" s="703" t="str">
        <f>IF($E65="","",IF(INDEX(E_SourceStreams!$A:$N,ED65,AY$7)="","",INDEX(E_SourceStreams!$A:$N,ED65,AY$7)))</f>
        <v/>
      </c>
      <c r="AZ65" s="703" t="str">
        <f>IF($E65="","",IF(INDEX(E_SourceStreams!$A:$N,EE65,AZ$7)="","",INDEX(E_SourceStreams!$A:$N,EE65,AZ$7)))</f>
        <v/>
      </c>
      <c r="BA65" s="703" t="str">
        <f>IF($E65="","",IF(INDEX(E_SourceStreams!$A:$N,EF65,BA$7)="","",INDEX(E_SourceStreams!$A:$N,EF65,BA$7)))</f>
        <v/>
      </c>
      <c r="BB65" s="703" t="str">
        <f>IF($E65="","",IF(INDEX(E_SourceStreams!$A:$N,EG65,BB$7)="","",INDEX(E_SourceStreams!$A:$N,EG65,BB$7)))</f>
        <v/>
      </c>
      <c r="BC65" s="703" t="str">
        <f>IF($E65="","",IF(INDEX(E_SourceStreams!$A:$N,EH65,BC$7)="","",INDEX(E_SourceStreams!$A:$N,EH65,BC$7)))</f>
        <v/>
      </c>
      <c r="BD65" s="703" t="str">
        <f>IF($E65="","",IF(INDEX(E_SourceStreams!$A:$N,EI65,BD$7)="","",INDEX(E_SourceStreams!$A:$N,EI65,BD$7)))</f>
        <v/>
      </c>
      <c r="BE65" s="703" t="str">
        <f>IF($E65="","",IF(INDEX(E_SourceStreams!$A:$N,EJ65,BE$7)="","",INDEX(E_SourceStreams!$A:$N,EJ65,BE$7)))</f>
        <v/>
      </c>
      <c r="BF65" s="703" t="str">
        <f>IF($E65="","",IF(INDEX(E_SourceStreams!$A:$N,EK65,BF$7)="","",INDEX(E_SourceStreams!$A:$N,EK65,BF$7)))</f>
        <v/>
      </c>
      <c r="BG65" s="703" t="str">
        <f>IF($E65="","",IF(INDEX(E_SourceStreams!$A:$N,EL65,BG$7)="","",INDEX(E_SourceStreams!$A:$N,EL65,BG$7)))</f>
        <v/>
      </c>
      <c r="BH65" s="703" t="str">
        <f>IF($E65="","",IF(INDEX(E_SourceStreams!$A:$N,EM65,BH$7)="","",INDEX(E_SourceStreams!$A:$N,EM65,BH$7)))</f>
        <v/>
      </c>
      <c r="BI65" s="703" t="str">
        <f>IF($E65="","",IF(INDEX(E_SourceStreams!$A:$N,EN65,BI$7)="","",INDEX(E_SourceStreams!$A:$N,EN65,BI$7)))</f>
        <v/>
      </c>
      <c r="BJ65" s="703" t="str">
        <f>IF($E65="","",IF(INDEX(E_SourceStreams!$A:$N,EO65,BJ$7)="","",INDEX(E_SourceStreams!$A:$N,EO65,BJ$7)))</f>
        <v/>
      </c>
      <c r="BK65" s="703" t="str">
        <f>IF($E65="","",IF(INDEX(E_SourceStreams!$A:$N,EP65,BK$7)="","",INDEX(E_SourceStreams!$A:$N,EP65,BK$7)))</f>
        <v/>
      </c>
      <c r="BL65" s="703" t="str">
        <f>IF($E65="","",IF(INDEX(E_SourceStreams!$A:$N,EQ65,BL$7)="","",INDEX(E_SourceStreams!$A:$N,EQ65,BL$7)))</f>
        <v/>
      </c>
      <c r="BM65" s="703" t="str">
        <f>IF($E65="","",IF(INDEX(E_SourceStreams!$A:$N,ER65,BM$7)="","",INDEX(E_SourceStreams!$A:$N,ER65,BM$7)))</f>
        <v/>
      </c>
      <c r="BN65" s="703" t="str">
        <f>IF($E65="","",IF(INDEX(E_SourceStreams!$A:$N,ES65,BN$7)="","",INDEX(E_SourceStreams!$A:$N,ES65,BN$7)))</f>
        <v/>
      </c>
      <c r="BO65" s="703" t="str">
        <f>IF($E65="","",IF(INDEX(E_SourceStreams!$A:$N,ET65,BO$7)="","",INDEX(E_SourceStreams!$A:$N,ET65,BO$7)))</f>
        <v/>
      </c>
      <c r="BP65" s="703" t="str">
        <f>IF($E65="","",IF(INDEX(E_SourceStreams!$A:$N,EU65,BP$7)="","",INDEX(E_SourceStreams!$A:$N,EU65,BP$7)))</f>
        <v/>
      </c>
      <c r="BQ65" s="703" t="str">
        <f>IF($E65="","",IF(INDEX(E_SourceStreams!$A:$N,EV65,BQ$7)="","",INDEX(E_SourceStreams!$A:$N,EV65,BQ$7)))</f>
        <v/>
      </c>
      <c r="BR65" s="703" t="str">
        <f>IF($E65="","",IF(INDEX(E_SourceStreams!$A:$N,EW65,BR$7)="","",INDEX(E_SourceStreams!$A:$N,EW65,BR$7)))</f>
        <v/>
      </c>
      <c r="BS65" s="703" t="str">
        <f>IF($E65="","",IF(INDEX(E_SourceStreams!$A:$N,EX65,BS$7)="","",INDEX(E_SourceStreams!$A:$N,EX65,BS$7)))</f>
        <v/>
      </c>
      <c r="BT65" s="703" t="str">
        <f>IF($E65="","",IF(INDEX(E_SourceStreams!$A:$N,EY65,BT$7)="","",INDEX(E_SourceStreams!$A:$N,EY65,BT$7)))</f>
        <v/>
      </c>
      <c r="BU65" s="625"/>
      <c r="CJ65" s="679" t="str">
        <f t="shared" si="66"/>
        <v>SourceCategory_</v>
      </c>
      <c r="CK65" s="679" t="b">
        <f>INDEX(C_InstallationDescription!$A$226:$A$332,ROWS($CI$11:CI65))="ausblenden"</f>
        <v>1</v>
      </c>
      <c r="CL65" s="679" t="str">
        <f t="shared" si="67"/>
        <v>SourceStreamName_</v>
      </c>
      <c r="CN65" s="679">
        <f t="shared" si="65"/>
        <v>3699</v>
      </c>
      <c r="CO65" s="679">
        <f t="shared" si="2"/>
        <v>3701</v>
      </c>
      <c r="CP65" s="679">
        <f t="shared" si="3"/>
        <v>3703</v>
      </c>
      <c r="CQ65" s="679">
        <f t="shared" si="4"/>
        <v>3705</v>
      </c>
      <c r="CR65" s="679">
        <f t="shared" si="5"/>
        <v>3707</v>
      </c>
      <c r="CS65" s="679">
        <f t="shared" si="6"/>
        <v>3709</v>
      </c>
      <c r="CT65" s="679">
        <f t="shared" si="7"/>
        <v>3711</v>
      </c>
      <c r="CU65" s="679">
        <f t="shared" si="8"/>
        <v>3711</v>
      </c>
      <c r="CV65" s="679">
        <f t="shared" si="9"/>
        <v>3711</v>
      </c>
      <c r="CW65" s="679">
        <f t="shared" si="10"/>
        <v>3711</v>
      </c>
      <c r="CX65" s="679">
        <f t="shared" si="11"/>
        <v>3711</v>
      </c>
      <c r="CY65" s="679">
        <f t="shared" si="12"/>
        <v>3714</v>
      </c>
      <c r="CZ65" s="679">
        <f t="shared" si="13"/>
        <v>3718</v>
      </c>
      <c r="DA65" s="679">
        <f t="shared" si="14"/>
        <v>3719</v>
      </c>
      <c r="DB65" s="679">
        <f t="shared" si="15"/>
        <v>3720</v>
      </c>
      <c r="DC65" s="679">
        <f t="shared" si="16"/>
        <v>3727</v>
      </c>
      <c r="DD65" s="679">
        <f t="shared" si="17"/>
        <v>3737</v>
      </c>
      <c r="DE65" s="679">
        <f t="shared" si="18"/>
        <v>3737</v>
      </c>
      <c r="DF65" s="679">
        <f t="shared" si="19"/>
        <v>3737</v>
      </c>
      <c r="DG65" s="679">
        <f t="shared" si="20"/>
        <v>3737</v>
      </c>
      <c r="DH65" s="679">
        <f t="shared" si="21"/>
        <v>3737</v>
      </c>
      <c r="DI65" s="679">
        <f t="shared" si="22"/>
        <v>3737</v>
      </c>
      <c r="DJ65" s="679">
        <f t="shared" si="23"/>
        <v>3737</v>
      </c>
      <c r="DK65" s="679">
        <f t="shared" si="24"/>
        <v>3728</v>
      </c>
      <c r="DL65" s="679">
        <f t="shared" si="25"/>
        <v>3738</v>
      </c>
      <c r="DM65" s="679">
        <f t="shared" si="26"/>
        <v>3738</v>
      </c>
      <c r="DN65" s="679">
        <f t="shared" si="27"/>
        <v>3738</v>
      </c>
      <c r="DO65" s="679">
        <f t="shared" si="28"/>
        <v>3738</v>
      </c>
      <c r="DP65" s="679">
        <f t="shared" si="29"/>
        <v>3738</v>
      </c>
      <c r="DQ65" s="679">
        <f t="shared" si="30"/>
        <v>3738</v>
      </c>
      <c r="DR65" s="679">
        <f t="shared" si="31"/>
        <v>3738</v>
      </c>
      <c r="DS65" s="679">
        <f t="shared" si="32"/>
        <v>3729</v>
      </c>
      <c r="DT65" s="679">
        <f t="shared" si="33"/>
        <v>3739</v>
      </c>
      <c r="DU65" s="679">
        <f t="shared" si="34"/>
        <v>3739</v>
      </c>
      <c r="DV65" s="679">
        <f t="shared" si="35"/>
        <v>3739</v>
      </c>
      <c r="DW65" s="679">
        <f t="shared" si="36"/>
        <v>3739</v>
      </c>
      <c r="DX65" s="679">
        <f t="shared" si="37"/>
        <v>3739</v>
      </c>
      <c r="DY65" s="679">
        <f t="shared" si="38"/>
        <v>3739</v>
      </c>
      <c r="DZ65" s="679">
        <f t="shared" si="39"/>
        <v>3739</v>
      </c>
      <c r="EA65" s="679">
        <f t="shared" si="40"/>
        <v>3730</v>
      </c>
      <c r="EB65" s="679">
        <f t="shared" si="41"/>
        <v>3740</v>
      </c>
      <c r="EC65" s="679">
        <f t="shared" si="42"/>
        <v>3740</v>
      </c>
      <c r="ED65" s="679">
        <f t="shared" si="43"/>
        <v>3740</v>
      </c>
      <c r="EE65" s="679">
        <f t="shared" si="44"/>
        <v>3740</v>
      </c>
      <c r="EF65" s="679">
        <f t="shared" si="45"/>
        <v>3740</v>
      </c>
      <c r="EG65" s="679">
        <f t="shared" si="46"/>
        <v>3740</v>
      </c>
      <c r="EH65" s="679">
        <f t="shared" si="47"/>
        <v>3740</v>
      </c>
      <c r="EI65" s="679">
        <f t="shared" si="48"/>
        <v>3731</v>
      </c>
      <c r="EJ65" s="679">
        <f t="shared" si="49"/>
        <v>3741</v>
      </c>
      <c r="EK65" s="679">
        <f t="shared" si="50"/>
        <v>3741</v>
      </c>
      <c r="EL65" s="679">
        <f t="shared" si="51"/>
        <v>3741</v>
      </c>
      <c r="EM65" s="679">
        <f t="shared" si="52"/>
        <v>3741</v>
      </c>
      <c r="EN65" s="679">
        <f t="shared" si="53"/>
        <v>3741</v>
      </c>
      <c r="EO65" s="679">
        <f t="shared" si="54"/>
        <v>3741</v>
      </c>
      <c r="EP65" s="679">
        <f t="shared" si="55"/>
        <v>3741</v>
      </c>
      <c r="EQ65" s="679">
        <f t="shared" si="56"/>
        <v>3732</v>
      </c>
      <c r="ER65" s="679">
        <f t="shared" si="57"/>
        <v>3742</v>
      </c>
      <c r="ES65" s="679">
        <f t="shared" si="58"/>
        <v>3742</v>
      </c>
      <c r="ET65" s="679">
        <f t="shared" si="59"/>
        <v>3742</v>
      </c>
      <c r="EU65" s="679">
        <f t="shared" si="60"/>
        <v>3742</v>
      </c>
      <c r="EV65" s="679">
        <f t="shared" si="61"/>
        <v>3742</v>
      </c>
      <c r="EW65" s="679">
        <f t="shared" si="62"/>
        <v>3742</v>
      </c>
      <c r="EX65" s="679">
        <f t="shared" si="63"/>
        <v>3742</v>
      </c>
      <c r="EY65" s="679">
        <f t="shared" si="64"/>
        <v>3748</v>
      </c>
    </row>
    <row r="66" spans="2:155" ht="12.75" customHeight="1" x14ac:dyDescent="0.2">
      <c r="B66" s="700" t="str">
        <f>IF(COUNTIF($CK$10:CK66,TRUE)&gt;0,"",INDEX(C_InstallationDescription!$E$226:$E$242,ROWS($A$11:A66)))</f>
        <v/>
      </c>
      <c r="C66" s="581" t="str">
        <f>IF($E66="","",INDEX(C_InstallationDescription!F:F,MATCH($B66,C_InstallationDescription!$E:$E,0)))</f>
        <v/>
      </c>
      <c r="D66" s="581" t="str">
        <f>IF($E66="","",INDEX(C_InstallationDescription!I:I,MATCH($B66,C_InstallationDescription!$E:$E,0)))</f>
        <v/>
      </c>
      <c r="E66" s="581" t="str">
        <f>IF($B66="","",INDEX(C_InstallationDescription!F:F,MATCH($CJ66,C_InstallationDescription!$Q:$Q,0)))</f>
        <v/>
      </c>
      <c r="F66" s="706" t="str">
        <f>IF($E66="","",INDEX(C_InstallationDescription!L:L,MATCH($CJ66,C_InstallationDescription!$Q:$Q,0)))</f>
        <v/>
      </c>
      <c r="G66" s="581" t="str">
        <f>IF($E66="","",INDEX(C_InstallationDescription!M:M,MATCH($CJ66,C_InstallationDescription!$Q:$Q,0)))</f>
        <v/>
      </c>
      <c r="H66" s="581" t="str">
        <f>IF($E66="","",INDEX(C_InstallationDescription!N:N,MATCH($CJ66,C_InstallationDescription!$Q:$Q,0)))</f>
        <v/>
      </c>
      <c r="I66" s="703" t="str">
        <f>IF($E66="","",IF(INDEX(E_SourceStreams!$A:$N,CN66,I$7)="","",INDEX(E_SourceStreams!$A:$N,CN66,I$7)))</f>
        <v/>
      </c>
      <c r="J66" s="703" t="str">
        <f>IF($E66="","",IF(INDEX(E_SourceStreams!$A:$N,CO66,J$7)="","",INDEX(E_SourceStreams!$A:$N,CO66,J$7)))</f>
        <v/>
      </c>
      <c r="K66" s="703" t="str">
        <f>IF($E66="","",IF(INDEX(E_SourceStreams!$A:$N,CP66,K$7)="","",INDEX(E_SourceStreams!$A:$N,CP66,K$7)))</f>
        <v/>
      </c>
      <c r="L66" s="703" t="str">
        <f>IF($E66="","",IF(INDEX(E_SourceStreams!$A:$N,CQ66,L$7)="","",INDEX(E_SourceStreams!$A:$N,CQ66,L$7)))</f>
        <v/>
      </c>
      <c r="M66" s="703" t="str">
        <f>IF($E66="","",IF(INDEX(E_SourceStreams!$A:$N,CR66,M$7)="","",INDEX(E_SourceStreams!$A:$N,CR66,M$7)))</f>
        <v/>
      </c>
      <c r="N66" s="703" t="str">
        <f>IF($E66="","",IF(INDEX(E_SourceStreams!$A:$N,CS66,N$7)="","",INDEX(E_SourceStreams!$A:$N,CS66,N$7)))</f>
        <v/>
      </c>
      <c r="O66" s="703" t="str">
        <f>IF($E66="","",IF(INDEX(E_SourceStreams!$A:$N,CT66,O$7)="","",INDEX(E_SourceStreams!$A:$N,CT66,O$7)))</f>
        <v/>
      </c>
      <c r="P66" s="703" t="str">
        <f>IF($E66="","",IF(INDEX(E_SourceStreams!$A:$N,CU66,P$7)="","",INDEX(E_SourceStreams!$A:$N,CU66,P$7)))</f>
        <v/>
      </c>
      <c r="Q66" s="703" t="str">
        <f>IF($E66="","",IF(INDEX(E_SourceStreams!$A:$N,CV66,Q$7)="","",INDEX(E_SourceStreams!$A:$N,CV66,Q$7)))</f>
        <v/>
      </c>
      <c r="R66" s="703" t="str">
        <f>IF($E66="","",IF(INDEX(E_SourceStreams!$A:$N,CW66,R$7)="","",INDEX(E_SourceStreams!$A:$N,CW66,R$7)))</f>
        <v/>
      </c>
      <c r="S66" s="703" t="str">
        <f>IF($E66="","",IF(INDEX(E_SourceStreams!$A:$N,CX66,S$7)="","",INDEX(E_SourceStreams!$A:$N,CX66,S$7)))</f>
        <v/>
      </c>
      <c r="T66" s="703" t="str">
        <f>IF($E66="","",IF(INDEX(E_SourceStreams!$A:$N,CY66,T$7)="","",INDEX(E_SourceStreams!$A:$N,CY66,T$7)))</f>
        <v/>
      </c>
      <c r="U66" s="703" t="str">
        <f>IF($E66="","",IF(INDEX(E_SourceStreams!$A:$N,CZ66,U$7)="","",INDEX(E_SourceStreams!$A:$N,CZ66,U$7)))</f>
        <v/>
      </c>
      <c r="V66" s="703" t="str">
        <f>IF($E66="","",IF(INDEX(E_SourceStreams!$A:$N,DA66,V$7)="","",INDEX(E_SourceStreams!$A:$N,DA66,V$7)))</f>
        <v/>
      </c>
      <c r="W66" s="704" t="str">
        <f>IF($E66="","",IF(INDEX(E_SourceStreams!$A:$N,DB66,W$7)="","",INDEX(E_SourceStreams!$A:$N,DB66,W$7)))</f>
        <v/>
      </c>
      <c r="X66" s="703" t="str">
        <f>IF($E66="","",IF(INDEX(E_SourceStreams!$A:$N,DC66,X$7)="","",INDEX(E_SourceStreams!$A:$N,DC66,X$7)))</f>
        <v/>
      </c>
      <c r="Y66" s="703" t="str">
        <f>IF($E66="","",IF(INDEX(E_SourceStreams!$A:$N,DD66,Y$7)="","",INDEX(E_SourceStreams!$A:$N,DD66,Y$7)))</f>
        <v/>
      </c>
      <c r="Z66" s="703" t="str">
        <f>IF($E66="","",IF(INDEX(E_SourceStreams!$A:$N,DE66,Z$7)="","",INDEX(E_SourceStreams!$A:$N,DE66,Z$7)))</f>
        <v/>
      </c>
      <c r="AA66" s="703" t="str">
        <f>IF($E66="","",IF(INDEX(E_SourceStreams!$A:$N,DF66,AA$7)="","",INDEX(E_SourceStreams!$A:$N,DF66,AA$7)))</f>
        <v/>
      </c>
      <c r="AB66" s="703" t="str">
        <f>IF($E66="","",IF(INDEX(E_SourceStreams!$A:$N,DG66,AB$7)="","",INDEX(E_SourceStreams!$A:$N,DG66,AB$7)))</f>
        <v/>
      </c>
      <c r="AC66" s="703" t="str">
        <f>IF($E66="","",IF(INDEX(E_SourceStreams!$A:$N,DH66,AC$7)="","",INDEX(E_SourceStreams!$A:$N,DH66,AC$7)))</f>
        <v/>
      </c>
      <c r="AD66" s="703" t="str">
        <f>IF($E66="","",IF(INDEX(E_SourceStreams!$A:$N,DI66,AD$7)="","",INDEX(E_SourceStreams!$A:$N,DI66,AD$7)))</f>
        <v/>
      </c>
      <c r="AE66" s="703" t="str">
        <f>IF($E66="","",IF(INDEX(E_SourceStreams!$A:$N,DJ66,AE$7)="","",INDEX(E_SourceStreams!$A:$N,DJ66,AE$7)))</f>
        <v/>
      </c>
      <c r="AF66" s="703" t="str">
        <f>IF($E66="","",IF(INDEX(E_SourceStreams!$A:$N,DK66,AF$7)="","",INDEX(E_SourceStreams!$A:$N,DK66,AF$7)))</f>
        <v/>
      </c>
      <c r="AG66" s="703" t="str">
        <f>IF($E66="","",IF(INDEX(E_SourceStreams!$A:$N,DL66,AG$7)="","",INDEX(E_SourceStreams!$A:$N,DL66,AG$7)))</f>
        <v/>
      </c>
      <c r="AH66" s="703" t="str">
        <f>IF($E66="","",IF(INDEX(E_SourceStreams!$A:$N,DM66,AH$7)="","",INDEX(E_SourceStreams!$A:$N,DM66,AH$7)))</f>
        <v/>
      </c>
      <c r="AI66" s="703" t="str">
        <f>IF($E66="","",IF(INDEX(E_SourceStreams!$A:$N,DN66,AI$7)="","",INDEX(E_SourceStreams!$A:$N,DN66,AI$7)))</f>
        <v/>
      </c>
      <c r="AJ66" s="703" t="str">
        <f>IF($E66="","",IF(INDEX(E_SourceStreams!$A:$N,DO66,AJ$7)="","",INDEX(E_SourceStreams!$A:$N,DO66,AJ$7)))</f>
        <v/>
      </c>
      <c r="AK66" s="703" t="str">
        <f>IF($E66="","",IF(INDEX(E_SourceStreams!$A:$N,DP66,AK$7)="","",INDEX(E_SourceStreams!$A:$N,DP66,AK$7)))</f>
        <v/>
      </c>
      <c r="AL66" s="703" t="str">
        <f>IF($E66="","",IF(INDEX(E_SourceStreams!$A:$N,DQ66,AL$7)="","",INDEX(E_SourceStreams!$A:$N,DQ66,AL$7)))</f>
        <v/>
      </c>
      <c r="AM66" s="703" t="str">
        <f>IF($E66="","",IF(INDEX(E_SourceStreams!$A:$N,DR66,AM$7)="","",INDEX(E_SourceStreams!$A:$N,DR66,AM$7)))</f>
        <v/>
      </c>
      <c r="AN66" s="703" t="str">
        <f>IF($E66="","",IF(INDEX(E_SourceStreams!$A:$N,DS66,AN$7)="","",INDEX(E_SourceStreams!$A:$N,DS66,AN$7)))</f>
        <v/>
      </c>
      <c r="AO66" s="703" t="str">
        <f>IF($E66="","",IF(INDEX(E_SourceStreams!$A:$N,DT66,AO$7)="","",INDEX(E_SourceStreams!$A:$N,DT66,AO$7)))</f>
        <v/>
      </c>
      <c r="AP66" s="703" t="str">
        <f>IF($E66="","",IF(INDEX(E_SourceStreams!$A:$N,DU66,AP$7)="","",INDEX(E_SourceStreams!$A:$N,DU66,AP$7)))</f>
        <v/>
      </c>
      <c r="AQ66" s="703" t="str">
        <f>IF($E66="","",IF(INDEX(E_SourceStreams!$A:$N,DV66,AQ$7)="","",INDEX(E_SourceStreams!$A:$N,DV66,AQ$7)))</f>
        <v/>
      </c>
      <c r="AR66" s="703" t="str">
        <f>IF($E66="","",IF(INDEX(E_SourceStreams!$A:$N,DW66,AR$7)="","",INDEX(E_SourceStreams!$A:$N,DW66,AR$7)))</f>
        <v/>
      </c>
      <c r="AS66" s="703" t="str">
        <f>IF($E66="","",IF(INDEX(E_SourceStreams!$A:$N,DX66,AS$7)="","",INDEX(E_SourceStreams!$A:$N,DX66,AS$7)))</f>
        <v/>
      </c>
      <c r="AT66" s="703" t="str">
        <f>IF($E66="","",IF(INDEX(E_SourceStreams!$A:$N,DY66,AT$7)="","",INDEX(E_SourceStreams!$A:$N,DY66,AT$7)))</f>
        <v/>
      </c>
      <c r="AU66" s="703" t="str">
        <f>IF($E66="","",IF(INDEX(E_SourceStreams!$A:$N,DZ66,AU$7)="","",INDEX(E_SourceStreams!$A:$N,DZ66,AU$7)))</f>
        <v/>
      </c>
      <c r="AV66" s="703" t="str">
        <f>IF($E66="","",IF(INDEX(E_SourceStreams!$A:$N,EA66,AV$7)="","",INDEX(E_SourceStreams!$A:$N,EA66,AV$7)))</f>
        <v/>
      </c>
      <c r="AW66" s="703" t="str">
        <f>IF($E66="","",IF(INDEX(E_SourceStreams!$A:$N,EB66,AW$7)="","",INDEX(E_SourceStreams!$A:$N,EB66,AW$7)))</f>
        <v/>
      </c>
      <c r="AX66" s="703" t="str">
        <f>IF($E66="","",IF(INDEX(E_SourceStreams!$A:$N,EC66,AX$7)="","",INDEX(E_SourceStreams!$A:$N,EC66,AX$7)))</f>
        <v/>
      </c>
      <c r="AY66" s="703" t="str">
        <f>IF($E66="","",IF(INDEX(E_SourceStreams!$A:$N,ED66,AY$7)="","",INDEX(E_SourceStreams!$A:$N,ED66,AY$7)))</f>
        <v/>
      </c>
      <c r="AZ66" s="703" t="str">
        <f>IF($E66="","",IF(INDEX(E_SourceStreams!$A:$N,EE66,AZ$7)="","",INDEX(E_SourceStreams!$A:$N,EE66,AZ$7)))</f>
        <v/>
      </c>
      <c r="BA66" s="703" t="str">
        <f>IF($E66="","",IF(INDEX(E_SourceStreams!$A:$N,EF66,BA$7)="","",INDEX(E_SourceStreams!$A:$N,EF66,BA$7)))</f>
        <v/>
      </c>
      <c r="BB66" s="703" t="str">
        <f>IF($E66="","",IF(INDEX(E_SourceStreams!$A:$N,EG66,BB$7)="","",INDEX(E_SourceStreams!$A:$N,EG66,BB$7)))</f>
        <v/>
      </c>
      <c r="BC66" s="703" t="str">
        <f>IF($E66="","",IF(INDEX(E_SourceStreams!$A:$N,EH66,BC$7)="","",INDEX(E_SourceStreams!$A:$N,EH66,BC$7)))</f>
        <v/>
      </c>
      <c r="BD66" s="703" t="str">
        <f>IF($E66="","",IF(INDEX(E_SourceStreams!$A:$N,EI66,BD$7)="","",INDEX(E_SourceStreams!$A:$N,EI66,BD$7)))</f>
        <v/>
      </c>
      <c r="BE66" s="703" t="str">
        <f>IF($E66="","",IF(INDEX(E_SourceStreams!$A:$N,EJ66,BE$7)="","",INDEX(E_SourceStreams!$A:$N,EJ66,BE$7)))</f>
        <v/>
      </c>
      <c r="BF66" s="703" t="str">
        <f>IF($E66="","",IF(INDEX(E_SourceStreams!$A:$N,EK66,BF$7)="","",INDEX(E_SourceStreams!$A:$N,EK66,BF$7)))</f>
        <v/>
      </c>
      <c r="BG66" s="703" t="str">
        <f>IF($E66="","",IF(INDEX(E_SourceStreams!$A:$N,EL66,BG$7)="","",INDEX(E_SourceStreams!$A:$N,EL66,BG$7)))</f>
        <v/>
      </c>
      <c r="BH66" s="703" t="str">
        <f>IF($E66="","",IF(INDEX(E_SourceStreams!$A:$N,EM66,BH$7)="","",INDEX(E_SourceStreams!$A:$N,EM66,BH$7)))</f>
        <v/>
      </c>
      <c r="BI66" s="703" t="str">
        <f>IF($E66="","",IF(INDEX(E_SourceStreams!$A:$N,EN66,BI$7)="","",INDEX(E_SourceStreams!$A:$N,EN66,BI$7)))</f>
        <v/>
      </c>
      <c r="BJ66" s="703" t="str">
        <f>IF($E66="","",IF(INDEX(E_SourceStreams!$A:$N,EO66,BJ$7)="","",INDEX(E_SourceStreams!$A:$N,EO66,BJ$7)))</f>
        <v/>
      </c>
      <c r="BK66" s="703" t="str">
        <f>IF($E66="","",IF(INDEX(E_SourceStreams!$A:$N,EP66,BK$7)="","",INDEX(E_SourceStreams!$A:$N,EP66,BK$7)))</f>
        <v/>
      </c>
      <c r="BL66" s="703" t="str">
        <f>IF($E66="","",IF(INDEX(E_SourceStreams!$A:$N,EQ66,BL$7)="","",INDEX(E_SourceStreams!$A:$N,EQ66,BL$7)))</f>
        <v/>
      </c>
      <c r="BM66" s="703" t="str">
        <f>IF($E66="","",IF(INDEX(E_SourceStreams!$A:$N,ER66,BM$7)="","",INDEX(E_SourceStreams!$A:$N,ER66,BM$7)))</f>
        <v/>
      </c>
      <c r="BN66" s="703" t="str">
        <f>IF($E66="","",IF(INDEX(E_SourceStreams!$A:$N,ES66,BN$7)="","",INDEX(E_SourceStreams!$A:$N,ES66,BN$7)))</f>
        <v/>
      </c>
      <c r="BO66" s="703" t="str">
        <f>IF($E66="","",IF(INDEX(E_SourceStreams!$A:$N,ET66,BO$7)="","",INDEX(E_SourceStreams!$A:$N,ET66,BO$7)))</f>
        <v/>
      </c>
      <c r="BP66" s="703" t="str">
        <f>IF($E66="","",IF(INDEX(E_SourceStreams!$A:$N,EU66,BP$7)="","",INDEX(E_SourceStreams!$A:$N,EU66,BP$7)))</f>
        <v/>
      </c>
      <c r="BQ66" s="703" t="str">
        <f>IF($E66="","",IF(INDEX(E_SourceStreams!$A:$N,EV66,BQ$7)="","",INDEX(E_SourceStreams!$A:$N,EV66,BQ$7)))</f>
        <v/>
      </c>
      <c r="BR66" s="703" t="str">
        <f>IF($E66="","",IF(INDEX(E_SourceStreams!$A:$N,EW66,BR$7)="","",INDEX(E_SourceStreams!$A:$N,EW66,BR$7)))</f>
        <v/>
      </c>
      <c r="BS66" s="703" t="str">
        <f>IF($E66="","",IF(INDEX(E_SourceStreams!$A:$N,EX66,BS$7)="","",INDEX(E_SourceStreams!$A:$N,EX66,BS$7)))</f>
        <v/>
      </c>
      <c r="BT66" s="703" t="str">
        <f>IF($E66="","",IF(INDEX(E_SourceStreams!$A:$N,EY66,BT$7)="","",INDEX(E_SourceStreams!$A:$N,EY66,BT$7)))</f>
        <v/>
      </c>
      <c r="BU66" s="625"/>
      <c r="CJ66" s="679" t="str">
        <f t="shared" si="66"/>
        <v>SourceCategory_</v>
      </c>
      <c r="CK66" s="679" t="b">
        <f>INDEX(C_InstallationDescription!$A$226:$A$332,ROWS($CI$11:CI66))="ausblenden"</f>
        <v>1</v>
      </c>
      <c r="CL66" s="679" t="str">
        <f t="shared" si="67"/>
        <v>SourceStreamName_</v>
      </c>
      <c r="CN66" s="679">
        <f t="shared" si="65"/>
        <v>3765</v>
      </c>
      <c r="CO66" s="679">
        <f t="shared" si="2"/>
        <v>3767</v>
      </c>
      <c r="CP66" s="679">
        <f t="shared" si="3"/>
        <v>3769</v>
      </c>
      <c r="CQ66" s="679">
        <f t="shared" si="4"/>
        <v>3771</v>
      </c>
      <c r="CR66" s="679">
        <f t="shared" si="5"/>
        <v>3773</v>
      </c>
      <c r="CS66" s="679">
        <f t="shared" si="6"/>
        <v>3775</v>
      </c>
      <c r="CT66" s="679">
        <f t="shared" si="7"/>
        <v>3777</v>
      </c>
      <c r="CU66" s="679">
        <f t="shared" si="8"/>
        <v>3777</v>
      </c>
      <c r="CV66" s="679">
        <f t="shared" si="9"/>
        <v>3777</v>
      </c>
      <c r="CW66" s="679">
        <f t="shared" si="10"/>
        <v>3777</v>
      </c>
      <c r="CX66" s="679">
        <f t="shared" si="11"/>
        <v>3777</v>
      </c>
      <c r="CY66" s="679">
        <f t="shared" si="12"/>
        <v>3780</v>
      </c>
      <c r="CZ66" s="679">
        <f t="shared" si="13"/>
        <v>3784</v>
      </c>
      <c r="DA66" s="679">
        <f t="shared" si="14"/>
        <v>3785</v>
      </c>
      <c r="DB66" s="679">
        <f t="shared" si="15"/>
        <v>3786</v>
      </c>
      <c r="DC66" s="679">
        <f t="shared" si="16"/>
        <v>3793</v>
      </c>
      <c r="DD66" s="679">
        <f t="shared" si="17"/>
        <v>3803</v>
      </c>
      <c r="DE66" s="679">
        <f t="shared" si="18"/>
        <v>3803</v>
      </c>
      <c r="DF66" s="679">
        <f t="shared" si="19"/>
        <v>3803</v>
      </c>
      <c r="DG66" s="679">
        <f t="shared" si="20"/>
        <v>3803</v>
      </c>
      <c r="DH66" s="679">
        <f t="shared" si="21"/>
        <v>3803</v>
      </c>
      <c r="DI66" s="679">
        <f t="shared" si="22"/>
        <v>3803</v>
      </c>
      <c r="DJ66" s="679">
        <f t="shared" si="23"/>
        <v>3803</v>
      </c>
      <c r="DK66" s="679">
        <f t="shared" si="24"/>
        <v>3794</v>
      </c>
      <c r="DL66" s="679">
        <f t="shared" si="25"/>
        <v>3804</v>
      </c>
      <c r="DM66" s="679">
        <f t="shared" si="26"/>
        <v>3804</v>
      </c>
      <c r="DN66" s="679">
        <f t="shared" si="27"/>
        <v>3804</v>
      </c>
      <c r="DO66" s="679">
        <f t="shared" si="28"/>
        <v>3804</v>
      </c>
      <c r="DP66" s="679">
        <f t="shared" si="29"/>
        <v>3804</v>
      </c>
      <c r="DQ66" s="679">
        <f t="shared" si="30"/>
        <v>3804</v>
      </c>
      <c r="DR66" s="679">
        <f t="shared" si="31"/>
        <v>3804</v>
      </c>
      <c r="DS66" s="679">
        <f t="shared" si="32"/>
        <v>3795</v>
      </c>
      <c r="DT66" s="679">
        <f t="shared" si="33"/>
        <v>3805</v>
      </c>
      <c r="DU66" s="679">
        <f t="shared" si="34"/>
        <v>3805</v>
      </c>
      <c r="DV66" s="679">
        <f t="shared" si="35"/>
        <v>3805</v>
      </c>
      <c r="DW66" s="679">
        <f t="shared" si="36"/>
        <v>3805</v>
      </c>
      <c r="DX66" s="679">
        <f t="shared" si="37"/>
        <v>3805</v>
      </c>
      <c r="DY66" s="679">
        <f t="shared" si="38"/>
        <v>3805</v>
      </c>
      <c r="DZ66" s="679">
        <f t="shared" si="39"/>
        <v>3805</v>
      </c>
      <c r="EA66" s="679">
        <f t="shared" si="40"/>
        <v>3796</v>
      </c>
      <c r="EB66" s="679">
        <f t="shared" si="41"/>
        <v>3806</v>
      </c>
      <c r="EC66" s="679">
        <f t="shared" si="42"/>
        <v>3806</v>
      </c>
      <c r="ED66" s="679">
        <f t="shared" si="43"/>
        <v>3806</v>
      </c>
      <c r="EE66" s="679">
        <f t="shared" si="44"/>
        <v>3806</v>
      </c>
      <c r="EF66" s="679">
        <f t="shared" si="45"/>
        <v>3806</v>
      </c>
      <c r="EG66" s="679">
        <f t="shared" si="46"/>
        <v>3806</v>
      </c>
      <c r="EH66" s="679">
        <f t="shared" si="47"/>
        <v>3806</v>
      </c>
      <c r="EI66" s="679">
        <f t="shared" si="48"/>
        <v>3797</v>
      </c>
      <c r="EJ66" s="679">
        <f t="shared" si="49"/>
        <v>3807</v>
      </c>
      <c r="EK66" s="679">
        <f t="shared" si="50"/>
        <v>3807</v>
      </c>
      <c r="EL66" s="679">
        <f t="shared" si="51"/>
        <v>3807</v>
      </c>
      <c r="EM66" s="679">
        <f t="shared" si="52"/>
        <v>3807</v>
      </c>
      <c r="EN66" s="679">
        <f t="shared" si="53"/>
        <v>3807</v>
      </c>
      <c r="EO66" s="679">
        <f t="shared" si="54"/>
        <v>3807</v>
      </c>
      <c r="EP66" s="679">
        <f t="shared" si="55"/>
        <v>3807</v>
      </c>
      <c r="EQ66" s="679">
        <f t="shared" si="56"/>
        <v>3798</v>
      </c>
      <c r="ER66" s="679">
        <f t="shared" si="57"/>
        <v>3808</v>
      </c>
      <c r="ES66" s="679">
        <f t="shared" si="58"/>
        <v>3808</v>
      </c>
      <c r="ET66" s="679">
        <f t="shared" si="59"/>
        <v>3808</v>
      </c>
      <c r="EU66" s="679">
        <f t="shared" si="60"/>
        <v>3808</v>
      </c>
      <c r="EV66" s="679">
        <f t="shared" si="61"/>
        <v>3808</v>
      </c>
      <c r="EW66" s="679">
        <f t="shared" si="62"/>
        <v>3808</v>
      </c>
      <c r="EX66" s="679">
        <f t="shared" si="63"/>
        <v>3808</v>
      </c>
      <c r="EY66" s="679">
        <f t="shared" si="64"/>
        <v>3814</v>
      </c>
    </row>
    <row r="67" spans="2:155" ht="12.75" customHeight="1" x14ac:dyDescent="0.2">
      <c r="B67" s="700" t="str">
        <f>IF(COUNTIF($CK$10:CK67,TRUE)&gt;0,"",INDEX(C_InstallationDescription!$E$226:$E$242,ROWS($A$11:A67)))</f>
        <v/>
      </c>
      <c r="C67" s="581" t="str">
        <f>IF($E67="","",INDEX(C_InstallationDescription!F:F,MATCH($B67,C_InstallationDescription!$E:$E,0)))</f>
        <v/>
      </c>
      <c r="D67" s="581" t="str">
        <f>IF($E67="","",INDEX(C_InstallationDescription!I:I,MATCH($B67,C_InstallationDescription!$E:$E,0)))</f>
        <v/>
      </c>
      <c r="E67" s="581" t="str">
        <f>IF($B67="","",INDEX(C_InstallationDescription!F:F,MATCH($CJ67,C_InstallationDescription!$Q:$Q,0)))</f>
        <v/>
      </c>
      <c r="F67" s="706" t="str">
        <f>IF($E67="","",INDEX(C_InstallationDescription!L:L,MATCH($CJ67,C_InstallationDescription!$Q:$Q,0)))</f>
        <v/>
      </c>
      <c r="G67" s="581" t="str">
        <f>IF($E67="","",INDEX(C_InstallationDescription!M:M,MATCH($CJ67,C_InstallationDescription!$Q:$Q,0)))</f>
        <v/>
      </c>
      <c r="H67" s="581" t="str">
        <f>IF($E67="","",INDEX(C_InstallationDescription!N:N,MATCH($CJ67,C_InstallationDescription!$Q:$Q,0)))</f>
        <v/>
      </c>
      <c r="I67" s="703" t="str">
        <f>IF($E67="","",IF(INDEX(E_SourceStreams!$A:$N,CN67,I$7)="","",INDEX(E_SourceStreams!$A:$N,CN67,I$7)))</f>
        <v/>
      </c>
      <c r="J67" s="703" t="str">
        <f>IF($E67="","",IF(INDEX(E_SourceStreams!$A:$N,CO67,J$7)="","",INDEX(E_SourceStreams!$A:$N,CO67,J$7)))</f>
        <v/>
      </c>
      <c r="K67" s="703" t="str">
        <f>IF($E67="","",IF(INDEX(E_SourceStreams!$A:$N,CP67,K$7)="","",INDEX(E_SourceStreams!$A:$N,CP67,K$7)))</f>
        <v/>
      </c>
      <c r="L67" s="703" t="str">
        <f>IF($E67="","",IF(INDEX(E_SourceStreams!$A:$N,CQ67,L$7)="","",INDEX(E_SourceStreams!$A:$N,CQ67,L$7)))</f>
        <v/>
      </c>
      <c r="M67" s="703" t="str">
        <f>IF($E67="","",IF(INDEX(E_SourceStreams!$A:$N,CR67,M$7)="","",INDEX(E_SourceStreams!$A:$N,CR67,M$7)))</f>
        <v/>
      </c>
      <c r="N67" s="703" t="str">
        <f>IF($E67="","",IF(INDEX(E_SourceStreams!$A:$N,CS67,N$7)="","",INDEX(E_SourceStreams!$A:$N,CS67,N$7)))</f>
        <v/>
      </c>
      <c r="O67" s="703" t="str">
        <f>IF($E67="","",IF(INDEX(E_SourceStreams!$A:$N,CT67,O$7)="","",INDEX(E_SourceStreams!$A:$N,CT67,O$7)))</f>
        <v/>
      </c>
      <c r="P67" s="703" t="str">
        <f>IF($E67="","",IF(INDEX(E_SourceStreams!$A:$N,CU67,P$7)="","",INDEX(E_SourceStreams!$A:$N,CU67,P$7)))</f>
        <v/>
      </c>
      <c r="Q67" s="703" t="str">
        <f>IF($E67="","",IF(INDEX(E_SourceStreams!$A:$N,CV67,Q$7)="","",INDEX(E_SourceStreams!$A:$N,CV67,Q$7)))</f>
        <v/>
      </c>
      <c r="R67" s="703" t="str">
        <f>IF($E67="","",IF(INDEX(E_SourceStreams!$A:$N,CW67,R$7)="","",INDEX(E_SourceStreams!$A:$N,CW67,R$7)))</f>
        <v/>
      </c>
      <c r="S67" s="703" t="str">
        <f>IF($E67="","",IF(INDEX(E_SourceStreams!$A:$N,CX67,S$7)="","",INDEX(E_SourceStreams!$A:$N,CX67,S$7)))</f>
        <v/>
      </c>
      <c r="T67" s="703" t="str">
        <f>IF($E67="","",IF(INDEX(E_SourceStreams!$A:$N,CY67,T$7)="","",INDEX(E_SourceStreams!$A:$N,CY67,T$7)))</f>
        <v/>
      </c>
      <c r="U67" s="703" t="str">
        <f>IF($E67="","",IF(INDEX(E_SourceStreams!$A:$N,CZ67,U$7)="","",INDEX(E_SourceStreams!$A:$N,CZ67,U$7)))</f>
        <v/>
      </c>
      <c r="V67" s="703" t="str">
        <f>IF($E67="","",IF(INDEX(E_SourceStreams!$A:$N,DA67,V$7)="","",INDEX(E_SourceStreams!$A:$N,DA67,V$7)))</f>
        <v/>
      </c>
      <c r="W67" s="704" t="str">
        <f>IF($E67="","",IF(INDEX(E_SourceStreams!$A:$N,DB67,W$7)="","",INDEX(E_SourceStreams!$A:$N,DB67,W$7)))</f>
        <v/>
      </c>
      <c r="X67" s="703" t="str">
        <f>IF($E67="","",IF(INDEX(E_SourceStreams!$A:$N,DC67,X$7)="","",INDEX(E_SourceStreams!$A:$N,DC67,X$7)))</f>
        <v/>
      </c>
      <c r="Y67" s="703" t="str">
        <f>IF($E67="","",IF(INDEX(E_SourceStreams!$A:$N,DD67,Y$7)="","",INDEX(E_SourceStreams!$A:$N,DD67,Y$7)))</f>
        <v/>
      </c>
      <c r="Z67" s="703" t="str">
        <f>IF($E67="","",IF(INDEX(E_SourceStreams!$A:$N,DE67,Z$7)="","",INDEX(E_SourceStreams!$A:$N,DE67,Z$7)))</f>
        <v/>
      </c>
      <c r="AA67" s="703" t="str">
        <f>IF($E67="","",IF(INDEX(E_SourceStreams!$A:$N,DF67,AA$7)="","",INDEX(E_SourceStreams!$A:$N,DF67,AA$7)))</f>
        <v/>
      </c>
      <c r="AB67" s="703" t="str">
        <f>IF($E67="","",IF(INDEX(E_SourceStreams!$A:$N,DG67,AB$7)="","",INDEX(E_SourceStreams!$A:$N,DG67,AB$7)))</f>
        <v/>
      </c>
      <c r="AC67" s="703" t="str">
        <f>IF($E67="","",IF(INDEX(E_SourceStreams!$A:$N,DH67,AC$7)="","",INDEX(E_SourceStreams!$A:$N,DH67,AC$7)))</f>
        <v/>
      </c>
      <c r="AD67" s="703" t="str">
        <f>IF($E67="","",IF(INDEX(E_SourceStreams!$A:$N,DI67,AD$7)="","",INDEX(E_SourceStreams!$A:$N,DI67,AD$7)))</f>
        <v/>
      </c>
      <c r="AE67" s="703" t="str">
        <f>IF($E67="","",IF(INDEX(E_SourceStreams!$A:$N,DJ67,AE$7)="","",INDEX(E_SourceStreams!$A:$N,DJ67,AE$7)))</f>
        <v/>
      </c>
      <c r="AF67" s="703" t="str">
        <f>IF($E67="","",IF(INDEX(E_SourceStreams!$A:$N,DK67,AF$7)="","",INDEX(E_SourceStreams!$A:$N,DK67,AF$7)))</f>
        <v/>
      </c>
      <c r="AG67" s="703" t="str">
        <f>IF($E67="","",IF(INDEX(E_SourceStreams!$A:$N,DL67,AG$7)="","",INDEX(E_SourceStreams!$A:$N,DL67,AG$7)))</f>
        <v/>
      </c>
      <c r="AH67" s="703" t="str">
        <f>IF($E67="","",IF(INDEX(E_SourceStreams!$A:$N,DM67,AH$7)="","",INDEX(E_SourceStreams!$A:$N,DM67,AH$7)))</f>
        <v/>
      </c>
      <c r="AI67" s="703" t="str">
        <f>IF($E67="","",IF(INDEX(E_SourceStreams!$A:$N,DN67,AI$7)="","",INDEX(E_SourceStreams!$A:$N,DN67,AI$7)))</f>
        <v/>
      </c>
      <c r="AJ67" s="703" t="str">
        <f>IF($E67="","",IF(INDEX(E_SourceStreams!$A:$N,DO67,AJ$7)="","",INDEX(E_SourceStreams!$A:$N,DO67,AJ$7)))</f>
        <v/>
      </c>
      <c r="AK67" s="703" t="str">
        <f>IF($E67="","",IF(INDEX(E_SourceStreams!$A:$N,DP67,AK$7)="","",INDEX(E_SourceStreams!$A:$N,DP67,AK$7)))</f>
        <v/>
      </c>
      <c r="AL67" s="703" t="str">
        <f>IF($E67="","",IF(INDEX(E_SourceStreams!$A:$N,DQ67,AL$7)="","",INDEX(E_SourceStreams!$A:$N,DQ67,AL$7)))</f>
        <v/>
      </c>
      <c r="AM67" s="703" t="str">
        <f>IF($E67="","",IF(INDEX(E_SourceStreams!$A:$N,DR67,AM$7)="","",INDEX(E_SourceStreams!$A:$N,DR67,AM$7)))</f>
        <v/>
      </c>
      <c r="AN67" s="703" t="str">
        <f>IF($E67="","",IF(INDEX(E_SourceStreams!$A:$N,DS67,AN$7)="","",INDEX(E_SourceStreams!$A:$N,DS67,AN$7)))</f>
        <v/>
      </c>
      <c r="AO67" s="703" t="str">
        <f>IF($E67="","",IF(INDEX(E_SourceStreams!$A:$N,DT67,AO$7)="","",INDEX(E_SourceStreams!$A:$N,DT67,AO$7)))</f>
        <v/>
      </c>
      <c r="AP67" s="703" t="str">
        <f>IF($E67="","",IF(INDEX(E_SourceStreams!$A:$N,DU67,AP$7)="","",INDEX(E_SourceStreams!$A:$N,DU67,AP$7)))</f>
        <v/>
      </c>
      <c r="AQ67" s="703" t="str">
        <f>IF($E67="","",IF(INDEX(E_SourceStreams!$A:$N,DV67,AQ$7)="","",INDEX(E_SourceStreams!$A:$N,DV67,AQ$7)))</f>
        <v/>
      </c>
      <c r="AR67" s="703" t="str">
        <f>IF($E67="","",IF(INDEX(E_SourceStreams!$A:$N,DW67,AR$7)="","",INDEX(E_SourceStreams!$A:$N,DW67,AR$7)))</f>
        <v/>
      </c>
      <c r="AS67" s="703" t="str">
        <f>IF($E67="","",IF(INDEX(E_SourceStreams!$A:$N,DX67,AS$7)="","",INDEX(E_SourceStreams!$A:$N,DX67,AS$7)))</f>
        <v/>
      </c>
      <c r="AT67" s="703" t="str">
        <f>IF($E67="","",IF(INDEX(E_SourceStreams!$A:$N,DY67,AT$7)="","",INDEX(E_SourceStreams!$A:$N,DY67,AT$7)))</f>
        <v/>
      </c>
      <c r="AU67" s="703" t="str">
        <f>IF($E67="","",IF(INDEX(E_SourceStreams!$A:$N,DZ67,AU$7)="","",INDEX(E_SourceStreams!$A:$N,DZ67,AU$7)))</f>
        <v/>
      </c>
      <c r="AV67" s="703" t="str">
        <f>IF($E67="","",IF(INDEX(E_SourceStreams!$A:$N,EA67,AV$7)="","",INDEX(E_SourceStreams!$A:$N,EA67,AV$7)))</f>
        <v/>
      </c>
      <c r="AW67" s="703" t="str">
        <f>IF($E67="","",IF(INDEX(E_SourceStreams!$A:$N,EB67,AW$7)="","",INDEX(E_SourceStreams!$A:$N,EB67,AW$7)))</f>
        <v/>
      </c>
      <c r="AX67" s="703" t="str">
        <f>IF($E67="","",IF(INDEX(E_SourceStreams!$A:$N,EC67,AX$7)="","",INDEX(E_SourceStreams!$A:$N,EC67,AX$7)))</f>
        <v/>
      </c>
      <c r="AY67" s="703" t="str">
        <f>IF($E67="","",IF(INDEX(E_SourceStreams!$A:$N,ED67,AY$7)="","",INDEX(E_SourceStreams!$A:$N,ED67,AY$7)))</f>
        <v/>
      </c>
      <c r="AZ67" s="703" t="str">
        <f>IF($E67="","",IF(INDEX(E_SourceStreams!$A:$N,EE67,AZ$7)="","",INDEX(E_SourceStreams!$A:$N,EE67,AZ$7)))</f>
        <v/>
      </c>
      <c r="BA67" s="703" t="str">
        <f>IF($E67="","",IF(INDEX(E_SourceStreams!$A:$N,EF67,BA$7)="","",INDEX(E_SourceStreams!$A:$N,EF67,BA$7)))</f>
        <v/>
      </c>
      <c r="BB67" s="703" t="str">
        <f>IF($E67="","",IF(INDEX(E_SourceStreams!$A:$N,EG67,BB$7)="","",INDEX(E_SourceStreams!$A:$N,EG67,BB$7)))</f>
        <v/>
      </c>
      <c r="BC67" s="703" t="str">
        <f>IF($E67="","",IF(INDEX(E_SourceStreams!$A:$N,EH67,BC$7)="","",INDEX(E_SourceStreams!$A:$N,EH67,BC$7)))</f>
        <v/>
      </c>
      <c r="BD67" s="703" t="str">
        <f>IF($E67="","",IF(INDEX(E_SourceStreams!$A:$N,EI67,BD$7)="","",INDEX(E_SourceStreams!$A:$N,EI67,BD$7)))</f>
        <v/>
      </c>
      <c r="BE67" s="703" t="str">
        <f>IF($E67="","",IF(INDEX(E_SourceStreams!$A:$N,EJ67,BE$7)="","",INDEX(E_SourceStreams!$A:$N,EJ67,BE$7)))</f>
        <v/>
      </c>
      <c r="BF67" s="703" t="str">
        <f>IF($E67="","",IF(INDEX(E_SourceStreams!$A:$N,EK67,BF$7)="","",INDEX(E_SourceStreams!$A:$N,EK67,BF$7)))</f>
        <v/>
      </c>
      <c r="BG67" s="703" t="str">
        <f>IF($E67="","",IF(INDEX(E_SourceStreams!$A:$N,EL67,BG$7)="","",INDEX(E_SourceStreams!$A:$N,EL67,BG$7)))</f>
        <v/>
      </c>
      <c r="BH67" s="703" t="str">
        <f>IF($E67="","",IF(INDEX(E_SourceStreams!$A:$N,EM67,BH$7)="","",INDEX(E_SourceStreams!$A:$N,EM67,BH$7)))</f>
        <v/>
      </c>
      <c r="BI67" s="703" t="str">
        <f>IF($E67="","",IF(INDEX(E_SourceStreams!$A:$N,EN67,BI$7)="","",INDEX(E_SourceStreams!$A:$N,EN67,BI$7)))</f>
        <v/>
      </c>
      <c r="BJ67" s="703" t="str">
        <f>IF($E67="","",IF(INDEX(E_SourceStreams!$A:$N,EO67,BJ$7)="","",INDEX(E_SourceStreams!$A:$N,EO67,BJ$7)))</f>
        <v/>
      </c>
      <c r="BK67" s="703" t="str">
        <f>IF($E67="","",IF(INDEX(E_SourceStreams!$A:$N,EP67,BK$7)="","",INDEX(E_SourceStreams!$A:$N,EP67,BK$7)))</f>
        <v/>
      </c>
      <c r="BL67" s="703" t="str">
        <f>IF($E67="","",IF(INDEX(E_SourceStreams!$A:$N,EQ67,BL$7)="","",INDEX(E_SourceStreams!$A:$N,EQ67,BL$7)))</f>
        <v/>
      </c>
      <c r="BM67" s="703" t="str">
        <f>IF($E67="","",IF(INDEX(E_SourceStreams!$A:$N,ER67,BM$7)="","",INDEX(E_SourceStreams!$A:$N,ER67,BM$7)))</f>
        <v/>
      </c>
      <c r="BN67" s="703" t="str">
        <f>IF($E67="","",IF(INDEX(E_SourceStreams!$A:$N,ES67,BN$7)="","",INDEX(E_SourceStreams!$A:$N,ES67,BN$7)))</f>
        <v/>
      </c>
      <c r="BO67" s="703" t="str">
        <f>IF($E67="","",IF(INDEX(E_SourceStreams!$A:$N,ET67,BO$7)="","",INDEX(E_SourceStreams!$A:$N,ET67,BO$7)))</f>
        <v/>
      </c>
      <c r="BP67" s="703" t="str">
        <f>IF($E67="","",IF(INDEX(E_SourceStreams!$A:$N,EU67,BP$7)="","",INDEX(E_SourceStreams!$A:$N,EU67,BP$7)))</f>
        <v/>
      </c>
      <c r="BQ67" s="703" t="str">
        <f>IF($E67="","",IF(INDEX(E_SourceStreams!$A:$N,EV67,BQ$7)="","",INDEX(E_SourceStreams!$A:$N,EV67,BQ$7)))</f>
        <v/>
      </c>
      <c r="BR67" s="703" t="str">
        <f>IF($E67="","",IF(INDEX(E_SourceStreams!$A:$N,EW67,BR$7)="","",INDEX(E_SourceStreams!$A:$N,EW67,BR$7)))</f>
        <v/>
      </c>
      <c r="BS67" s="703" t="str">
        <f>IF($E67="","",IF(INDEX(E_SourceStreams!$A:$N,EX67,BS$7)="","",INDEX(E_SourceStreams!$A:$N,EX67,BS$7)))</f>
        <v/>
      </c>
      <c r="BT67" s="703" t="str">
        <f>IF($E67="","",IF(INDEX(E_SourceStreams!$A:$N,EY67,BT$7)="","",INDEX(E_SourceStreams!$A:$N,EY67,BT$7)))</f>
        <v/>
      </c>
      <c r="BU67" s="625"/>
      <c r="CJ67" s="679" t="str">
        <f t="shared" si="66"/>
        <v>SourceCategory_</v>
      </c>
      <c r="CK67" s="679" t="b">
        <f>INDEX(C_InstallationDescription!$A$226:$A$332,ROWS($CI$11:CI67))="ausblenden"</f>
        <v>1</v>
      </c>
      <c r="CL67" s="679" t="str">
        <f t="shared" si="67"/>
        <v>SourceStreamName_</v>
      </c>
      <c r="CN67" s="679">
        <f t="shared" si="65"/>
        <v>3831</v>
      </c>
      <c r="CO67" s="679">
        <f t="shared" si="2"/>
        <v>3833</v>
      </c>
      <c r="CP67" s="679">
        <f t="shared" si="3"/>
        <v>3835</v>
      </c>
      <c r="CQ67" s="679">
        <f t="shared" si="4"/>
        <v>3837</v>
      </c>
      <c r="CR67" s="679">
        <f t="shared" si="5"/>
        <v>3839</v>
      </c>
      <c r="CS67" s="679">
        <f t="shared" si="6"/>
        <v>3841</v>
      </c>
      <c r="CT67" s="679">
        <f t="shared" si="7"/>
        <v>3843</v>
      </c>
      <c r="CU67" s="679">
        <f t="shared" si="8"/>
        <v>3843</v>
      </c>
      <c r="CV67" s="679">
        <f t="shared" si="9"/>
        <v>3843</v>
      </c>
      <c r="CW67" s="679">
        <f t="shared" si="10"/>
        <v>3843</v>
      </c>
      <c r="CX67" s="679">
        <f t="shared" si="11"/>
        <v>3843</v>
      </c>
      <c r="CY67" s="679">
        <f t="shared" si="12"/>
        <v>3846</v>
      </c>
      <c r="CZ67" s="679">
        <f t="shared" si="13"/>
        <v>3850</v>
      </c>
      <c r="DA67" s="679">
        <f t="shared" si="14"/>
        <v>3851</v>
      </c>
      <c r="DB67" s="679">
        <f t="shared" si="15"/>
        <v>3852</v>
      </c>
      <c r="DC67" s="679">
        <f t="shared" si="16"/>
        <v>3859</v>
      </c>
      <c r="DD67" s="679">
        <f t="shared" si="17"/>
        <v>3869</v>
      </c>
      <c r="DE67" s="679">
        <f t="shared" si="18"/>
        <v>3869</v>
      </c>
      <c r="DF67" s="679">
        <f t="shared" si="19"/>
        <v>3869</v>
      </c>
      <c r="DG67" s="679">
        <f t="shared" si="20"/>
        <v>3869</v>
      </c>
      <c r="DH67" s="679">
        <f t="shared" si="21"/>
        <v>3869</v>
      </c>
      <c r="DI67" s="679">
        <f t="shared" si="22"/>
        <v>3869</v>
      </c>
      <c r="DJ67" s="679">
        <f t="shared" si="23"/>
        <v>3869</v>
      </c>
      <c r="DK67" s="679">
        <f t="shared" si="24"/>
        <v>3860</v>
      </c>
      <c r="DL67" s="679">
        <f t="shared" si="25"/>
        <v>3870</v>
      </c>
      <c r="DM67" s="679">
        <f t="shared" si="26"/>
        <v>3870</v>
      </c>
      <c r="DN67" s="679">
        <f t="shared" si="27"/>
        <v>3870</v>
      </c>
      <c r="DO67" s="679">
        <f t="shared" si="28"/>
        <v>3870</v>
      </c>
      <c r="DP67" s="679">
        <f t="shared" si="29"/>
        <v>3870</v>
      </c>
      <c r="DQ67" s="679">
        <f t="shared" si="30"/>
        <v>3870</v>
      </c>
      <c r="DR67" s="679">
        <f t="shared" si="31"/>
        <v>3870</v>
      </c>
      <c r="DS67" s="679">
        <f t="shared" si="32"/>
        <v>3861</v>
      </c>
      <c r="DT67" s="679">
        <f t="shared" si="33"/>
        <v>3871</v>
      </c>
      <c r="DU67" s="679">
        <f t="shared" si="34"/>
        <v>3871</v>
      </c>
      <c r="DV67" s="679">
        <f t="shared" si="35"/>
        <v>3871</v>
      </c>
      <c r="DW67" s="679">
        <f t="shared" si="36"/>
        <v>3871</v>
      </c>
      <c r="DX67" s="679">
        <f t="shared" si="37"/>
        <v>3871</v>
      </c>
      <c r="DY67" s="679">
        <f t="shared" si="38"/>
        <v>3871</v>
      </c>
      <c r="DZ67" s="679">
        <f t="shared" si="39"/>
        <v>3871</v>
      </c>
      <c r="EA67" s="679">
        <f t="shared" si="40"/>
        <v>3862</v>
      </c>
      <c r="EB67" s="679">
        <f t="shared" si="41"/>
        <v>3872</v>
      </c>
      <c r="EC67" s="679">
        <f t="shared" si="42"/>
        <v>3872</v>
      </c>
      <c r="ED67" s="679">
        <f t="shared" si="43"/>
        <v>3872</v>
      </c>
      <c r="EE67" s="679">
        <f t="shared" si="44"/>
        <v>3872</v>
      </c>
      <c r="EF67" s="679">
        <f t="shared" si="45"/>
        <v>3872</v>
      </c>
      <c r="EG67" s="679">
        <f t="shared" si="46"/>
        <v>3872</v>
      </c>
      <c r="EH67" s="679">
        <f t="shared" si="47"/>
        <v>3872</v>
      </c>
      <c r="EI67" s="679">
        <f t="shared" si="48"/>
        <v>3863</v>
      </c>
      <c r="EJ67" s="679">
        <f t="shared" si="49"/>
        <v>3873</v>
      </c>
      <c r="EK67" s="679">
        <f t="shared" si="50"/>
        <v>3873</v>
      </c>
      <c r="EL67" s="679">
        <f t="shared" si="51"/>
        <v>3873</v>
      </c>
      <c r="EM67" s="679">
        <f t="shared" si="52"/>
        <v>3873</v>
      </c>
      <c r="EN67" s="679">
        <f t="shared" si="53"/>
        <v>3873</v>
      </c>
      <c r="EO67" s="679">
        <f t="shared" si="54"/>
        <v>3873</v>
      </c>
      <c r="EP67" s="679">
        <f t="shared" si="55"/>
        <v>3873</v>
      </c>
      <c r="EQ67" s="679">
        <f t="shared" si="56"/>
        <v>3864</v>
      </c>
      <c r="ER67" s="679">
        <f t="shared" si="57"/>
        <v>3874</v>
      </c>
      <c r="ES67" s="679">
        <f t="shared" si="58"/>
        <v>3874</v>
      </c>
      <c r="ET67" s="679">
        <f t="shared" si="59"/>
        <v>3874</v>
      </c>
      <c r="EU67" s="679">
        <f t="shared" si="60"/>
        <v>3874</v>
      </c>
      <c r="EV67" s="679">
        <f t="shared" si="61"/>
        <v>3874</v>
      </c>
      <c r="EW67" s="679">
        <f t="shared" si="62"/>
        <v>3874</v>
      </c>
      <c r="EX67" s="679">
        <f t="shared" si="63"/>
        <v>3874</v>
      </c>
      <c r="EY67" s="679">
        <f t="shared" si="64"/>
        <v>3880</v>
      </c>
    </row>
    <row r="68" spans="2:155" ht="12.75" customHeight="1" x14ac:dyDescent="0.2">
      <c r="B68" s="700" t="str">
        <f>IF(COUNTIF($CK$10:CK68,TRUE)&gt;0,"",INDEX(C_InstallationDescription!$E$226:$E$242,ROWS($A$11:A68)))</f>
        <v/>
      </c>
      <c r="C68" s="581" t="str">
        <f>IF($E68="","",INDEX(C_InstallationDescription!F:F,MATCH($B68,C_InstallationDescription!$E:$E,0)))</f>
        <v/>
      </c>
      <c r="D68" s="581" t="str">
        <f>IF($E68="","",INDEX(C_InstallationDescription!I:I,MATCH($B68,C_InstallationDescription!$E:$E,0)))</f>
        <v/>
      </c>
      <c r="E68" s="581" t="str">
        <f>IF($B68="","",INDEX(C_InstallationDescription!F:F,MATCH($CJ68,C_InstallationDescription!$Q:$Q,0)))</f>
        <v/>
      </c>
      <c r="F68" s="706" t="str">
        <f>IF($E68="","",INDEX(C_InstallationDescription!L:L,MATCH($CJ68,C_InstallationDescription!$Q:$Q,0)))</f>
        <v/>
      </c>
      <c r="G68" s="581" t="str">
        <f>IF($E68="","",INDEX(C_InstallationDescription!M:M,MATCH($CJ68,C_InstallationDescription!$Q:$Q,0)))</f>
        <v/>
      </c>
      <c r="H68" s="581" t="str">
        <f>IF($E68="","",INDEX(C_InstallationDescription!N:N,MATCH($CJ68,C_InstallationDescription!$Q:$Q,0)))</f>
        <v/>
      </c>
      <c r="I68" s="703" t="str">
        <f>IF($E68="","",IF(INDEX(E_SourceStreams!$A:$N,CN68,I$7)="","",INDEX(E_SourceStreams!$A:$N,CN68,I$7)))</f>
        <v/>
      </c>
      <c r="J68" s="703" t="str">
        <f>IF($E68="","",IF(INDEX(E_SourceStreams!$A:$N,CO68,J$7)="","",INDEX(E_SourceStreams!$A:$N,CO68,J$7)))</f>
        <v/>
      </c>
      <c r="K68" s="703" t="str">
        <f>IF($E68="","",IF(INDEX(E_SourceStreams!$A:$N,CP68,K$7)="","",INDEX(E_SourceStreams!$A:$N,CP68,K$7)))</f>
        <v/>
      </c>
      <c r="L68" s="703" t="str">
        <f>IF($E68="","",IF(INDEX(E_SourceStreams!$A:$N,CQ68,L$7)="","",INDEX(E_SourceStreams!$A:$N,CQ68,L$7)))</f>
        <v/>
      </c>
      <c r="M68" s="703" t="str">
        <f>IF($E68="","",IF(INDEX(E_SourceStreams!$A:$N,CR68,M$7)="","",INDEX(E_SourceStreams!$A:$N,CR68,M$7)))</f>
        <v/>
      </c>
      <c r="N68" s="703" t="str">
        <f>IF($E68="","",IF(INDEX(E_SourceStreams!$A:$N,CS68,N$7)="","",INDEX(E_SourceStreams!$A:$N,CS68,N$7)))</f>
        <v/>
      </c>
      <c r="O68" s="703" t="str">
        <f>IF($E68="","",IF(INDEX(E_SourceStreams!$A:$N,CT68,O$7)="","",INDEX(E_SourceStreams!$A:$N,CT68,O$7)))</f>
        <v/>
      </c>
      <c r="P68" s="703" t="str">
        <f>IF($E68="","",IF(INDEX(E_SourceStreams!$A:$N,CU68,P$7)="","",INDEX(E_SourceStreams!$A:$N,CU68,P$7)))</f>
        <v/>
      </c>
      <c r="Q68" s="703" t="str">
        <f>IF($E68="","",IF(INDEX(E_SourceStreams!$A:$N,CV68,Q$7)="","",INDEX(E_SourceStreams!$A:$N,CV68,Q$7)))</f>
        <v/>
      </c>
      <c r="R68" s="703" t="str">
        <f>IF($E68="","",IF(INDEX(E_SourceStreams!$A:$N,CW68,R$7)="","",INDEX(E_SourceStreams!$A:$N,CW68,R$7)))</f>
        <v/>
      </c>
      <c r="S68" s="703" t="str">
        <f>IF($E68="","",IF(INDEX(E_SourceStreams!$A:$N,CX68,S$7)="","",INDEX(E_SourceStreams!$A:$N,CX68,S$7)))</f>
        <v/>
      </c>
      <c r="T68" s="703" t="str">
        <f>IF($E68="","",IF(INDEX(E_SourceStreams!$A:$N,CY68,T$7)="","",INDEX(E_SourceStreams!$A:$N,CY68,T$7)))</f>
        <v/>
      </c>
      <c r="U68" s="703" t="str">
        <f>IF($E68="","",IF(INDEX(E_SourceStreams!$A:$N,CZ68,U$7)="","",INDEX(E_SourceStreams!$A:$N,CZ68,U$7)))</f>
        <v/>
      </c>
      <c r="V68" s="703" t="str">
        <f>IF($E68="","",IF(INDEX(E_SourceStreams!$A:$N,DA68,V$7)="","",INDEX(E_SourceStreams!$A:$N,DA68,V$7)))</f>
        <v/>
      </c>
      <c r="W68" s="704" t="str">
        <f>IF($E68="","",IF(INDEX(E_SourceStreams!$A:$N,DB68,W$7)="","",INDEX(E_SourceStreams!$A:$N,DB68,W$7)))</f>
        <v/>
      </c>
      <c r="X68" s="703" t="str">
        <f>IF($E68="","",IF(INDEX(E_SourceStreams!$A:$N,DC68,X$7)="","",INDEX(E_SourceStreams!$A:$N,DC68,X$7)))</f>
        <v/>
      </c>
      <c r="Y68" s="703" t="str">
        <f>IF($E68="","",IF(INDEX(E_SourceStreams!$A:$N,DD68,Y$7)="","",INDEX(E_SourceStreams!$A:$N,DD68,Y$7)))</f>
        <v/>
      </c>
      <c r="Z68" s="703" t="str">
        <f>IF($E68="","",IF(INDEX(E_SourceStreams!$A:$N,DE68,Z$7)="","",INDEX(E_SourceStreams!$A:$N,DE68,Z$7)))</f>
        <v/>
      </c>
      <c r="AA68" s="703" t="str">
        <f>IF($E68="","",IF(INDEX(E_SourceStreams!$A:$N,DF68,AA$7)="","",INDEX(E_SourceStreams!$A:$N,DF68,AA$7)))</f>
        <v/>
      </c>
      <c r="AB68" s="703" t="str">
        <f>IF($E68="","",IF(INDEX(E_SourceStreams!$A:$N,DG68,AB$7)="","",INDEX(E_SourceStreams!$A:$N,DG68,AB$7)))</f>
        <v/>
      </c>
      <c r="AC68" s="703" t="str">
        <f>IF($E68="","",IF(INDEX(E_SourceStreams!$A:$N,DH68,AC$7)="","",INDEX(E_SourceStreams!$A:$N,DH68,AC$7)))</f>
        <v/>
      </c>
      <c r="AD68" s="703" t="str">
        <f>IF($E68="","",IF(INDEX(E_SourceStreams!$A:$N,DI68,AD$7)="","",INDEX(E_SourceStreams!$A:$N,DI68,AD$7)))</f>
        <v/>
      </c>
      <c r="AE68" s="703" t="str">
        <f>IF($E68="","",IF(INDEX(E_SourceStreams!$A:$N,DJ68,AE$7)="","",INDEX(E_SourceStreams!$A:$N,DJ68,AE$7)))</f>
        <v/>
      </c>
      <c r="AF68" s="703" t="str">
        <f>IF($E68="","",IF(INDEX(E_SourceStreams!$A:$N,DK68,AF$7)="","",INDEX(E_SourceStreams!$A:$N,DK68,AF$7)))</f>
        <v/>
      </c>
      <c r="AG68" s="703" t="str">
        <f>IF($E68="","",IF(INDEX(E_SourceStreams!$A:$N,DL68,AG$7)="","",INDEX(E_SourceStreams!$A:$N,DL68,AG$7)))</f>
        <v/>
      </c>
      <c r="AH68" s="703" t="str">
        <f>IF($E68="","",IF(INDEX(E_SourceStreams!$A:$N,DM68,AH$7)="","",INDEX(E_SourceStreams!$A:$N,DM68,AH$7)))</f>
        <v/>
      </c>
      <c r="AI68" s="703" t="str">
        <f>IF($E68="","",IF(INDEX(E_SourceStreams!$A:$N,DN68,AI$7)="","",INDEX(E_SourceStreams!$A:$N,DN68,AI$7)))</f>
        <v/>
      </c>
      <c r="AJ68" s="703" t="str">
        <f>IF($E68="","",IF(INDEX(E_SourceStreams!$A:$N,DO68,AJ$7)="","",INDEX(E_SourceStreams!$A:$N,DO68,AJ$7)))</f>
        <v/>
      </c>
      <c r="AK68" s="703" t="str">
        <f>IF($E68="","",IF(INDEX(E_SourceStreams!$A:$N,DP68,AK$7)="","",INDEX(E_SourceStreams!$A:$N,DP68,AK$7)))</f>
        <v/>
      </c>
      <c r="AL68" s="703" t="str">
        <f>IF($E68="","",IF(INDEX(E_SourceStreams!$A:$N,DQ68,AL$7)="","",INDEX(E_SourceStreams!$A:$N,DQ68,AL$7)))</f>
        <v/>
      </c>
      <c r="AM68" s="703" t="str">
        <f>IF($E68="","",IF(INDEX(E_SourceStreams!$A:$N,DR68,AM$7)="","",INDEX(E_SourceStreams!$A:$N,DR68,AM$7)))</f>
        <v/>
      </c>
      <c r="AN68" s="703" t="str">
        <f>IF($E68="","",IF(INDEX(E_SourceStreams!$A:$N,DS68,AN$7)="","",INDEX(E_SourceStreams!$A:$N,DS68,AN$7)))</f>
        <v/>
      </c>
      <c r="AO68" s="703" t="str">
        <f>IF($E68="","",IF(INDEX(E_SourceStreams!$A:$N,DT68,AO$7)="","",INDEX(E_SourceStreams!$A:$N,DT68,AO$7)))</f>
        <v/>
      </c>
      <c r="AP68" s="703" t="str">
        <f>IF($E68="","",IF(INDEX(E_SourceStreams!$A:$N,DU68,AP$7)="","",INDEX(E_SourceStreams!$A:$N,DU68,AP$7)))</f>
        <v/>
      </c>
      <c r="AQ68" s="703" t="str">
        <f>IF($E68="","",IF(INDEX(E_SourceStreams!$A:$N,DV68,AQ$7)="","",INDEX(E_SourceStreams!$A:$N,DV68,AQ$7)))</f>
        <v/>
      </c>
      <c r="AR68" s="703" t="str">
        <f>IF($E68="","",IF(INDEX(E_SourceStreams!$A:$N,DW68,AR$7)="","",INDEX(E_SourceStreams!$A:$N,DW68,AR$7)))</f>
        <v/>
      </c>
      <c r="AS68" s="703" t="str">
        <f>IF($E68="","",IF(INDEX(E_SourceStreams!$A:$N,DX68,AS$7)="","",INDEX(E_SourceStreams!$A:$N,DX68,AS$7)))</f>
        <v/>
      </c>
      <c r="AT68" s="703" t="str">
        <f>IF($E68="","",IF(INDEX(E_SourceStreams!$A:$N,DY68,AT$7)="","",INDEX(E_SourceStreams!$A:$N,DY68,AT$7)))</f>
        <v/>
      </c>
      <c r="AU68" s="703" t="str">
        <f>IF($E68="","",IF(INDEX(E_SourceStreams!$A:$N,DZ68,AU$7)="","",INDEX(E_SourceStreams!$A:$N,DZ68,AU$7)))</f>
        <v/>
      </c>
      <c r="AV68" s="703" t="str">
        <f>IF($E68="","",IF(INDEX(E_SourceStreams!$A:$N,EA68,AV$7)="","",INDEX(E_SourceStreams!$A:$N,EA68,AV$7)))</f>
        <v/>
      </c>
      <c r="AW68" s="703" t="str">
        <f>IF($E68="","",IF(INDEX(E_SourceStreams!$A:$N,EB68,AW$7)="","",INDEX(E_SourceStreams!$A:$N,EB68,AW$7)))</f>
        <v/>
      </c>
      <c r="AX68" s="703" t="str">
        <f>IF($E68="","",IF(INDEX(E_SourceStreams!$A:$N,EC68,AX$7)="","",INDEX(E_SourceStreams!$A:$N,EC68,AX$7)))</f>
        <v/>
      </c>
      <c r="AY68" s="703" t="str">
        <f>IF($E68="","",IF(INDEX(E_SourceStreams!$A:$N,ED68,AY$7)="","",INDEX(E_SourceStreams!$A:$N,ED68,AY$7)))</f>
        <v/>
      </c>
      <c r="AZ68" s="703" t="str">
        <f>IF($E68="","",IF(INDEX(E_SourceStreams!$A:$N,EE68,AZ$7)="","",INDEX(E_SourceStreams!$A:$N,EE68,AZ$7)))</f>
        <v/>
      </c>
      <c r="BA68" s="703" t="str">
        <f>IF($E68="","",IF(INDEX(E_SourceStreams!$A:$N,EF68,BA$7)="","",INDEX(E_SourceStreams!$A:$N,EF68,BA$7)))</f>
        <v/>
      </c>
      <c r="BB68" s="703" t="str">
        <f>IF($E68="","",IF(INDEX(E_SourceStreams!$A:$N,EG68,BB$7)="","",INDEX(E_SourceStreams!$A:$N,EG68,BB$7)))</f>
        <v/>
      </c>
      <c r="BC68" s="703" t="str">
        <f>IF($E68="","",IF(INDEX(E_SourceStreams!$A:$N,EH68,BC$7)="","",INDEX(E_SourceStreams!$A:$N,EH68,BC$7)))</f>
        <v/>
      </c>
      <c r="BD68" s="703" t="str">
        <f>IF($E68="","",IF(INDEX(E_SourceStreams!$A:$N,EI68,BD$7)="","",INDEX(E_SourceStreams!$A:$N,EI68,BD$7)))</f>
        <v/>
      </c>
      <c r="BE68" s="703" t="str">
        <f>IF($E68="","",IF(INDEX(E_SourceStreams!$A:$N,EJ68,BE$7)="","",INDEX(E_SourceStreams!$A:$N,EJ68,BE$7)))</f>
        <v/>
      </c>
      <c r="BF68" s="703" t="str">
        <f>IF($E68="","",IF(INDEX(E_SourceStreams!$A:$N,EK68,BF$7)="","",INDEX(E_SourceStreams!$A:$N,EK68,BF$7)))</f>
        <v/>
      </c>
      <c r="BG68" s="703" t="str">
        <f>IF($E68="","",IF(INDEX(E_SourceStreams!$A:$N,EL68,BG$7)="","",INDEX(E_SourceStreams!$A:$N,EL68,BG$7)))</f>
        <v/>
      </c>
      <c r="BH68" s="703" t="str">
        <f>IF($E68="","",IF(INDEX(E_SourceStreams!$A:$N,EM68,BH$7)="","",INDEX(E_SourceStreams!$A:$N,EM68,BH$7)))</f>
        <v/>
      </c>
      <c r="BI68" s="703" t="str">
        <f>IF($E68="","",IF(INDEX(E_SourceStreams!$A:$N,EN68,BI$7)="","",INDEX(E_SourceStreams!$A:$N,EN68,BI$7)))</f>
        <v/>
      </c>
      <c r="BJ68" s="703" t="str">
        <f>IF($E68="","",IF(INDEX(E_SourceStreams!$A:$N,EO68,BJ$7)="","",INDEX(E_SourceStreams!$A:$N,EO68,BJ$7)))</f>
        <v/>
      </c>
      <c r="BK68" s="703" t="str">
        <f>IF($E68="","",IF(INDEX(E_SourceStreams!$A:$N,EP68,BK$7)="","",INDEX(E_SourceStreams!$A:$N,EP68,BK$7)))</f>
        <v/>
      </c>
      <c r="BL68" s="703" t="str">
        <f>IF($E68="","",IF(INDEX(E_SourceStreams!$A:$N,EQ68,BL$7)="","",INDEX(E_SourceStreams!$A:$N,EQ68,BL$7)))</f>
        <v/>
      </c>
      <c r="BM68" s="703" t="str">
        <f>IF($E68="","",IF(INDEX(E_SourceStreams!$A:$N,ER68,BM$7)="","",INDEX(E_SourceStreams!$A:$N,ER68,BM$7)))</f>
        <v/>
      </c>
      <c r="BN68" s="703" t="str">
        <f>IF($E68="","",IF(INDEX(E_SourceStreams!$A:$N,ES68,BN$7)="","",INDEX(E_SourceStreams!$A:$N,ES68,BN$7)))</f>
        <v/>
      </c>
      <c r="BO68" s="703" t="str">
        <f>IF($E68="","",IF(INDEX(E_SourceStreams!$A:$N,ET68,BO$7)="","",INDEX(E_SourceStreams!$A:$N,ET68,BO$7)))</f>
        <v/>
      </c>
      <c r="BP68" s="703" t="str">
        <f>IF($E68="","",IF(INDEX(E_SourceStreams!$A:$N,EU68,BP$7)="","",INDEX(E_SourceStreams!$A:$N,EU68,BP$7)))</f>
        <v/>
      </c>
      <c r="BQ68" s="703" t="str">
        <f>IF($E68="","",IF(INDEX(E_SourceStreams!$A:$N,EV68,BQ$7)="","",INDEX(E_SourceStreams!$A:$N,EV68,BQ$7)))</f>
        <v/>
      </c>
      <c r="BR68" s="703" t="str">
        <f>IF($E68="","",IF(INDEX(E_SourceStreams!$A:$N,EW68,BR$7)="","",INDEX(E_SourceStreams!$A:$N,EW68,BR$7)))</f>
        <v/>
      </c>
      <c r="BS68" s="703" t="str">
        <f>IF($E68="","",IF(INDEX(E_SourceStreams!$A:$N,EX68,BS$7)="","",INDEX(E_SourceStreams!$A:$N,EX68,BS$7)))</f>
        <v/>
      </c>
      <c r="BT68" s="703" t="str">
        <f>IF($E68="","",IF(INDEX(E_SourceStreams!$A:$N,EY68,BT$7)="","",INDEX(E_SourceStreams!$A:$N,EY68,BT$7)))</f>
        <v/>
      </c>
      <c r="BU68" s="625"/>
      <c r="CJ68" s="679" t="str">
        <f t="shared" si="66"/>
        <v>SourceCategory_</v>
      </c>
      <c r="CK68" s="679" t="b">
        <f>INDEX(C_InstallationDescription!$A$226:$A$332,ROWS($CI$11:CI68))="ausblenden"</f>
        <v>1</v>
      </c>
      <c r="CL68" s="679" t="str">
        <f t="shared" si="67"/>
        <v>SourceStreamName_</v>
      </c>
      <c r="CN68" s="679">
        <f t="shared" si="65"/>
        <v>3897</v>
      </c>
      <c r="CO68" s="679">
        <f t="shared" si="2"/>
        <v>3899</v>
      </c>
      <c r="CP68" s="679">
        <f t="shared" si="3"/>
        <v>3901</v>
      </c>
      <c r="CQ68" s="679">
        <f t="shared" si="4"/>
        <v>3903</v>
      </c>
      <c r="CR68" s="679">
        <f t="shared" si="5"/>
        <v>3905</v>
      </c>
      <c r="CS68" s="679">
        <f t="shared" si="6"/>
        <v>3907</v>
      </c>
      <c r="CT68" s="679">
        <f t="shared" si="7"/>
        <v>3909</v>
      </c>
      <c r="CU68" s="679">
        <f t="shared" si="8"/>
        <v>3909</v>
      </c>
      <c r="CV68" s="679">
        <f t="shared" si="9"/>
        <v>3909</v>
      </c>
      <c r="CW68" s="679">
        <f t="shared" si="10"/>
        <v>3909</v>
      </c>
      <c r="CX68" s="679">
        <f t="shared" si="11"/>
        <v>3909</v>
      </c>
      <c r="CY68" s="679">
        <f t="shared" si="12"/>
        <v>3912</v>
      </c>
      <c r="CZ68" s="679">
        <f t="shared" si="13"/>
        <v>3916</v>
      </c>
      <c r="DA68" s="679">
        <f t="shared" si="14"/>
        <v>3917</v>
      </c>
      <c r="DB68" s="679">
        <f t="shared" si="15"/>
        <v>3918</v>
      </c>
      <c r="DC68" s="679">
        <f t="shared" si="16"/>
        <v>3925</v>
      </c>
      <c r="DD68" s="679">
        <f t="shared" si="17"/>
        <v>3935</v>
      </c>
      <c r="DE68" s="679">
        <f t="shared" si="18"/>
        <v>3935</v>
      </c>
      <c r="DF68" s="679">
        <f t="shared" si="19"/>
        <v>3935</v>
      </c>
      <c r="DG68" s="679">
        <f t="shared" si="20"/>
        <v>3935</v>
      </c>
      <c r="DH68" s="679">
        <f t="shared" si="21"/>
        <v>3935</v>
      </c>
      <c r="DI68" s="679">
        <f t="shared" si="22"/>
        <v>3935</v>
      </c>
      <c r="DJ68" s="679">
        <f t="shared" si="23"/>
        <v>3935</v>
      </c>
      <c r="DK68" s="679">
        <f t="shared" si="24"/>
        <v>3926</v>
      </c>
      <c r="DL68" s="679">
        <f t="shared" si="25"/>
        <v>3936</v>
      </c>
      <c r="DM68" s="679">
        <f t="shared" si="26"/>
        <v>3936</v>
      </c>
      <c r="DN68" s="679">
        <f t="shared" si="27"/>
        <v>3936</v>
      </c>
      <c r="DO68" s="679">
        <f t="shared" si="28"/>
        <v>3936</v>
      </c>
      <c r="DP68" s="679">
        <f t="shared" si="29"/>
        <v>3936</v>
      </c>
      <c r="DQ68" s="679">
        <f t="shared" si="30"/>
        <v>3936</v>
      </c>
      <c r="DR68" s="679">
        <f t="shared" si="31"/>
        <v>3936</v>
      </c>
      <c r="DS68" s="679">
        <f t="shared" si="32"/>
        <v>3927</v>
      </c>
      <c r="DT68" s="679">
        <f t="shared" si="33"/>
        <v>3937</v>
      </c>
      <c r="DU68" s="679">
        <f t="shared" si="34"/>
        <v>3937</v>
      </c>
      <c r="DV68" s="679">
        <f t="shared" si="35"/>
        <v>3937</v>
      </c>
      <c r="DW68" s="679">
        <f t="shared" si="36"/>
        <v>3937</v>
      </c>
      <c r="DX68" s="679">
        <f t="shared" si="37"/>
        <v>3937</v>
      </c>
      <c r="DY68" s="679">
        <f t="shared" si="38"/>
        <v>3937</v>
      </c>
      <c r="DZ68" s="679">
        <f t="shared" si="39"/>
        <v>3937</v>
      </c>
      <c r="EA68" s="679">
        <f t="shared" si="40"/>
        <v>3928</v>
      </c>
      <c r="EB68" s="679">
        <f t="shared" si="41"/>
        <v>3938</v>
      </c>
      <c r="EC68" s="679">
        <f t="shared" si="42"/>
        <v>3938</v>
      </c>
      <c r="ED68" s="679">
        <f t="shared" si="43"/>
        <v>3938</v>
      </c>
      <c r="EE68" s="679">
        <f t="shared" si="44"/>
        <v>3938</v>
      </c>
      <c r="EF68" s="679">
        <f t="shared" si="45"/>
        <v>3938</v>
      </c>
      <c r="EG68" s="679">
        <f t="shared" si="46"/>
        <v>3938</v>
      </c>
      <c r="EH68" s="679">
        <f t="shared" si="47"/>
        <v>3938</v>
      </c>
      <c r="EI68" s="679">
        <f t="shared" si="48"/>
        <v>3929</v>
      </c>
      <c r="EJ68" s="679">
        <f t="shared" si="49"/>
        <v>3939</v>
      </c>
      <c r="EK68" s="679">
        <f t="shared" si="50"/>
        <v>3939</v>
      </c>
      <c r="EL68" s="679">
        <f t="shared" si="51"/>
        <v>3939</v>
      </c>
      <c r="EM68" s="679">
        <f t="shared" si="52"/>
        <v>3939</v>
      </c>
      <c r="EN68" s="679">
        <f t="shared" si="53"/>
        <v>3939</v>
      </c>
      <c r="EO68" s="679">
        <f t="shared" si="54"/>
        <v>3939</v>
      </c>
      <c r="EP68" s="679">
        <f t="shared" si="55"/>
        <v>3939</v>
      </c>
      <c r="EQ68" s="679">
        <f t="shared" si="56"/>
        <v>3930</v>
      </c>
      <c r="ER68" s="679">
        <f t="shared" si="57"/>
        <v>3940</v>
      </c>
      <c r="ES68" s="679">
        <f t="shared" si="58"/>
        <v>3940</v>
      </c>
      <c r="ET68" s="679">
        <f t="shared" si="59"/>
        <v>3940</v>
      </c>
      <c r="EU68" s="679">
        <f t="shared" si="60"/>
        <v>3940</v>
      </c>
      <c r="EV68" s="679">
        <f t="shared" si="61"/>
        <v>3940</v>
      </c>
      <c r="EW68" s="679">
        <f t="shared" si="62"/>
        <v>3940</v>
      </c>
      <c r="EX68" s="679">
        <f t="shared" si="63"/>
        <v>3940</v>
      </c>
      <c r="EY68" s="679">
        <f t="shared" si="64"/>
        <v>3946</v>
      </c>
    </row>
    <row r="69" spans="2:155" ht="12.75" customHeight="1" x14ac:dyDescent="0.2">
      <c r="B69" s="700" t="str">
        <f>IF(COUNTIF($CK$10:CK69,TRUE)&gt;0,"",INDEX(C_InstallationDescription!$E$226:$E$242,ROWS($A$11:A69)))</f>
        <v/>
      </c>
      <c r="C69" s="581" t="str">
        <f>IF($E69="","",INDEX(C_InstallationDescription!F:F,MATCH($B69,C_InstallationDescription!$E:$E,0)))</f>
        <v/>
      </c>
      <c r="D69" s="581" t="str">
        <f>IF($E69="","",INDEX(C_InstallationDescription!I:I,MATCH($B69,C_InstallationDescription!$E:$E,0)))</f>
        <v/>
      </c>
      <c r="E69" s="581" t="str">
        <f>IF($B69="","",INDEX(C_InstallationDescription!F:F,MATCH($CJ69,C_InstallationDescription!$Q:$Q,0)))</f>
        <v/>
      </c>
      <c r="F69" s="706" t="str">
        <f>IF($E69="","",INDEX(C_InstallationDescription!L:L,MATCH($CJ69,C_InstallationDescription!$Q:$Q,0)))</f>
        <v/>
      </c>
      <c r="G69" s="581" t="str">
        <f>IF($E69="","",INDEX(C_InstallationDescription!M:M,MATCH($CJ69,C_InstallationDescription!$Q:$Q,0)))</f>
        <v/>
      </c>
      <c r="H69" s="581" t="str">
        <f>IF($E69="","",INDEX(C_InstallationDescription!N:N,MATCH($CJ69,C_InstallationDescription!$Q:$Q,0)))</f>
        <v/>
      </c>
      <c r="I69" s="703" t="str">
        <f>IF($E69="","",IF(INDEX(E_SourceStreams!$A:$N,CN69,I$7)="","",INDEX(E_SourceStreams!$A:$N,CN69,I$7)))</f>
        <v/>
      </c>
      <c r="J69" s="703" t="str">
        <f>IF($E69="","",IF(INDEX(E_SourceStreams!$A:$N,CO69,J$7)="","",INDEX(E_SourceStreams!$A:$N,CO69,J$7)))</f>
        <v/>
      </c>
      <c r="K69" s="703" t="str">
        <f>IF($E69="","",IF(INDEX(E_SourceStreams!$A:$N,CP69,K$7)="","",INDEX(E_SourceStreams!$A:$N,CP69,K$7)))</f>
        <v/>
      </c>
      <c r="L69" s="703" t="str">
        <f>IF($E69="","",IF(INDEX(E_SourceStreams!$A:$N,CQ69,L$7)="","",INDEX(E_SourceStreams!$A:$N,CQ69,L$7)))</f>
        <v/>
      </c>
      <c r="M69" s="703" t="str">
        <f>IF($E69="","",IF(INDEX(E_SourceStreams!$A:$N,CR69,M$7)="","",INDEX(E_SourceStreams!$A:$N,CR69,M$7)))</f>
        <v/>
      </c>
      <c r="N69" s="703" t="str">
        <f>IF($E69="","",IF(INDEX(E_SourceStreams!$A:$N,CS69,N$7)="","",INDEX(E_SourceStreams!$A:$N,CS69,N$7)))</f>
        <v/>
      </c>
      <c r="O69" s="703" t="str">
        <f>IF($E69="","",IF(INDEX(E_SourceStreams!$A:$N,CT69,O$7)="","",INDEX(E_SourceStreams!$A:$N,CT69,O$7)))</f>
        <v/>
      </c>
      <c r="P69" s="703" t="str">
        <f>IF($E69="","",IF(INDEX(E_SourceStreams!$A:$N,CU69,P$7)="","",INDEX(E_SourceStreams!$A:$N,CU69,P$7)))</f>
        <v/>
      </c>
      <c r="Q69" s="703" t="str">
        <f>IF($E69="","",IF(INDEX(E_SourceStreams!$A:$N,CV69,Q$7)="","",INDEX(E_SourceStreams!$A:$N,CV69,Q$7)))</f>
        <v/>
      </c>
      <c r="R69" s="703" t="str">
        <f>IF($E69="","",IF(INDEX(E_SourceStreams!$A:$N,CW69,R$7)="","",INDEX(E_SourceStreams!$A:$N,CW69,R$7)))</f>
        <v/>
      </c>
      <c r="S69" s="703" t="str">
        <f>IF($E69="","",IF(INDEX(E_SourceStreams!$A:$N,CX69,S$7)="","",INDEX(E_SourceStreams!$A:$N,CX69,S$7)))</f>
        <v/>
      </c>
      <c r="T69" s="703" t="str">
        <f>IF($E69="","",IF(INDEX(E_SourceStreams!$A:$N,CY69,T$7)="","",INDEX(E_SourceStreams!$A:$N,CY69,T$7)))</f>
        <v/>
      </c>
      <c r="U69" s="703" t="str">
        <f>IF($E69="","",IF(INDEX(E_SourceStreams!$A:$N,CZ69,U$7)="","",INDEX(E_SourceStreams!$A:$N,CZ69,U$7)))</f>
        <v/>
      </c>
      <c r="V69" s="703" t="str">
        <f>IF($E69="","",IF(INDEX(E_SourceStreams!$A:$N,DA69,V$7)="","",INDEX(E_SourceStreams!$A:$N,DA69,V$7)))</f>
        <v/>
      </c>
      <c r="W69" s="704" t="str">
        <f>IF($E69="","",IF(INDEX(E_SourceStreams!$A:$N,DB69,W$7)="","",INDEX(E_SourceStreams!$A:$N,DB69,W$7)))</f>
        <v/>
      </c>
      <c r="X69" s="703" t="str">
        <f>IF($E69="","",IF(INDEX(E_SourceStreams!$A:$N,DC69,X$7)="","",INDEX(E_SourceStreams!$A:$N,DC69,X$7)))</f>
        <v/>
      </c>
      <c r="Y69" s="703" t="str">
        <f>IF($E69="","",IF(INDEX(E_SourceStreams!$A:$N,DD69,Y$7)="","",INDEX(E_SourceStreams!$A:$N,DD69,Y$7)))</f>
        <v/>
      </c>
      <c r="Z69" s="703" t="str">
        <f>IF($E69="","",IF(INDEX(E_SourceStreams!$A:$N,DE69,Z$7)="","",INDEX(E_SourceStreams!$A:$N,DE69,Z$7)))</f>
        <v/>
      </c>
      <c r="AA69" s="703" t="str">
        <f>IF($E69="","",IF(INDEX(E_SourceStreams!$A:$N,DF69,AA$7)="","",INDEX(E_SourceStreams!$A:$N,DF69,AA$7)))</f>
        <v/>
      </c>
      <c r="AB69" s="703" t="str">
        <f>IF($E69="","",IF(INDEX(E_SourceStreams!$A:$N,DG69,AB$7)="","",INDEX(E_SourceStreams!$A:$N,DG69,AB$7)))</f>
        <v/>
      </c>
      <c r="AC69" s="703" t="str">
        <f>IF($E69="","",IF(INDEX(E_SourceStreams!$A:$N,DH69,AC$7)="","",INDEX(E_SourceStreams!$A:$N,DH69,AC$7)))</f>
        <v/>
      </c>
      <c r="AD69" s="703" t="str">
        <f>IF($E69="","",IF(INDEX(E_SourceStreams!$A:$N,DI69,AD$7)="","",INDEX(E_SourceStreams!$A:$N,DI69,AD$7)))</f>
        <v/>
      </c>
      <c r="AE69" s="703" t="str">
        <f>IF($E69="","",IF(INDEX(E_SourceStreams!$A:$N,DJ69,AE$7)="","",INDEX(E_SourceStreams!$A:$N,DJ69,AE$7)))</f>
        <v/>
      </c>
      <c r="AF69" s="703" t="str">
        <f>IF($E69="","",IF(INDEX(E_SourceStreams!$A:$N,DK69,AF$7)="","",INDEX(E_SourceStreams!$A:$N,DK69,AF$7)))</f>
        <v/>
      </c>
      <c r="AG69" s="703" t="str">
        <f>IF($E69="","",IF(INDEX(E_SourceStreams!$A:$N,DL69,AG$7)="","",INDEX(E_SourceStreams!$A:$N,DL69,AG$7)))</f>
        <v/>
      </c>
      <c r="AH69" s="703" t="str">
        <f>IF($E69="","",IF(INDEX(E_SourceStreams!$A:$N,DM69,AH$7)="","",INDEX(E_SourceStreams!$A:$N,DM69,AH$7)))</f>
        <v/>
      </c>
      <c r="AI69" s="703" t="str">
        <f>IF($E69="","",IF(INDEX(E_SourceStreams!$A:$N,DN69,AI$7)="","",INDEX(E_SourceStreams!$A:$N,DN69,AI$7)))</f>
        <v/>
      </c>
      <c r="AJ69" s="703" t="str">
        <f>IF($E69="","",IF(INDEX(E_SourceStreams!$A:$N,DO69,AJ$7)="","",INDEX(E_SourceStreams!$A:$N,DO69,AJ$7)))</f>
        <v/>
      </c>
      <c r="AK69" s="703" t="str">
        <f>IF($E69="","",IF(INDEX(E_SourceStreams!$A:$N,DP69,AK$7)="","",INDEX(E_SourceStreams!$A:$N,DP69,AK$7)))</f>
        <v/>
      </c>
      <c r="AL69" s="703" t="str">
        <f>IF($E69="","",IF(INDEX(E_SourceStreams!$A:$N,DQ69,AL$7)="","",INDEX(E_SourceStreams!$A:$N,DQ69,AL$7)))</f>
        <v/>
      </c>
      <c r="AM69" s="703" t="str">
        <f>IF($E69="","",IF(INDEX(E_SourceStreams!$A:$N,DR69,AM$7)="","",INDEX(E_SourceStreams!$A:$N,DR69,AM$7)))</f>
        <v/>
      </c>
      <c r="AN69" s="703" t="str">
        <f>IF($E69="","",IF(INDEX(E_SourceStreams!$A:$N,DS69,AN$7)="","",INDEX(E_SourceStreams!$A:$N,DS69,AN$7)))</f>
        <v/>
      </c>
      <c r="AO69" s="703" t="str">
        <f>IF($E69="","",IF(INDEX(E_SourceStreams!$A:$N,DT69,AO$7)="","",INDEX(E_SourceStreams!$A:$N,DT69,AO$7)))</f>
        <v/>
      </c>
      <c r="AP69" s="703" t="str">
        <f>IF($E69="","",IF(INDEX(E_SourceStreams!$A:$N,DU69,AP$7)="","",INDEX(E_SourceStreams!$A:$N,DU69,AP$7)))</f>
        <v/>
      </c>
      <c r="AQ69" s="703" t="str">
        <f>IF($E69="","",IF(INDEX(E_SourceStreams!$A:$N,DV69,AQ$7)="","",INDEX(E_SourceStreams!$A:$N,DV69,AQ$7)))</f>
        <v/>
      </c>
      <c r="AR69" s="703" t="str">
        <f>IF($E69="","",IF(INDEX(E_SourceStreams!$A:$N,DW69,AR$7)="","",INDEX(E_SourceStreams!$A:$N,DW69,AR$7)))</f>
        <v/>
      </c>
      <c r="AS69" s="703" t="str">
        <f>IF($E69="","",IF(INDEX(E_SourceStreams!$A:$N,DX69,AS$7)="","",INDEX(E_SourceStreams!$A:$N,DX69,AS$7)))</f>
        <v/>
      </c>
      <c r="AT69" s="703" t="str">
        <f>IF($E69="","",IF(INDEX(E_SourceStreams!$A:$N,DY69,AT$7)="","",INDEX(E_SourceStreams!$A:$N,DY69,AT$7)))</f>
        <v/>
      </c>
      <c r="AU69" s="703" t="str">
        <f>IF($E69="","",IF(INDEX(E_SourceStreams!$A:$N,DZ69,AU$7)="","",INDEX(E_SourceStreams!$A:$N,DZ69,AU$7)))</f>
        <v/>
      </c>
      <c r="AV69" s="703" t="str">
        <f>IF($E69="","",IF(INDEX(E_SourceStreams!$A:$N,EA69,AV$7)="","",INDEX(E_SourceStreams!$A:$N,EA69,AV$7)))</f>
        <v/>
      </c>
      <c r="AW69" s="703" t="str">
        <f>IF($E69="","",IF(INDEX(E_SourceStreams!$A:$N,EB69,AW$7)="","",INDEX(E_SourceStreams!$A:$N,EB69,AW$7)))</f>
        <v/>
      </c>
      <c r="AX69" s="703" t="str">
        <f>IF($E69="","",IF(INDEX(E_SourceStreams!$A:$N,EC69,AX$7)="","",INDEX(E_SourceStreams!$A:$N,EC69,AX$7)))</f>
        <v/>
      </c>
      <c r="AY69" s="703" t="str">
        <f>IF($E69="","",IF(INDEX(E_SourceStreams!$A:$N,ED69,AY$7)="","",INDEX(E_SourceStreams!$A:$N,ED69,AY$7)))</f>
        <v/>
      </c>
      <c r="AZ69" s="703" t="str">
        <f>IF($E69="","",IF(INDEX(E_SourceStreams!$A:$N,EE69,AZ$7)="","",INDEX(E_SourceStreams!$A:$N,EE69,AZ$7)))</f>
        <v/>
      </c>
      <c r="BA69" s="703" t="str">
        <f>IF($E69="","",IF(INDEX(E_SourceStreams!$A:$N,EF69,BA$7)="","",INDEX(E_SourceStreams!$A:$N,EF69,BA$7)))</f>
        <v/>
      </c>
      <c r="BB69" s="703" t="str">
        <f>IF($E69="","",IF(INDEX(E_SourceStreams!$A:$N,EG69,BB$7)="","",INDEX(E_SourceStreams!$A:$N,EG69,BB$7)))</f>
        <v/>
      </c>
      <c r="BC69" s="703" t="str">
        <f>IF($E69="","",IF(INDEX(E_SourceStreams!$A:$N,EH69,BC$7)="","",INDEX(E_SourceStreams!$A:$N,EH69,BC$7)))</f>
        <v/>
      </c>
      <c r="BD69" s="703" t="str">
        <f>IF($E69="","",IF(INDEX(E_SourceStreams!$A:$N,EI69,BD$7)="","",INDEX(E_SourceStreams!$A:$N,EI69,BD$7)))</f>
        <v/>
      </c>
      <c r="BE69" s="703" t="str">
        <f>IF($E69="","",IF(INDEX(E_SourceStreams!$A:$N,EJ69,BE$7)="","",INDEX(E_SourceStreams!$A:$N,EJ69,BE$7)))</f>
        <v/>
      </c>
      <c r="BF69" s="703" t="str">
        <f>IF($E69="","",IF(INDEX(E_SourceStreams!$A:$N,EK69,BF$7)="","",INDEX(E_SourceStreams!$A:$N,EK69,BF$7)))</f>
        <v/>
      </c>
      <c r="BG69" s="703" t="str">
        <f>IF($E69="","",IF(INDEX(E_SourceStreams!$A:$N,EL69,BG$7)="","",INDEX(E_SourceStreams!$A:$N,EL69,BG$7)))</f>
        <v/>
      </c>
      <c r="BH69" s="703" t="str">
        <f>IF($E69="","",IF(INDEX(E_SourceStreams!$A:$N,EM69,BH$7)="","",INDEX(E_SourceStreams!$A:$N,EM69,BH$7)))</f>
        <v/>
      </c>
      <c r="BI69" s="703" t="str">
        <f>IF($E69="","",IF(INDEX(E_SourceStreams!$A:$N,EN69,BI$7)="","",INDEX(E_SourceStreams!$A:$N,EN69,BI$7)))</f>
        <v/>
      </c>
      <c r="BJ69" s="703" t="str">
        <f>IF($E69="","",IF(INDEX(E_SourceStreams!$A:$N,EO69,BJ$7)="","",INDEX(E_SourceStreams!$A:$N,EO69,BJ$7)))</f>
        <v/>
      </c>
      <c r="BK69" s="703" t="str">
        <f>IF($E69="","",IF(INDEX(E_SourceStreams!$A:$N,EP69,BK$7)="","",INDEX(E_SourceStreams!$A:$N,EP69,BK$7)))</f>
        <v/>
      </c>
      <c r="BL69" s="703" t="str">
        <f>IF($E69="","",IF(INDEX(E_SourceStreams!$A:$N,EQ69,BL$7)="","",INDEX(E_SourceStreams!$A:$N,EQ69,BL$7)))</f>
        <v/>
      </c>
      <c r="BM69" s="703" t="str">
        <f>IF($E69="","",IF(INDEX(E_SourceStreams!$A:$N,ER69,BM$7)="","",INDEX(E_SourceStreams!$A:$N,ER69,BM$7)))</f>
        <v/>
      </c>
      <c r="BN69" s="703" t="str">
        <f>IF($E69="","",IF(INDEX(E_SourceStreams!$A:$N,ES69,BN$7)="","",INDEX(E_SourceStreams!$A:$N,ES69,BN$7)))</f>
        <v/>
      </c>
      <c r="BO69" s="703" t="str">
        <f>IF($E69="","",IF(INDEX(E_SourceStreams!$A:$N,ET69,BO$7)="","",INDEX(E_SourceStreams!$A:$N,ET69,BO$7)))</f>
        <v/>
      </c>
      <c r="BP69" s="703" t="str">
        <f>IF($E69="","",IF(INDEX(E_SourceStreams!$A:$N,EU69,BP$7)="","",INDEX(E_SourceStreams!$A:$N,EU69,BP$7)))</f>
        <v/>
      </c>
      <c r="BQ69" s="703" t="str">
        <f>IF($E69="","",IF(INDEX(E_SourceStreams!$A:$N,EV69,BQ$7)="","",INDEX(E_SourceStreams!$A:$N,EV69,BQ$7)))</f>
        <v/>
      </c>
      <c r="BR69" s="703" t="str">
        <f>IF($E69="","",IF(INDEX(E_SourceStreams!$A:$N,EW69,BR$7)="","",INDEX(E_SourceStreams!$A:$N,EW69,BR$7)))</f>
        <v/>
      </c>
      <c r="BS69" s="703" t="str">
        <f>IF($E69="","",IF(INDEX(E_SourceStreams!$A:$N,EX69,BS$7)="","",INDEX(E_SourceStreams!$A:$N,EX69,BS$7)))</f>
        <v/>
      </c>
      <c r="BT69" s="703" t="str">
        <f>IF($E69="","",IF(INDEX(E_SourceStreams!$A:$N,EY69,BT$7)="","",INDEX(E_SourceStreams!$A:$N,EY69,BT$7)))</f>
        <v/>
      </c>
      <c r="BU69" s="625"/>
      <c r="CJ69" s="679" t="str">
        <f t="shared" si="66"/>
        <v>SourceCategory_</v>
      </c>
      <c r="CK69" s="679" t="b">
        <f>INDEX(C_InstallationDescription!$A$226:$A$332,ROWS($CI$11:CI69))="ausblenden"</f>
        <v>1</v>
      </c>
      <c r="CL69" s="679" t="str">
        <f t="shared" si="67"/>
        <v>SourceStreamName_</v>
      </c>
      <c r="CN69" s="679">
        <f t="shared" si="65"/>
        <v>3963</v>
      </c>
      <c r="CO69" s="679">
        <f t="shared" si="2"/>
        <v>3965</v>
      </c>
      <c r="CP69" s="679">
        <f t="shared" si="3"/>
        <v>3967</v>
      </c>
      <c r="CQ69" s="679">
        <f t="shared" si="4"/>
        <v>3969</v>
      </c>
      <c r="CR69" s="679">
        <f t="shared" si="5"/>
        <v>3971</v>
      </c>
      <c r="CS69" s="679">
        <f t="shared" si="6"/>
        <v>3973</v>
      </c>
      <c r="CT69" s="679">
        <f t="shared" si="7"/>
        <v>3975</v>
      </c>
      <c r="CU69" s="679">
        <f t="shared" si="8"/>
        <v>3975</v>
      </c>
      <c r="CV69" s="679">
        <f t="shared" si="9"/>
        <v>3975</v>
      </c>
      <c r="CW69" s="679">
        <f t="shared" si="10"/>
        <v>3975</v>
      </c>
      <c r="CX69" s="679">
        <f t="shared" si="11"/>
        <v>3975</v>
      </c>
      <c r="CY69" s="679">
        <f t="shared" si="12"/>
        <v>3978</v>
      </c>
      <c r="CZ69" s="679">
        <f t="shared" si="13"/>
        <v>3982</v>
      </c>
      <c r="DA69" s="679">
        <f t="shared" si="14"/>
        <v>3983</v>
      </c>
      <c r="DB69" s="679">
        <f t="shared" si="15"/>
        <v>3984</v>
      </c>
      <c r="DC69" s="679">
        <f t="shared" si="16"/>
        <v>3991</v>
      </c>
      <c r="DD69" s="679">
        <f t="shared" si="17"/>
        <v>4001</v>
      </c>
      <c r="DE69" s="679">
        <f t="shared" si="18"/>
        <v>4001</v>
      </c>
      <c r="DF69" s="679">
        <f t="shared" si="19"/>
        <v>4001</v>
      </c>
      <c r="DG69" s="679">
        <f t="shared" si="20"/>
        <v>4001</v>
      </c>
      <c r="DH69" s="679">
        <f t="shared" si="21"/>
        <v>4001</v>
      </c>
      <c r="DI69" s="679">
        <f t="shared" si="22"/>
        <v>4001</v>
      </c>
      <c r="DJ69" s="679">
        <f t="shared" si="23"/>
        <v>4001</v>
      </c>
      <c r="DK69" s="679">
        <f t="shared" si="24"/>
        <v>3992</v>
      </c>
      <c r="DL69" s="679">
        <f t="shared" si="25"/>
        <v>4002</v>
      </c>
      <c r="DM69" s="679">
        <f t="shared" si="26"/>
        <v>4002</v>
      </c>
      <c r="DN69" s="679">
        <f t="shared" si="27"/>
        <v>4002</v>
      </c>
      <c r="DO69" s="679">
        <f t="shared" si="28"/>
        <v>4002</v>
      </c>
      <c r="DP69" s="679">
        <f t="shared" si="29"/>
        <v>4002</v>
      </c>
      <c r="DQ69" s="679">
        <f t="shared" si="30"/>
        <v>4002</v>
      </c>
      <c r="DR69" s="679">
        <f t="shared" si="31"/>
        <v>4002</v>
      </c>
      <c r="DS69" s="679">
        <f t="shared" si="32"/>
        <v>3993</v>
      </c>
      <c r="DT69" s="679">
        <f t="shared" si="33"/>
        <v>4003</v>
      </c>
      <c r="DU69" s="679">
        <f t="shared" si="34"/>
        <v>4003</v>
      </c>
      <c r="DV69" s="679">
        <f t="shared" si="35"/>
        <v>4003</v>
      </c>
      <c r="DW69" s="679">
        <f t="shared" si="36"/>
        <v>4003</v>
      </c>
      <c r="DX69" s="679">
        <f t="shared" si="37"/>
        <v>4003</v>
      </c>
      <c r="DY69" s="679">
        <f t="shared" si="38"/>
        <v>4003</v>
      </c>
      <c r="DZ69" s="679">
        <f t="shared" si="39"/>
        <v>4003</v>
      </c>
      <c r="EA69" s="679">
        <f t="shared" si="40"/>
        <v>3994</v>
      </c>
      <c r="EB69" s="679">
        <f t="shared" si="41"/>
        <v>4004</v>
      </c>
      <c r="EC69" s="679">
        <f t="shared" si="42"/>
        <v>4004</v>
      </c>
      <c r="ED69" s="679">
        <f t="shared" si="43"/>
        <v>4004</v>
      </c>
      <c r="EE69" s="679">
        <f t="shared" si="44"/>
        <v>4004</v>
      </c>
      <c r="EF69" s="679">
        <f t="shared" si="45"/>
        <v>4004</v>
      </c>
      <c r="EG69" s="679">
        <f t="shared" si="46"/>
        <v>4004</v>
      </c>
      <c r="EH69" s="679">
        <f t="shared" si="47"/>
        <v>4004</v>
      </c>
      <c r="EI69" s="679">
        <f t="shared" si="48"/>
        <v>3995</v>
      </c>
      <c r="EJ69" s="679">
        <f t="shared" si="49"/>
        <v>4005</v>
      </c>
      <c r="EK69" s="679">
        <f t="shared" si="50"/>
        <v>4005</v>
      </c>
      <c r="EL69" s="679">
        <f t="shared" si="51"/>
        <v>4005</v>
      </c>
      <c r="EM69" s="679">
        <f t="shared" si="52"/>
        <v>4005</v>
      </c>
      <c r="EN69" s="679">
        <f t="shared" si="53"/>
        <v>4005</v>
      </c>
      <c r="EO69" s="679">
        <f t="shared" si="54"/>
        <v>4005</v>
      </c>
      <c r="EP69" s="679">
        <f t="shared" si="55"/>
        <v>4005</v>
      </c>
      <c r="EQ69" s="679">
        <f t="shared" si="56"/>
        <v>3996</v>
      </c>
      <c r="ER69" s="679">
        <f t="shared" si="57"/>
        <v>4006</v>
      </c>
      <c r="ES69" s="679">
        <f t="shared" si="58"/>
        <v>4006</v>
      </c>
      <c r="ET69" s="679">
        <f t="shared" si="59"/>
        <v>4006</v>
      </c>
      <c r="EU69" s="679">
        <f t="shared" si="60"/>
        <v>4006</v>
      </c>
      <c r="EV69" s="679">
        <f t="shared" si="61"/>
        <v>4006</v>
      </c>
      <c r="EW69" s="679">
        <f t="shared" si="62"/>
        <v>4006</v>
      </c>
      <c r="EX69" s="679">
        <f t="shared" si="63"/>
        <v>4006</v>
      </c>
      <c r="EY69" s="679">
        <f t="shared" si="64"/>
        <v>4012</v>
      </c>
    </row>
    <row r="70" spans="2:155" ht="12.75" customHeight="1" x14ac:dyDescent="0.2">
      <c r="B70" s="700" t="str">
        <f>IF(COUNTIF($CK$10:CK70,TRUE)&gt;0,"",INDEX(C_InstallationDescription!$E$226:$E$242,ROWS($A$11:A70)))</f>
        <v/>
      </c>
      <c r="C70" s="581" t="str">
        <f>IF($E70="","",INDEX(C_InstallationDescription!F:F,MATCH($B70,C_InstallationDescription!$E:$E,0)))</f>
        <v/>
      </c>
      <c r="D70" s="581" t="str">
        <f>IF($E70="","",INDEX(C_InstallationDescription!I:I,MATCH($B70,C_InstallationDescription!$E:$E,0)))</f>
        <v/>
      </c>
      <c r="E70" s="581" t="str">
        <f>IF($B70="","",INDEX(C_InstallationDescription!F:F,MATCH($CJ70,C_InstallationDescription!$Q:$Q,0)))</f>
        <v/>
      </c>
      <c r="F70" s="706" t="str">
        <f>IF($E70="","",INDEX(C_InstallationDescription!L:L,MATCH($CJ70,C_InstallationDescription!$Q:$Q,0)))</f>
        <v/>
      </c>
      <c r="G70" s="581" t="str">
        <f>IF($E70="","",INDEX(C_InstallationDescription!M:M,MATCH($CJ70,C_InstallationDescription!$Q:$Q,0)))</f>
        <v/>
      </c>
      <c r="H70" s="581" t="str">
        <f>IF($E70="","",INDEX(C_InstallationDescription!N:N,MATCH($CJ70,C_InstallationDescription!$Q:$Q,0)))</f>
        <v/>
      </c>
      <c r="I70" s="703" t="str">
        <f>IF($E70="","",IF(INDEX(E_SourceStreams!$A:$N,CN70,I$7)="","",INDEX(E_SourceStreams!$A:$N,CN70,I$7)))</f>
        <v/>
      </c>
      <c r="J70" s="703" t="str">
        <f>IF($E70="","",IF(INDEX(E_SourceStreams!$A:$N,CO70,J$7)="","",INDEX(E_SourceStreams!$A:$N,CO70,J$7)))</f>
        <v/>
      </c>
      <c r="K70" s="703" t="str">
        <f>IF($E70="","",IF(INDEX(E_SourceStreams!$A:$N,CP70,K$7)="","",INDEX(E_SourceStreams!$A:$N,CP70,K$7)))</f>
        <v/>
      </c>
      <c r="L70" s="703" t="str">
        <f>IF($E70="","",IF(INDEX(E_SourceStreams!$A:$N,CQ70,L$7)="","",INDEX(E_SourceStreams!$A:$N,CQ70,L$7)))</f>
        <v/>
      </c>
      <c r="M70" s="703" t="str">
        <f>IF($E70="","",IF(INDEX(E_SourceStreams!$A:$N,CR70,M$7)="","",INDEX(E_SourceStreams!$A:$N,CR70,M$7)))</f>
        <v/>
      </c>
      <c r="N70" s="703" t="str">
        <f>IF($E70="","",IF(INDEX(E_SourceStreams!$A:$N,CS70,N$7)="","",INDEX(E_SourceStreams!$A:$N,CS70,N$7)))</f>
        <v/>
      </c>
      <c r="O70" s="703" t="str">
        <f>IF($E70="","",IF(INDEX(E_SourceStreams!$A:$N,CT70,O$7)="","",INDEX(E_SourceStreams!$A:$N,CT70,O$7)))</f>
        <v/>
      </c>
      <c r="P70" s="703" t="str">
        <f>IF($E70="","",IF(INDEX(E_SourceStreams!$A:$N,CU70,P$7)="","",INDEX(E_SourceStreams!$A:$N,CU70,P$7)))</f>
        <v/>
      </c>
      <c r="Q70" s="703" t="str">
        <f>IF($E70="","",IF(INDEX(E_SourceStreams!$A:$N,CV70,Q$7)="","",INDEX(E_SourceStreams!$A:$N,CV70,Q$7)))</f>
        <v/>
      </c>
      <c r="R70" s="703" t="str">
        <f>IF($E70="","",IF(INDEX(E_SourceStreams!$A:$N,CW70,R$7)="","",INDEX(E_SourceStreams!$A:$N,CW70,R$7)))</f>
        <v/>
      </c>
      <c r="S70" s="703" t="str">
        <f>IF($E70="","",IF(INDEX(E_SourceStreams!$A:$N,CX70,S$7)="","",INDEX(E_SourceStreams!$A:$N,CX70,S$7)))</f>
        <v/>
      </c>
      <c r="T70" s="703" t="str">
        <f>IF($E70="","",IF(INDEX(E_SourceStreams!$A:$N,CY70,T$7)="","",INDEX(E_SourceStreams!$A:$N,CY70,T$7)))</f>
        <v/>
      </c>
      <c r="U70" s="703" t="str">
        <f>IF($E70="","",IF(INDEX(E_SourceStreams!$A:$N,CZ70,U$7)="","",INDEX(E_SourceStreams!$A:$N,CZ70,U$7)))</f>
        <v/>
      </c>
      <c r="V70" s="703" t="str">
        <f>IF($E70="","",IF(INDEX(E_SourceStreams!$A:$N,DA70,V$7)="","",INDEX(E_SourceStreams!$A:$N,DA70,V$7)))</f>
        <v/>
      </c>
      <c r="W70" s="704" t="str">
        <f>IF($E70="","",IF(INDEX(E_SourceStreams!$A:$N,DB70,W$7)="","",INDEX(E_SourceStreams!$A:$N,DB70,W$7)))</f>
        <v/>
      </c>
      <c r="X70" s="703" t="str">
        <f>IF($E70="","",IF(INDEX(E_SourceStreams!$A:$N,DC70,X$7)="","",INDEX(E_SourceStreams!$A:$N,DC70,X$7)))</f>
        <v/>
      </c>
      <c r="Y70" s="703" t="str">
        <f>IF($E70="","",IF(INDEX(E_SourceStreams!$A:$N,DD70,Y$7)="","",INDEX(E_SourceStreams!$A:$N,DD70,Y$7)))</f>
        <v/>
      </c>
      <c r="Z70" s="703" t="str">
        <f>IF($E70="","",IF(INDEX(E_SourceStreams!$A:$N,DE70,Z$7)="","",INDEX(E_SourceStreams!$A:$N,DE70,Z$7)))</f>
        <v/>
      </c>
      <c r="AA70" s="703" t="str">
        <f>IF($E70="","",IF(INDEX(E_SourceStreams!$A:$N,DF70,AA$7)="","",INDEX(E_SourceStreams!$A:$N,DF70,AA$7)))</f>
        <v/>
      </c>
      <c r="AB70" s="703" t="str">
        <f>IF($E70="","",IF(INDEX(E_SourceStreams!$A:$N,DG70,AB$7)="","",INDEX(E_SourceStreams!$A:$N,DG70,AB$7)))</f>
        <v/>
      </c>
      <c r="AC70" s="703" t="str">
        <f>IF($E70="","",IF(INDEX(E_SourceStreams!$A:$N,DH70,AC$7)="","",INDEX(E_SourceStreams!$A:$N,DH70,AC$7)))</f>
        <v/>
      </c>
      <c r="AD70" s="703" t="str">
        <f>IF($E70="","",IF(INDEX(E_SourceStreams!$A:$N,DI70,AD$7)="","",INDEX(E_SourceStreams!$A:$N,DI70,AD$7)))</f>
        <v/>
      </c>
      <c r="AE70" s="703" t="str">
        <f>IF($E70="","",IF(INDEX(E_SourceStreams!$A:$N,DJ70,AE$7)="","",INDEX(E_SourceStreams!$A:$N,DJ70,AE$7)))</f>
        <v/>
      </c>
      <c r="AF70" s="703" t="str">
        <f>IF($E70="","",IF(INDEX(E_SourceStreams!$A:$N,DK70,AF$7)="","",INDEX(E_SourceStreams!$A:$N,DK70,AF$7)))</f>
        <v/>
      </c>
      <c r="AG70" s="703" t="str">
        <f>IF($E70="","",IF(INDEX(E_SourceStreams!$A:$N,DL70,AG$7)="","",INDEX(E_SourceStreams!$A:$N,DL70,AG$7)))</f>
        <v/>
      </c>
      <c r="AH70" s="703" t="str">
        <f>IF($E70="","",IF(INDEX(E_SourceStreams!$A:$N,DM70,AH$7)="","",INDEX(E_SourceStreams!$A:$N,DM70,AH$7)))</f>
        <v/>
      </c>
      <c r="AI70" s="703" t="str">
        <f>IF($E70="","",IF(INDEX(E_SourceStreams!$A:$N,DN70,AI$7)="","",INDEX(E_SourceStreams!$A:$N,DN70,AI$7)))</f>
        <v/>
      </c>
      <c r="AJ70" s="703" t="str">
        <f>IF($E70="","",IF(INDEX(E_SourceStreams!$A:$N,DO70,AJ$7)="","",INDEX(E_SourceStreams!$A:$N,DO70,AJ$7)))</f>
        <v/>
      </c>
      <c r="AK70" s="703" t="str">
        <f>IF($E70="","",IF(INDEX(E_SourceStreams!$A:$N,DP70,AK$7)="","",INDEX(E_SourceStreams!$A:$N,DP70,AK$7)))</f>
        <v/>
      </c>
      <c r="AL70" s="703" t="str">
        <f>IF($E70="","",IF(INDEX(E_SourceStreams!$A:$N,DQ70,AL$7)="","",INDEX(E_SourceStreams!$A:$N,DQ70,AL$7)))</f>
        <v/>
      </c>
      <c r="AM70" s="703" t="str">
        <f>IF($E70="","",IF(INDEX(E_SourceStreams!$A:$N,DR70,AM$7)="","",INDEX(E_SourceStreams!$A:$N,DR70,AM$7)))</f>
        <v/>
      </c>
      <c r="AN70" s="703" t="str">
        <f>IF($E70="","",IF(INDEX(E_SourceStreams!$A:$N,DS70,AN$7)="","",INDEX(E_SourceStreams!$A:$N,DS70,AN$7)))</f>
        <v/>
      </c>
      <c r="AO70" s="703" t="str">
        <f>IF($E70="","",IF(INDEX(E_SourceStreams!$A:$N,DT70,AO$7)="","",INDEX(E_SourceStreams!$A:$N,DT70,AO$7)))</f>
        <v/>
      </c>
      <c r="AP70" s="703" t="str">
        <f>IF($E70="","",IF(INDEX(E_SourceStreams!$A:$N,DU70,AP$7)="","",INDEX(E_SourceStreams!$A:$N,DU70,AP$7)))</f>
        <v/>
      </c>
      <c r="AQ70" s="703" t="str">
        <f>IF($E70="","",IF(INDEX(E_SourceStreams!$A:$N,DV70,AQ$7)="","",INDEX(E_SourceStreams!$A:$N,DV70,AQ$7)))</f>
        <v/>
      </c>
      <c r="AR70" s="703" t="str">
        <f>IF($E70="","",IF(INDEX(E_SourceStreams!$A:$N,DW70,AR$7)="","",INDEX(E_SourceStreams!$A:$N,DW70,AR$7)))</f>
        <v/>
      </c>
      <c r="AS70" s="703" t="str">
        <f>IF($E70="","",IF(INDEX(E_SourceStreams!$A:$N,DX70,AS$7)="","",INDEX(E_SourceStreams!$A:$N,DX70,AS$7)))</f>
        <v/>
      </c>
      <c r="AT70" s="703" t="str">
        <f>IF($E70="","",IF(INDEX(E_SourceStreams!$A:$N,DY70,AT$7)="","",INDEX(E_SourceStreams!$A:$N,DY70,AT$7)))</f>
        <v/>
      </c>
      <c r="AU70" s="703" t="str">
        <f>IF($E70="","",IF(INDEX(E_SourceStreams!$A:$N,DZ70,AU$7)="","",INDEX(E_SourceStreams!$A:$N,DZ70,AU$7)))</f>
        <v/>
      </c>
      <c r="AV70" s="703" t="str">
        <f>IF($E70="","",IF(INDEX(E_SourceStreams!$A:$N,EA70,AV$7)="","",INDEX(E_SourceStreams!$A:$N,EA70,AV$7)))</f>
        <v/>
      </c>
      <c r="AW70" s="703" t="str">
        <f>IF($E70="","",IF(INDEX(E_SourceStreams!$A:$N,EB70,AW$7)="","",INDEX(E_SourceStreams!$A:$N,EB70,AW$7)))</f>
        <v/>
      </c>
      <c r="AX70" s="703" t="str">
        <f>IF($E70="","",IF(INDEX(E_SourceStreams!$A:$N,EC70,AX$7)="","",INDEX(E_SourceStreams!$A:$N,EC70,AX$7)))</f>
        <v/>
      </c>
      <c r="AY70" s="703" t="str">
        <f>IF($E70="","",IF(INDEX(E_SourceStreams!$A:$N,ED70,AY$7)="","",INDEX(E_SourceStreams!$A:$N,ED70,AY$7)))</f>
        <v/>
      </c>
      <c r="AZ70" s="703" t="str">
        <f>IF($E70="","",IF(INDEX(E_SourceStreams!$A:$N,EE70,AZ$7)="","",INDEX(E_SourceStreams!$A:$N,EE70,AZ$7)))</f>
        <v/>
      </c>
      <c r="BA70" s="703" t="str">
        <f>IF($E70="","",IF(INDEX(E_SourceStreams!$A:$N,EF70,BA$7)="","",INDEX(E_SourceStreams!$A:$N,EF70,BA$7)))</f>
        <v/>
      </c>
      <c r="BB70" s="703" t="str">
        <f>IF($E70="","",IF(INDEX(E_SourceStreams!$A:$N,EG70,BB$7)="","",INDEX(E_SourceStreams!$A:$N,EG70,BB$7)))</f>
        <v/>
      </c>
      <c r="BC70" s="703" t="str">
        <f>IF($E70="","",IF(INDEX(E_SourceStreams!$A:$N,EH70,BC$7)="","",INDEX(E_SourceStreams!$A:$N,EH70,BC$7)))</f>
        <v/>
      </c>
      <c r="BD70" s="703" t="str">
        <f>IF($E70="","",IF(INDEX(E_SourceStreams!$A:$N,EI70,BD$7)="","",INDEX(E_SourceStreams!$A:$N,EI70,BD$7)))</f>
        <v/>
      </c>
      <c r="BE70" s="703" t="str">
        <f>IF($E70="","",IF(INDEX(E_SourceStreams!$A:$N,EJ70,BE$7)="","",INDEX(E_SourceStreams!$A:$N,EJ70,BE$7)))</f>
        <v/>
      </c>
      <c r="BF70" s="703" t="str">
        <f>IF($E70="","",IF(INDEX(E_SourceStreams!$A:$N,EK70,BF$7)="","",INDEX(E_SourceStreams!$A:$N,EK70,BF$7)))</f>
        <v/>
      </c>
      <c r="BG70" s="703" t="str">
        <f>IF($E70="","",IF(INDEX(E_SourceStreams!$A:$N,EL70,BG$7)="","",INDEX(E_SourceStreams!$A:$N,EL70,BG$7)))</f>
        <v/>
      </c>
      <c r="BH70" s="703" t="str">
        <f>IF($E70="","",IF(INDEX(E_SourceStreams!$A:$N,EM70,BH$7)="","",INDEX(E_SourceStreams!$A:$N,EM70,BH$7)))</f>
        <v/>
      </c>
      <c r="BI70" s="703" t="str">
        <f>IF($E70="","",IF(INDEX(E_SourceStreams!$A:$N,EN70,BI$7)="","",INDEX(E_SourceStreams!$A:$N,EN70,BI$7)))</f>
        <v/>
      </c>
      <c r="BJ70" s="703" t="str">
        <f>IF($E70="","",IF(INDEX(E_SourceStreams!$A:$N,EO70,BJ$7)="","",INDEX(E_SourceStreams!$A:$N,EO70,BJ$7)))</f>
        <v/>
      </c>
      <c r="BK70" s="703" t="str">
        <f>IF($E70="","",IF(INDEX(E_SourceStreams!$A:$N,EP70,BK$7)="","",INDEX(E_SourceStreams!$A:$N,EP70,BK$7)))</f>
        <v/>
      </c>
      <c r="BL70" s="703" t="str">
        <f>IF($E70="","",IF(INDEX(E_SourceStreams!$A:$N,EQ70,BL$7)="","",INDEX(E_SourceStreams!$A:$N,EQ70,BL$7)))</f>
        <v/>
      </c>
      <c r="BM70" s="703" t="str">
        <f>IF($E70="","",IF(INDEX(E_SourceStreams!$A:$N,ER70,BM$7)="","",INDEX(E_SourceStreams!$A:$N,ER70,BM$7)))</f>
        <v/>
      </c>
      <c r="BN70" s="703" t="str">
        <f>IF($E70="","",IF(INDEX(E_SourceStreams!$A:$N,ES70,BN$7)="","",INDEX(E_SourceStreams!$A:$N,ES70,BN$7)))</f>
        <v/>
      </c>
      <c r="BO70" s="703" t="str">
        <f>IF($E70="","",IF(INDEX(E_SourceStreams!$A:$N,ET70,BO$7)="","",INDEX(E_SourceStreams!$A:$N,ET70,BO$7)))</f>
        <v/>
      </c>
      <c r="BP70" s="703" t="str">
        <f>IF($E70="","",IF(INDEX(E_SourceStreams!$A:$N,EU70,BP$7)="","",INDEX(E_SourceStreams!$A:$N,EU70,BP$7)))</f>
        <v/>
      </c>
      <c r="BQ70" s="703" t="str">
        <f>IF($E70="","",IF(INDEX(E_SourceStreams!$A:$N,EV70,BQ$7)="","",INDEX(E_SourceStreams!$A:$N,EV70,BQ$7)))</f>
        <v/>
      </c>
      <c r="BR70" s="703" t="str">
        <f>IF($E70="","",IF(INDEX(E_SourceStreams!$A:$N,EW70,BR$7)="","",INDEX(E_SourceStreams!$A:$N,EW70,BR$7)))</f>
        <v/>
      </c>
      <c r="BS70" s="703" t="str">
        <f>IF($E70="","",IF(INDEX(E_SourceStreams!$A:$N,EX70,BS$7)="","",INDEX(E_SourceStreams!$A:$N,EX70,BS$7)))</f>
        <v/>
      </c>
      <c r="BT70" s="703" t="str">
        <f>IF($E70="","",IF(INDEX(E_SourceStreams!$A:$N,EY70,BT$7)="","",INDEX(E_SourceStreams!$A:$N,EY70,BT$7)))</f>
        <v/>
      </c>
      <c r="BU70" s="625"/>
      <c r="CJ70" s="679" t="str">
        <f t="shared" si="66"/>
        <v>SourceCategory_</v>
      </c>
      <c r="CK70" s="679" t="b">
        <f>INDEX(C_InstallationDescription!$A$226:$A$332,ROWS($CI$11:CI70))="ausblenden"</f>
        <v>1</v>
      </c>
      <c r="CL70" s="679" t="str">
        <f t="shared" si="67"/>
        <v>SourceStreamName_</v>
      </c>
      <c r="CN70" s="679">
        <f t="shared" si="65"/>
        <v>4029</v>
      </c>
      <c r="CO70" s="679">
        <f t="shared" si="2"/>
        <v>4031</v>
      </c>
      <c r="CP70" s="679">
        <f t="shared" si="3"/>
        <v>4033</v>
      </c>
      <c r="CQ70" s="679">
        <f t="shared" si="4"/>
        <v>4035</v>
      </c>
      <c r="CR70" s="679">
        <f t="shared" si="5"/>
        <v>4037</v>
      </c>
      <c r="CS70" s="679">
        <f t="shared" si="6"/>
        <v>4039</v>
      </c>
      <c r="CT70" s="679">
        <f t="shared" si="7"/>
        <v>4041</v>
      </c>
      <c r="CU70" s="679">
        <f t="shared" si="8"/>
        <v>4041</v>
      </c>
      <c r="CV70" s="679">
        <f t="shared" si="9"/>
        <v>4041</v>
      </c>
      <c r="CW70" s="679">
        <f t="shared" si="10"/>
        <v>4041</v>
      </c>
      <c r="CX70" s="679">
        <f t="shared" si="11"/>
        <v>4041</v>
      </c>
      <c r="CY70" s="679">
        <f t="shared" si="12"/>
        <v>4044</v>
      </c>
      <c r="CZ70" s="679">
        <f t="shared" si="13"/>
        <v>4048</v>
      </c>
      <c r="DA70" s="679">
        <f t="shared" si="14"/>
        <v>4049</v>
      </c>
      <c r="DB70" s="679">
        <f t="shared" si="15"/>
        <v>4050</v>
      </c>
      <c r="DC70" s="679">
        <f t="shared" si="16"/>
        <v>4057</v>
      </c>
      <c r="DD70" s="679">
        <f t="shared" si="17"/>
        <v>4067</v>
      </c>
      <c r="DE70" s="679">
        <f t="shared" si="18"/>
        <v>4067</v>
      </c>
      <c r="DF70" s="679">
        <f t="shared" si="19"/>
        <v>4067</v>
      </c>
      <c r="DG70" s="679">
        <f t="shared" si="20"/>
        <v>4067</v>
      </c>
      <c r="DH70" s="679">
        <f t="shared" si="21"/>
        <v>4067</v>
      </c>
      <c r="DI70" s="679">
        <f t="shared" si="22"/>
        <v>4067</v>
      </c>
      <c r="DJ70" s="679">
        <f t="shared" si="23"/>
        <v>4067</v>
      </c>
      <c r="DK70" s="679">
        <f t="shared" si="24"/>
        <v>4058</v>
      </c>
      <c r="DL70" s="679">
        <f t="shared" si="25"/>
        <v>4068</v>
      </c>
      <c r="DM70" s="679">
        <f t="shared" si="26"/>
        <v>4068</v>
      </c>
      <c r="DN70" s="679">
        <f t="shared" si="27"/>
        <v>4068</v>
      </c>
      <c r="DO70" s="679">
        <f t="shared" si="28"/>
        <v>4068</v>
      </c>
      <c r="DP70" s="679">
        <f t="shared" si="29"/>
        <v>4068</v>
      </c>
      <c r="DQ70" s="679">
        <f t="shared" si="30"/>
        <v>4068</v>
      </c>
      <c r="DR70" s="679">
        <f t="shared" si="31"/>
        <v>4068</v>
      </c>
      <c r="DS70" s="679">
        <f t="shared" si="32"/>
        <v>4059</v>
      </c>
      <c r="DT70" s="679">
        <f t="shared" si="33"/>
        <v>4069</v>
      </c>
      <c r="DU70" s="679">
        <f t="shared" si="34"/>
        <v>4069</v>
      </c>
      <c r="DV70" s="679">
        <f t="shared" si="35"/>
        <v>4069</v>
      </c>
      <c r="DW70" s="679">
        <f t="shared" si="36"/>
        <v>4069</v>
      </c>
      <c r="DX70" s="679">
        <f t="shared" si="37"/>
        <v>4069</v>
      </c>
      <c r="DY70" s="679">
        <f t="shared" si="38"/>
        <v>4069</v>
      </c>
      <c r="DZ70" s="679">
        <f t="shared" si="39"/>
        <v>4069</v>
      </c>
      <c r="EA70" s="679">
        <f t="shared" si="40"/>
        <v>4060</v>
      </c>
      <c r="EB70" s="679">
        <f t="shared" si="41"/>
        <v>4070</v>
      </c>
      <c r="EC70" s="679">
        <f t="shared" si="42"/>
        <v>4070</v>
      </c>
      <c r="ED70" s="679">
        <f t="shared" si="43"/>
        <v>4070</v>
      </c>
      <c r="EE70" s="679">
        <f t="shared" si="44"/>
        <v>4070</v>
      </c>
      <c r="EF70" s="679">
        <f t="shared" si="45"/>
        <v>4070</v>
      </c>
      <c r="EG70" s="679">
        <f t="shared" si="46"/>
        <v>4070</v>
      </c>
      <c r="EH70" s="679">
        <f t="shared" si="47"/>
        <v>4070</v>
      </c>
      <c r="EI70" s="679">
        <f t="shared" si="48"/>
        <v>4061</v>
      </c>
      <c r="EJ70" s="679">
        <f t="shared" si="49"/>
        <v>4071</v>
      </c>
      <c r="EK70" s="679">
        <f t="shared" si="50"/>
        <v>4071</v>
      </c>
      <c r="EL70" s="679">
        <f t="shared" si="51"/>
        <v>4071</v>
      </c>
      <c r="EM70" s="679">
        <f t="shared" si="52"/>
        <v>4071</v>
      </c>
      <c r="EN70" s="679">
        <f t="shared" si="53"/>
        <v>4071</v>
      </c>
      <c r="EO70" s="679">
        <f t="shared" si="54"/>
        <v>4071</v>
      </c>
      <c r="EP70" s="679">
        <f t="shared" si="55"/>
        <v>4071</v>
      </c>
      <c r="EQ70" s="679">
        <f t="shared" si="56"/>
        <v>4062</v>
      </c>
      <c r="ER70" s="679">
        <f t="shared" si="57"/>
        <v>4072</v>
      </c>
      <c r="ES70" s="679">
        <f t="shared" si="58"/>
        <v>4072</v>
      </c>
      <c r="ET70" s="679">
        <f t="shared" si="59"/>
        <v>4072</v>
      </c>
      <c r="EU70" s="679">
        <f t="shared" si="60"/>
        <v>4072</v>
      </c>
      <c r="EV70" s="679">
        <f t="shared" si="61"/>
        <v>4072</v>
      </c>
      <c r="EW70" s="679">
        <f t="shared" si="62"/>
        <v>4072</v>
      </c>
      <c r="EX70" s="679">
        <f t="shared" si="63"/>
        <v>4072</v>
      </c>
      <c r="EY70" s="679">
        <f t="shared" si="64"/>
        <v>4078</v>
      </c>
    </row>
    <row r="71" spans="2:155" ht="12.75" customHeight="1" x14ac:dyDescent="0.2">
      <c r="B71" s="700" t="str">
        <f>IF(COUNTIF($CK$10:CK71,TRUE)&gt;0,"",INDEX(C_InstallationDescription!$E$226:$E$242,ROWS($A$11:A71)))</f>
        <v/>
      </c>
      <c r="C71" s="581" t="str">
        <f>IF($E71="","",INDEX(C_InstallationDescription!F:F,MATCH($B71,C_InstallationDescription!$E:$E,0)))</f>
        <v/>
      </c>
      <c r="D71" s="581" t="str">
        <f>IF($E71="","",INDEX(C_InstallationDescription!I:I,MATCH($B71,C_InstallationDescription!$E:$E,0)))</f>
        <v/>
      </c>
      <c r="E71" s="581" t="str">
        <f>IF($B71="","",INDEX(C_InstallationDescription!F:F,MATCH($CJ71,C_InstallationDescription!$Q:$Q,0)))</f>
        <v/>
      </c>
      <c r="F71" s="706" t="str">
        <f>IF($E71="","",INDEX(C_InstallationDescription!L:L,MATCH($CJ71,C_InstallationDescription!$Q:$Q,0)))</f>
        <v/>
      </c>
      <c r="G71" s="581" t="str">
        <f>IF($E71="","",INDEX(C_InstallationDescription!M:M,MATCH($CJ71,C_InstallationDescription!$Q:$Q,0)))</f>
        <v/>
      </c>
      <c r="H71" s="581" t="str">
        <f>IF($E71="","",INDEX(C_InstallationDescription!N:N,MATCH($CJ71,C_InstallationDescription!$Q:$Q,0)))</f>
        <v/>
      </c>
      <c r="I71" s="703" t="str">
        <f>IF($E71="","",IF(INDEX(E_SourceStreams!$A:$N,CN71,I$7)="","",INDEX(E_SourceStreams!$A:$N,CN71,I$7)))</f>
        <v/>
      </c>
      <c r="J71" s="703" t="str">
        <f>IF($E71="","",IF(INDEX(E_SourceStreams!$A:$N,CO71,J$7)="","",INDEX(E_SourceStreams!$A:$N,CO71,J$7)))</f>
        <v/>
      </c>
      <c r="K71" s="703" t="str">
        <f>IF($E71="","",IF(INDEX(E_SourceStreams!$A:$N,CP71,K$7)="","",INDEX(E_SourceStreams!$A:$N,CP71,K$7)))</f>
        <v/>
      </c>
      <c r="L71" s="703" t="str">
        <f>IF($E71="","",IF(INDEX(E_SourceStreams!$A:$N,CQ71,L$7)="","",INDEX(E_SourceStreams!$A:$N,CQ71,L$7)))</f>
        <v/>
      </c>
      <c r="M71" s="703" t="str">
        <f>IF($E71="","",IF(INDEX(E_SourceStreams!$A:$N,CR71,M$7)="","",INDEX(E_SourceStreams!$A:$N,CR71,M$7)))</f>
        <v/>
      </c>
      <c r="N71" s="703" t="str">
        <f>IF($E71="","",IF(INDEX(E_SourceStreams!$A:$N,CS71,N$7)="","",INDEX(E_SourceStreams!$A:$N,CS71,N$7)))</f>
        <v/>
      </c>
      <c r="O71" s="703" t="str">
        <f>IF($E71="","",IF(INDEX(E_SourceStreams!$A:$N,CT71,O$7)="","",INDEX(E_SourceStreams!$A:$N,CT71,O$7)))</f>
        <v/>
      </c>
      <c r="P71" s="703" t="str">
        <f>IF($E71="","",IF(INDEX(E_SourceStreams!$A:$N,CU71,P$7)="","",INDEX(E_SourceStreams!$A:$N,CU71,P$7)))</f>
        <v/>
      </c>
      <c r="Q71" s="703" t="str">
        <f>IF($E71="","",IF(INDEX(E_SourceStreams!$A:$N,CV71,Q$7)="","",INDEX(E_SourceStreams!$A:$N,CV71,Q$7)))</f>
        <v/>
      </c>
      <c r="R71" s="703" t="str">
        <f>IF($E71="","",IF(INDEX(E_SourceStreams!$A:$N,CW71,R$7)="","",INDEX(E_SourceStreams!$A:$N,CW71,R$7)))</f>
        <v/>
      </c>
      <c r="S71" s="703" t="str">
        <f>IF($E71="","",IF(INDEX(E_SourceStreams!$A:$N,CX71,S$7)="","",INDEX(E_SourceStreams!$A:$N,CX71,S$7)))</f>
        <v/>
      </c>
      <c r="T71" s="703" t="str">
        <f>IF($E71="","",IF(INDEX(E_SourceStreams!$A:$N,CY71,T$7)="","",INDEX(E_SourceStreams!$A:$N,CY71,T$7)))</f>
        <v/>
      </c>
      <c r="U71" s="703" t="str">
        <f>IF($E71="","",IF(INDEX(E_SourceStreams!$A:$N,CZ71,U$7)="","",INDEX(E_SourceStreams!$A:$N,CZ71,U$7)))</f>
        <v/>
      </c>
      <c r="V71" s="703" t="str">
        <f>IF($E71="","",IF(INDEX(E_SourceStreams!$A:$N,DA71,V$7)="","",INDEX(E_SourceStreams!$A:$N,DA71,V$7)))</f>
        <v/>
      </c>
      <c r="W71" s="704" t="str">
        <f>IF($E71="","",IF(INDEX(E_SourceStreams!$A:$N,DB71,W$7)="","",INDEX(E_SourceStreams!$A:$N,DB71,W$7)))</f>
        <v/>
      </c>
      <c r="X71" s="703" t="str">
        <f>IF($E71="","",IF(INDEX(E_SourceStreams!$A:$N,DC71,X$7)="","",INDEX(E_SourceStreams!$A:$N,DC71,X$7)))</f>
        <v/>
      </c>
      <c r="Y71" s="703" t="str">
        <f>IF($E71="","",IF(INDEX(E_SourceStreams!$A:$N,DD71,Y$7)="","",INDEX(E_SourceStreams!$A:$N,DD71,Y$7)))</f>
        <v/>
      </c>
      <c r="Z71" s="703" t="str">
        <f>IF($E71="","",IF(INDEX(E_SourceStreams!$A:$N,DE71,Z$7)="","",INDEX(E_SourceStreams!$A:$N,DE71,Z$7)))</f>
        <v/>
      </c>
      <c r="AA71" s="703" t="str">
        <f>IF($E71="","",IF(INDEX(E_SourceStreams!$A:$N,DF71,AA$7)="","",INDEX(E_SourceStreams!$A:$N,DF71,AA$7)))</f>
        <v/>
      </c>
      <c r="AB71" s="703" t="str">
        <f>IF($E71="","",IF(INDEX(E_SourceStreams!$A:$N,DG71,AB$7)="","",INDEX(E_SourceStreams!$A:$N,DG71,AB$7)))</f>
        <v/>
      </c>
      <c r="AC71" s="703" t="str">
        <f>IF($E71="","",IF(INDEX(E_SourceStreams!$A:$N,DH71,AC$7)="","",INDEX(E_SourceStreams!$A:$N,DH71,AC$7)))</f>
        <v/>
      </c>
      <c r="AD71" s="703" t="str">
        <f>IF($E71="","",IF(INDEX(E_SourceStreams!$A:$N,DI71,AD$7)="","",INDEX(E_SourceStreams!$A:$N,DI71,AD$7)))</f>
        <v/>
      </c>
      <c r="AE71" s="703" t="str">
        <f>IF($E71="","",IF(INDEX(E_SourceStreams!$A:$N,DJ71,AE$7)="","",INDEX(E_SourceStreams!$A:$N,DJ71,AE$7)))</f>
        <v/>
      </c>
      <c r="AF71" s="703" t="str">
        <f>IF($E71="","",IF(INDEX(E_SourceStreams!$A:$N,DK71,AF$7)="","",INDEX(E_SourceStreams!$A:$N,DK71,AF$7)))</f>
        <v/>
      </c>
      <c r="AG71" s="703" t="str">
        <f>IF($E71="","",IF(INDEX(E_SourceStreams!$A:$N,DL71,AG$7)="","",INDEX(E_SourceStreams!$A:$N,DL71,AG$7)))</f>
        <v/>
      </c>
      <c r="AH71" s="703" t="str">
        <f>IF($E71="","",IF(INDEX(E_SourceStreams!$A:$N,DM71,AH$7)="","",INDEX(E_SourceStreams!$A:$N,DM71,AH$7)))</f>
        <v/>
      </c>
      <c r="AI71" s="703" t="str">
        <f>IF($E71="","",IF(INDEX(E_SourceStreams!$A:$N,DN71,AI$7)="","",INDEX(E_SourceStreams!$A:$N,DN71,AI$7)))</f>
        <v/>
      </c>
      <c r="AJ71" s="703" t="str">
        <f>IF($E71="","",IF(INDEX(E_SourceStreams!$A:$N,DO71,AJ$7)="","",INDEX(E_SourceStreams!$A:$N,DO71,AJ$7)))</f>
        <v/>
      </c>
      <c r="AK71" s="703" t="str">
        <f>IF($E71="","",IF(INDEX(E_SourceStreams!$A:$N,DP71,AK$7)="","",INDEX(E_SourceStreams!$A:$N,DP71,AK$7)))</f>
        <v/>
      </c>
      <c r="AL71" s="703" t="str">
        <f>IF($E71="","",IF(INDEX(E_SourceStreams!$A:$N,DQ71,AL$7)="","",INDEX(E_SourceStreams!$A:$N,DQ71,AL$7)))</f>
        <v/>
      </c>
      <c r="AM71" s="703" t="str">
        <f>IF($E71="","",IF(INDEX(E_SourceStreams!$A:$N,DR71,AM$7)="","",INDEX(E_SourceStreams!$A:$N,DR71,AM$7)))</f>
        <v/>
      </c>
      <c r="AN71" s="703" t="str">
        <f>IF($E71="","",IF(INDEX(E_SourceStreams!$A:$N,DS71,AN$7)="","",INDEX(E_SourceStreams!$A:$N,DS71,AN$7)))</f>
        <v/>
      </c>
      <c r="AO71" s="703" t="str">
        <f>IF($E71="","",IF(INDEX(E_SourceStreams!$A:$N,DT71,AO$7)="","",INDEX(E_SourceStreams!$A:$N,DT71,AO$7)))</f>
        <v/>
      </c>
      <c r="AP71" s="703" t="str">
        <f>IF($E71="","",IF(INDEX(E_SourceStreams!$A:$N,DU71,AP$7)="","",INDEX(E_SourceStreams!$A:$N,DU71,AP$7)))</f>
        <v/>
      </c>
      <c r="AQ71" s="703" t="str">
        <f>IF($E71="","",IF(INDEX(E_SourceStreams!$A:$N,DV71,AQ$7)="","",INDEX(E_SourceStreams!$A:$N,DV71,AQ$7)))</f>
        <v/>
      </c>
      <c r="AR71" s="703" t="str">
        <f>IF($E71="","",IF(INDEX(E_SourceStreams!$A:$N,DW71,AR$7)="","",INDEX(E_SourceStreams!$A:$N,DW71,AR$7)))</f>
        <v/>
      </c>
      <c r="AS71" s="703" t="str">
        <f>IF($E71="","",IF(INDEX(E_SourceStreams!$A:$N,DX71,AS$7)="","",INDEX(E_SourceStreams!$A:$N,DX71,AS$7)))</f>
        <v/>
      </c>
      <c r="AT71" s="703" t="str">
        <f>IF($E71="","",IF(INDEX(E_SourceStreams!$A:$N,DY71,AT$7)="","",INDEX(E_SourceStreams!$A:$N,DY71,AT$7)))</f>
        <v/>
      </c>
      <c r="AU71" s="703" t="str">
        <f>IF($E71="","",IF(INDEX(E_SourceStreams!$A:$N,DZ71,AU$7)="","",INDEX(E_SourceStreams!$A:$N,DZ71,AU$7)))</f>
        <v/>
      </c>
      <c r="AV71" s="703" t="str">
        <f>IF($E71="","",IF(INDEX(E_SourceStreams!$A:$N,EA71,AV$7)="","",INDEX(E_SourceStreams!$A:$N,EA71,AV$7)))</f>
        <v/>
      </c>
      <c r="AW71" s="703" t="str">
        <f>IF($E71="","",IF(INDEX(E_SourceStreams!$A:$N,EB71,AW$7)="","",INDEX(E_SourceStreams!$A:$N,EB71,AW$7)))</f>
        <v/>
      </c>
      <c r="AX71" s="703" t="str">
        <f>IF($E71="","",IF(INDEX(E_SourceStreams!$A:$N,EC71,AX$7)="","",INDEX(E_SourceStreams!$A:$N,EC71,AX$7)))</f>
        <v/>
      </c>
      <c r="AY71" s="703" t="str">
        <f>IF($E71="","",IF(INDEX(E_SourceStreams!$A:$N,ED71,AY$7)="","",INDEX(E_SourceStreams!$A:$N,ED71,AY$7)))</f>
        <v/>
      </c>
      <c r="AZ71" s="703" t="str">
        <f>IF($E71="","",IF(INDEX(E_SourceStreams!$A:$N,EE71,AZ$7)="","",INDEX(E_SourceStreams!$A:$N,EE71,AZ$7)))</f>
        <v/>
      </c>
      <c r="BA71" s="703" t="str">
        <f>IF($E71="","",IF(INDEX(E_SourceStreams!$A:$N,EF71,BA$7)="","",INDEX(E_SourceStreams!$A:$N,EF71,BA$7)))</f>
        <v/>
      </c>
      <c r="BB71" s="703" t="str">
        <f>IF($E71="","",IF(INDEX(E_SourceStreams!$A:$N,EG71,BB$7)="","",INDEX(E_SourceStreams!$A:$N,EG71,BB$7)))</f>
        <v/>
      </c>
      <c r="BC71" s="703" t="str">
        <f>IF($E71="","",IF(INDEX(E_SourceStreams!$A:$N,EH71,BC$7)="","",INDEX(E_SourceStreams!$A:$N,EH71,BC$7)))</f>
        <v/>
      </c>
      <c r="BD71" s="703" t="str">
        <f>IF($E71="","",IF(INDEX(E_SourceStreams!$A:$N,EI71,BD$7)="","",INDEX(E_SourceStreams!$A:$N,EI71,BD$7)))</f>
        <v/>
      </c>
      <c r="BE71" s="703" t="str">
        <f>IF($E71="","",IF(INDEX(E_SourceStreams!$A:$N,EJ71,BE$7)="","",INDEX(E_SourceStreams!$A:$N,EJ71,BE$7)))</f>
        <v/>
      </c>
      <c r="BF71" s="703" t="str">
        <f>IF($E71="","",IF(INDEX(E_SourceStreams!$A:$N,EK71,BF$7)="","",INDEX(E_SourceStreams!$A:$N,EK71,BF$7)))</f>
        <v/>
      </c>
      <c r="BG71" s="703" t="str">
        <f>IF($E71="","",IF(INDEX(E_SourceStreams!$A:$N,EL71,BG$7)="","",INDEX(E_SourceStreams!$A:$N,EL71,BG$7)))</f>
        <v/>
      </c>
      <c r="BH71" s="703" t="str">
        <f>IF($E71="","",IF(INDEX(E_SourceStreams!$A:$N,EM71,BH$7)="","",INDEX(E_SourceStreams!$A:$N,EM71,BH$7)))</f>
        <v/>
      </c>
      <c r="BI71" s="703" t="str">
        <f>IF($E71="","",IF(INDEX(E_SourceStreams!$A:$N,EN71,BI$7)="","",INDEX(E_SourceStreams!$A:$N,EN71,BI$7)))</f>
        <v/>
      </c>
      <c r="BJ71" s="703" t="str">
        <f>IF($E71="","",IF(INDEX(E_SourceStreams!$A:$N,EO71,BJ$7)="","",INDEX(E_SourceStreams!$A:$N,EO71,BJ$7)))</f>
        <v/>
      </c>
      <c r="BK71" s="703" t="str">
        <f>IF($E71="","",IF(INDEX(E_SourceStreams!$A:$N,EP71,BK$7)="","",INDEX(E_SourceStreams!$A:$N,EP71,BK$7)))</f>
        <v/>
      </c>
      <c r="BL71" s="703" t="str">
        <f>IF($E71="","",IF(INDEX(E_SourceStreams!$A:$N,EQ71,BL$7)="","",INDEX(E_SourceStreams!$A:$N,EQ71,BL$7)))</f>
        <v/>
      </c>
      <c r="BM71" s="703" t="str">
        <f>IF($E71="","",IF(INDEX(E_SourceStreams!$A:$N,ER71,BM$7)="","",INDEX(E_SourceStreams!$A:$N,ER71,BM$7)))</f>
        <v/>
      </c>
      <c r="BN71" s="703" t="str">
        <f>IF($E71="","",IF(INDEX(E_SourceStreams!$A:$N,ES71,BN$7)="","",INDEX(E_SourceStreams!$A:$N,ES71,BN$7)))</f>
        <v/>
      </c>
      <c r="BO71" s="703" t="str">
        <f>IF($E71="","",IF(INDEX(E_SourceStreams!$A:$N,ET71,BO$7)="","",INDEX(E_SourceStreams!$A:$N,ET71,BO$7)))</f>
        <v/>
      </c>
      <c r="BP71" s="703" t="str">
        <f>IF($E71="","",IF(INDEX(E_SourceStreams!$A:$N,EU71,BP$7)="","",INDEX(E_SourceStreams!$A:$N,EU71,BP$7)))</f>
        <v/>
      </c>
      <c r="BQ71" s="703" t="str">
        <f>IF($E71="","",IF(INDEX(E_SourceStreams!$A:$N,EV71,BQ$7)="","",INDEX(E_SourceStreams!$A:$N,EV71,BQ$7)))</f>
        <v/>
      </c>
      <c r="BR71" s="703" t="str">
        <f>IF($E71="","",IF(INDEX(E_SourceStreams!$A:$N,EW71,BR$7)="","",INDEX(E_SourceStreams!$A:$N,EW71,BR$7)))</f>
        <v/>
      </c>
      <c r="BS71" s="703" t="str">
        <f>IF($E71="","",IF(INDEX(E_SourceStreams!$A:$N,EX71,BS$7)="","",INDEX(E_SourceStreams!$A:$N,EX71,BS$7)))</f>
        <v/>
      </c>
      <c r="BT71" s="703" t="str">
        <f>IF($E71="","",IF(INDEX(E_SourceStreams!$A:$N,EY71,BT$7)="","",INDEX(E_SourceStreams!$A:$N,EY71,BT$7)))</f>
        <v/>
      </c>
      <c r="BU71" s="625"/>
      <c r="CJ71" s="679" t="str">
        <f t="shared" si="66"/>
        <v>SourceCategory_</v>
      </c>
      <c r="CK71" s="679" t="b">
        <f>INDEX(C_InstallationDescription!$A$226:$A$332,ROWS($CI$11:CI71))="ausblenden"</f>
        <v>1</v>
      </c>
      <c r="CL71" s="679" t="str">
        <f t="shared" si="67"/>
        <v>SourceStreamName_</v>
      </c>
      <c r="CN71" s="679">
        <f t="shared" si="65"/>
        <v>4095</v>
      </c>
      <c r="CO71" s="679">
        <f t="shared" si="2"/>
        <v>4097</v>
      </c>
      <c r="CP71" s="679">
        <f t="shared" si="3"/>
        <v>4099</v>
      </c>
      <c r="CQ71" s="679">
        <f t="shared" si="4"/>
        <v>4101</v>
      </c>
      <c r="CR71" s="679">
        <f t="shared" si="5"/>
        <v>4103</v>
      </c>
      <c r="CS71" s="679">
        <f t="shared" si="6"/>
        <v>4105</v>
      </c>
      <c r="CT71" s="679">
        <f t="shared" si="7"/>
        <v>4107</v>
      </c>
      <c r="CU71" s="679">
        <f t="shared" si="8"/>
        <v>4107</v>
      </c>
      <c r="CV71" s="679">
        <f t="shared" si="9"/>
        <v>4107</v>
      </c>
      <c r="CW71" s="679">
        <f t="shared" si="10"/>
        <v>4107</v>
      </c>
      <c r="CX71" s="679">
        <f t="shared" si="11"/>
        <v>4107</v>
      </c>
      <c r="CY71" s="679">
        <f t="shared" si="12"/>
        <v>4110</v>
      </c>
      <c r="CZ71" s="679">
        <f t="shared" si="13"/>
        <v>4114</v>
      </c>
      <c r="DA71" s="679">
        <f t="shared" si="14"/>
        <v>4115</v>
      </c>
      <c r="DB71" s="679">
        <f t="shared" si="15"/>
        <v>4116</v>
      </c>
      <c r="DC71" s="679">
        <f t="shared" si="16"/>
        <v>4123</v>
      </c>
      <c r="DD71" s="679">
        <f t="shared" si="17"/>
        <v>4133</v>
      </c>
      <c r="DE71" s="679">
        <f t="shared" si="18"/>
        <v>4133</v>
      </c>
      <c r="DF71" s="679">
        <f t="shared" si="19"/>
        <v>4133</v>
      </c>
      <c r="DG71" s="679">
        <f t="shared" si="20"/>
        <v>4133</v>
      </c>
      <c r="DH71" s="679">
        <f t="shared" si="21"/>
        <v>4133</v>
      </c>
      <c r="DI71" s="679">
        <f t="shared" si="22"/>
        <v>4133</v>
      </c>
      <c r="DJ71" s="679">
        <f t="shared" si="23"/>
        <v>4133</v>
      </c>
      <c r="DK71" s="679">
        <f t="shared" si="24"/>
        <v>4124</v>
      </c>
      <c r="DL71" s="679">
        <f t="shared" si="25"/>
        <v>4134</v>
      </c>
      <c r="DM71" s="679">
        <f t="shared" si="26"/>
        <v>4134</v>
      </c>
      <c r="DN71" s="679">
        <f t="shared" si="27"/>
        <v>4134</v>
      </c>
      <c r="DO71" s="679">
        <f t="shared" si="28"/>
        <v>4134</v>
      </c>
      <c r="DP71" s="679">
        <f t="shared" si="29"/>
        <v>4134</v>
      </c>
      <c r="DQ71" s="679">
        <f t="shared" si="30"/>
        <v>4134</v>
      </c>
      <c r="DR71" s="679">
        <f t="shared" si="31"/>
        <v>4134</v>
      </c>
      <c r="DS71" s="679">
        <f t="shared" si="32"/>
        <v>4125</v>
      </c>
      <c r="DT71" s="679">
        <f t="shared" si="33"/>
        <v>4135</v>
      </c>
      <c r="DU71" s="679">
        <f t="shared" si="34"/>
        <v>4135</v>
      </c>
      <c r="DV71" s="679">
        <f t="shared" si="35"/>
        <v>4135</v>
      </c>
      <c r="DW71" s="679">
        <f t="shared" si="36"/>
        <v>4135</v>
      </c>
      <c r="DX71" s="679">
        <f t="shared" si="37"/>
        <v>4135</v>
      </c>
      <c r="DY71" s="679">
        <f t="shared" si="38"/>
        <v>4135</v>
      </c>
      <c r="DZ71" s="679">
        <f t="shared" si="39"/>
        <v>4135</v>
      </c>
      <c r="EA71" s="679">
        <f t="shared" si="40"/>
        <v>4126</v>
      </c>
      <c r="EB71" s="679">
        <f t="shared" si="41"/>
        <v>4136</v>
      </c>
      <c r="EC71" s="679">
        <f t="shared" si="42"/>
        <v>4136</v>
      </c>
      <c r="ED71" s="679">
        <f t="shared" si="43"/>
        <v>4136</v>
      </c>
      <c r="EE71" s="679">
        <f t="shared" si="44"/>
        <v>4136</v>
      </c>
      <c r="EF71" s="679">
        <f t="shared" si="45"/>
        <v>4136</v>
      </c>
      <c r="EG71" s="679">
        <f t="shared" si="46"/>
        <v>4136</v>
      </c>
      <c r="EH71" s="679">
        <f t="shared" si="47"/>
        <v>4136</v>
      </c>
      <c r="EI71" s="679">
        <f t="shared" si="48"/>
        <v>4127</v>
      </c>
      <c r="EJ71" s="679">
        <f t="shared" si="49"/>
        <v>4137</v>
      </c>
      <c r="EK71" s="679">
        <f t="shared" si="50"/>
        <v>4137</v>
      </c>
      <c r="EL71" s="679">
        <f t="shared" si="51"/>
        <v>4137</v>
      </c>
      <c r="EM71" s="679">
        <f t="shared" si="52"/>
        <v>4137</v>
      </c>
      <c r="EN71" s="679">
        <f t="shared" si="53"/>
        <v>4137</v>
      </c>
      <c r="EO71" s="679">
        <f t="shared" si="54"/>
        <v>4137</v>
      </c>
      <c r="EP71" s="679">
        <f t="shared" si="55"/>
        <v>4137</v>
      </c>
      <c r="EQ71" s="679">
        <f t="shared" si="56"/>
        <v>4128</v>
      </c>
      <c r="ER71" s="679">
        <f t="shared" si="57"/>
        <v>4138</v>
      </c>
      <c r="ES71" s="679">
        <f t="shared" si="58"/>
        <v>4138</v>
      </c>
      <c r="ET71" s="679">
        <f t="shared" si="59"/>
        <v>4138</v>
      </c>
      <c r="EU71" s="679">
        <f t="shared" si="60"/>
        <v>4138</v>
      </c>
      <c r="EV71" s="679">
        <f t="shared" si="61"/>
        <v>4138</v>
      </c>
      <c r="EW71" s="679">
        <f t="shared" si="62"/>
        <v>4138</v>
      </c>
      <c r="EX71" s="679">
        <f t="shared" si="63"/>
        <v>4138</v>
      </c>
      <c r="EY71" s="679">
        <f t="shared" si="64"/>
        <v>4144</v>
      </c>
    </row>
    <row r="72" spans="2:155" ht="12.75" customHeight="1" x14ac:dyDescent="0.2">
      <c r="B72" s="700" t="str">
        <f>IF(COUNTIF($CK$10:CK72,TRUE)&gt;0,"",INDEX(C_InstallationDescription!$E$226:$E$242,ROWS($A$11:A72)))</f>
        <v/>
      </c>
      <c r="C72" s="581" t="str">
        <f>IF($E72="","",INDEX(C_InstallationDescription!F:F,MATCH($B72,C_InstallationDescription!$E:$E,0)))</f>
        <v/>
      </c>
      <c r="D72" s="581" t="str">
        <f>IF($E72="","",INDEX(C_InstallationDescription!I:I,MATCH($B72,C_InstallationDescription!$E:$E,0)))</f>
        <v/>
      </c>
      <c r="E72" s="581" t="str">
        <f>IF($B72="","",INDEX(C_InstallationDescription!F:F,MATCH($CJ72,C_InstallationDescription!$Q:$Q,0)))</f>
        <v/>
      </c>
      <c r="F72" s="706" t="str">
        <f>IF($E72="","",INDEX(C_InstallationDescription!L:L,MATCH($CJ72,C_InstallationDescription!$Q:$Q,0)))</f>
        <v/>
      </c>
      <c r="G72" s="581" t="str">
        <f>IF($E72="","",INDEX(C_InstallationDescription!M:M,MATCH($CJ72,C_InstallationDescription!$Q:$Q,0)))</f>
        <v/>
      </c>
      <c r="H72" s="581" t="str">
        <f>IF($E72="","",INDEX(C_InstallationDescription!N:N,MATCH($CJ72,C_InstallationDescription!$Q:$Q,0)))</f>
        <v/>
      </c>
      <c r="I72" s="703" t="str">
        <f>IF($E72="","",IF(INDEX(E_SourceStreams!$A:$N,CN72,I$7)="","",INDEX(E_SourceStreams!$A:$N,CN72,I$7)))</f>
        <v/>
      </c>
      <c r="J72" s="703" t="str">
        <f>IF($E72="","",IF(INDEX(E_SourceStreams!$A:$N,CO72,J$7)="","",INDEX(E_SourceStreams!$A:$N,CO72,J$7)))</f>
        <v/>
      </c>
      <c r="K72" s="703" t="str">
        <f>IF($E72="","",IF(INDEX(E_SourceStreams!$A:$N,CP72,K$7)="","",INDEX(E_SourceStreams!$A:$N,CP72,K$7)))</f>
        <v/>
      </c>
      <c r="L72" s="703" t="str">
        <f>IF($E72="","",IF(INDEX(E_SourceStreams!$A:$N,CQ72,L$7)="","",INDEX(E_SourceStreams!$A:$N,CQ72,L$7)))</f>
        <v/>
      </c>
      <c r="M72" s="703" t="str">
        <f>IF($E72="","",IF(INDEX(E_SourceStreams!$A:$N,CR72,M$7)="","",INDEX(E_SourceStreams!$A:$N,CR72,M$7)))</f>
        <v/>
      </c>
      <c r="N72" s="703" t="str">
        <f>IF($E72="","",IF(INDEX(E_SourceStreams!$A:$N,CS72,N$7)="","",INDEX(E_SourceStreams!$A:$N,CS72,N$7)))</f>
        <v/>
      </c>
      <c r="O72" s="703" t="str">
        <f>IF($E72="","",IF(INDEX(E_SourceStreams!$A:$N,CT72,O$7)="","",INDEX(E_SourceStreams!$A:$N,CT72,O$7)))</f>
        <v/>
      </c>
      <c r="P72" s="703" t="str">
        <f>IF($E72="","",IF(INDEX(E_SourceStreams!$A:$N,CU72,P$7)="","",INDEX(E_SourceStreams!$A:$N,CU72,P$7)))</f>
        <v/>
      </c>
      <c r="Q72" s="703" t="str">
        <f>IF($E72="","",IF(INDEX(E_SourceStreams!$A:$N,CV72,Q$7)="","",INDEX(E_SourceStreams!$A:$N,CV72,Q$7)))</f>
        <v/>
      </c>
      <c r="R72" s="703" t="str">
        <f>IF($E72="","",IF(INDEX(E_SourceStreams!$A:$N,CW72,R$7)="","",INDEX(E_SourceStreams!$A:$N,CW72,R$7)))</f>
        <v/>
      </c>
      <c r="S72" s="703" t="str">
        <f>IF($E72="","",IF(INDEX(E_SourceStreams!$A:$N,CX72,S$7)="","",INDEX(E_SourceStreams!$A:$N,CX72,S$7)))</f>
        <v/>
      </c>
      <c r="T72" s="703" t="str">
        <f>IF($E72="","",IF(INDEX(E_SourceStreams!$A:$N,CY72,T$7)="","",INDEX(E_SourceStreams!$A:$N,CY72,T$7)))</f>
        <v/>
      </c>
      <c r="U72" s="703" t="str">
        <f>IF($E72="","",IF(INDEX(E_SourceStreams!$A:$N,CZ72,U$7)="","",INDEX(E_SourceStreams!$A:$N,CZ72,U$7)))</f>
        <v/>
      </c>
      <c r="V72" s="703" t="str">
        <f>IF($E72="","",IF(INDEX(E_SourceStreams!$A:$N,DA72,V$7)="","",INDEX(E_SourceStreams!$A:$N,DA72,V$7)))</f>
        <v/>
      </c>
      <c r="W72" s="704" t="str">
        <f>IF($E72="","",IF(INDEX(E_SourceStreams!$A:$N,DB72,W$7)="","",INDEX(E_SourceStreams!$A:$N,DB72,W$7)))</f>
        <v/>
      </c>
      <c r="X72" s="703" t="str">
        <f>IF($E72="","",IF(INDEX(E_SourceStreams!$A:$N,DC72,X$7)="","",INDEX(E_SourceStreams!$A:$N,DC72,X$7)))</f>
        <v/>
      </c>
      <c r="Y72" s="703" t="str">
        <f>IF($E72="","",IF(INDEX(E_SourceStreams!$A:$N,DD72,Y$7)="","",INDEX(E_SourceStreams!$A:$N,DD72,Y$7)))</f>
        <v/>
      </c>
      <c r="Z72" s="703" t="str">
        <f>IF($E72="","",IF(INDEX(E_SourceStreams!$A:$N,DE72,Z$7)="","",INDEX(E_SourceStreams!$A:$N,DE72,Z$7)))</f>
        <v/>
      </c>
      <c r="AA72" s="703" t="str">
        <f>IF($E72="","",IF(INDEX(E_SourceStreams!$A:$N,DF72,AA$7)="","",INDEX(E_SourceStreams!$A:$N,DF72,AA$7)))</f>
        <v/>
      </c>
      <c r="AB72" s="703" t="str">
        <f>IF($E72="","",IF(INDEX(E_SourceStreams!$A:$N,DG72,AB$7)="","",INDEX(E_SourceStreams!$A:$N,DG72,AB$7)))</f>
        <v/>
      </c>
      <c r="AC72" s="703" t="str">
        <f>IF($E72="","",IF(INDEX(E_SourceStreams!$A:$N,DH72,AC$7)="","",INDEX(E_SourceStreams!$A:$N,DH72,AC$7)))</f>
        <v/>
      </c>
      <c r="AD72" s="703" t="str">
        <f>IF($E72="","",IF(INDEX(E_SourceStreams!$A:$N,DI72,AD$7)="","",INDEX(E_SourceStreams!$A:$N,DI72,AD$7)))</f>
        <v/>
      </c>
      <c r="AE72" s="703" t="str">
        <f>IF($E72="","",IF(INDEX(E_SourceStreams!$A:$N,DJ72,AE$7)="","",INDEX(E_SourceStreams!$A:$N,DJ72,AE$7)))</f>
        <v/>
      </c>
      <c r="AF72" s="703" t="str">
        <f>IF($E72="","",IF(INDEX(E_SourceStreams!$A:$N,DK72,AF$7)="","",INDEX(E_SourceStreams!$A:$N,DK72,AF$7)))</f>
        <v/>
      </c>
      <c r="AG72" s="703" t="str">
        <f>IF($E72="","",IF(INDEX(E_SourceStreams!$A:$N,DL72,AG$7)="","",INDEX(E_SourceStreams!$A:$N,DL72,AG$7)))</f>
        <v/>
      </c>
      <c r="AH72" s="703" t="str">
        <f>IF($E72="","",IF(INDEX(E_SourceStreams!$A:$N,DM72,AH$7)="","",INDEX(E_SourceStreams!$A:$N,DM72,AH$7)))</f>
        <v/>
      </c>
      <c r="AI72" s="703" t="str">
        <f>IF($E72="","",IF(INDEX(E_SourceStreams!$A:$N,DN72,AI$7)="","",INDEX(E_SourceStreams!$A:$N,DN72,AI$7)))</f>
        <v/>
      </c>
      <c r="AJ72" s="703" t="str">
        <f>IF($E72="","",IF(INDEX(E_SourceStreams!$A:$N,DO72,AJ$7)="","",INDEX(E_SourceStreams!$A:$N,DO72,AJ$7)))</f>
        <v/>
      </c>
      <c r="AK72" s="703" t="str">
        <f>IF($E72="","",IF(INDEX(E_SourceStreams!$A:$N,DP72,AK$7)="","",INDEX(E_SourceStreams!$A:$N,DP72,AK$7)))</f>
        <v/>
      </c>
      <c r="AL72" s="703" t="str">
        <f>IF($E72="","",IF(INDEX(E_SourceStreams!$A:$N,DQ72,AL$7)="","",INDEX(E_SourceStreams!$A:$N,DQ72,AL$7)))</f>
        <v/>
      </c>
      <c r="AM72" s="703" t="str">
        <f>IF($E72="","",IF(INDEX(E_SourceStreams!$A:$N,DR72,AM$7)="","",INDEX(E_SourceStreams!$A:$N,DR72,AM$7)))</f>
        <v/>
      </c>
      <c r="AN72" s="703" t="str">
        <f>IF($E72="","",IF(INDEX(E_SourceStreams!$A:$N,DS72,AN$7)="","",INDEX(E_SourceStreams!$A:$N,DS72,AN$7)))</f>
        <v/>
      </c>
      <c r="AO72" s="703" t="str">
        <f>IF($E72="","",IF(INDEX(E_SourceStreams!$A:$N,DT72,AO$7)="","",INDEX(E_SourceStreams!$A:$N,DT72,AO$7)))</f>
        <v/>
      </c>
      <c r="AP72" s="703" t="str">
        <f>IF($E72="","",IF(INDEX(E_SourceStreams!$A:$N,DU72,AP$7)="","",INDEX(E_SourceStreams!$A:$N,DU72,AP$7)))</f>
        <v/>
      </c>
      <c r="AQ72" s="703" t="str">
        <f>IF($E72="","",IF(INDEX(E_SourceStreams!$A:$N,DV72,AQ$7)="","",INDEX(E_SourceStreams!$A:$N,DV72,AQ$7)))</f>
        <v/>
      </c>
      <c r="AR72" s="703" t="str">
        <f>IF($E72="","",IF(INDEX(E_SourceStreams!$A:$N,DW72,AR$7)="","",INDEX(E_SourceStreams!$A:$N,DW72,AR$7)))</f>
        <v/>
      </c>
      <c r="AS72" s="703" t="str">
        <f>IF($E72="","",IF(INDEX(E_SourceStreams!$A:$N,DX72,AS$7)="","",INDEX(E_SourceStreams!$A:$N,DX72,AS$7)))</f>
        <v/>
      </c>
      <c r="AT72" s="703" t="str">
        <f>IF($E72="","",IF(INDEX(E_SourceStreams!$A:$N,DY72,AT$7)="","",INDEX(E_SourceStreams!$A:$N,DY72,AT$7)))</f>
        <v/>
      </c>
      <c r="AU72" s="703" t="str">
        <f>IF($E72="","",IF(INDEX(E_SourceStreams!$A:$N,DZ72,AU$7)="","",INDEX(E_SourceStreams!$A:$N,DZ72,AU$7)))</f>
        <v/>
      </c>
      <c r="AV72" s="703" t="str">
        <f>IF($E72="","",IF(INDEX(E_SourceStreams!$A:$N,EA72,AV$7)="","",INDEX(E_SourceStreams!$A:$N,EA72,AV$7)))</f>
        <v/>
      </c>
      <c r="AW72" s="703" t="str">
        <f>IF($E72="","",IF(INDEX(E_SourceStreams!$A:$N,EB72,AW$7)="","",INDEX(E_SourceStreams!$A:$N,EB72,AW$7)))</f>
        <v/>
      </c>
      <c r="AX72" s="703" t="str">
        <f>IF($E72="","",IF(INDEX(E_SourceStreams!$A:$N,EC72,AX$7)="","",INDEX(E_SourceStreams!$A:$N,EC72,AX$7)))</f>
        <v/>
      </c>
      <c r="AY72" s="703" t="str">
        <f>IF($E72="","",IF(INDEX(E_SourceStreams!$A:$N,ED72,AY$7)="","",INDEX(E_SourceStreams!$A:$N,ED72,AY$7)))</f>
        <v/>
      </c>
      <c r="AZ72" s="703" t="str">
        <f>IF($E72="","",IF(INDEX(E_SourceStreams!$A:$N,EE72,AZ$7)="","",INDEX(E_SourceStreams!$A:$N,EE72,AZ$7)))</f>
        <v/>
      </c>
      <c r="BA72" s="703" t="str">
        <f>IF($E72="","",IF(INDEX(E_SourceStreams!$A:$N,EF72,BA$7)="","",INDEX(E_SourceStreams!$A:$N,EF72,BA$7)))</f>
        <v/>
      </c>
      <c r="BB72" s="703" t="str">
        <f>IF($E72="","",IF(INDEX(E_SourceStreams!$A:$N,EG72,BB$7)="","",INDEX(E_SourceStreams!$A:$N,EG72,BB$7)))</f>
        <v/>
      </c>
      <c r="BC72" s="703" t="str">
        <f>IF($E72="","",IF(INDEX(E_SourceStreams!$A:$N,EH72,BC$7)="","",INDEX(E_SourceStreams!$A:$N,EH72,BC$7)))</f>
        <v/>
      </c>
      <c r="BD72" s="703" t="str">
        <f>IF($E72="","",IF(INDEX(E_SourceStreams!$A:$N,EI72,BD$7)="","",INDEX(E_SourceStreams!$A:$N,EI72,BD$7)))</f>
        <v/>
      </c>
      <c r="BE72" s="703" t="str">
        <f>IF($E72="","",IF(INDEX(E_SourceStreams!$A:$N,EJ72,BE$7)="","",INDEX(E_SourceStreams!$A:$N,EJ72,BE$7)))</f>
        <v/>
      </c>
      <c r="BF72" s="703" t="str">
        <f>IF($E72="","",IF(INDEX(E_SourceStreams!$A:$N,EK72,BF$7)="","",INDEX(E_SourceStreams!$A:$N,EK72,BF$7)))</f>
        <v/>
      </c>
      <c r="BG72" s="703" t="str">
        <f>IF($E72="","",IF(INDEX(E_SourceStreams!$A:$N,EL72,BG$7)="","",INDEX(E_SourceStreams!$A:$N,EL72,BG$7)))</f>
        <v/>
      </c>
      <c r="BH72" s="703" t="str">
        <f>IF($E72="","",IF(INDEX(E_SourceStreams!$A:$N,EM72,BH$7)="","",INDEX(E_SourceStreams!$A:$N,EM72,BH$7)))</f>
        <v/>
      </c>
      <c r="BI72" s="703" t="str">
        <f>IF($E72="","",IF(INDEX(E_SourceStreams!$A:$N,EN72,BI$7)="","",INDEX(E_SourceStreams!$A:$N,EN72,BI$7)))</f>
        <v/>
      </c>
      <c r="BJ72" s="703" t="str">
        <f>IF($E72="","",IF(INDEX(E_SourceStreams!$A:$N,EO72,BJ$7)="","",INDEX(E_SourceStreams!$A:$N,EO72,BJ$7)))</f>
        <v/>
      </c>
      <c r="BK72" s="703" t="str">
        <f>IF($E72="","",IF(INDEX(E_SourceStreams!$A:$N,EP72,BK$7)="","",INDEX(E_SourceStreams!$A:$N,EP72,BK$7)))</f>
        <v/>
      </c>
      <c r="BL72" s="703" t="str">
        <f>IF($E72="","",IF(INDEX(E_SourceStreams!$A:$N,EQ72,BL$7)="","",INDEX(E_SourceStreams!$A:$N,EQ72,BL$7)))</f>
        <v/>
      </c>
      <c r="BM72" s="703" t="str">
        <f>IF($E72="","",IF(INDEX(E_SourceStreams!$A:$N,ER72,BM$7)="","",INDEX(E_SourceStreams!$A:$N,ER72,BM$7)))</f>
        <v/>
      </c>
      <c r="BN72" s="703" t="str">
        <f>IF($E72="","",IF(INDEX(E_SourceStreams!$A:$N,ES72,BN$7)="","",INDEX(E_SourceStreams!$A:$N,ES72,BN$7)))</f>
        <v/>
      </c>
      <c r="BO72" s="703" t="str">
        <f>IF($E72="","",IF(INDEX(E_SourceStreams!$A:$N,ET72,BO$7)="","",INDEX(E_SourceStreams!$A:$N,ET72,BO$7)))</f>
        <v/>
      </c>
      <c r="BP72" s="703" t="str">
        <f>IF($E72="","",IF(INDEX(E_SourceStreams!$A:$N,EU72,BP$7)="","",INDEX(E_SourceStreams!$A:$N,EU72,BP$7)))</f>
        <v/>
      </c>
      <c r="BQ72" s="703" t="str">
        <f>IF($E72="","",IF(INDEX(E_SourceStreams!$A:$N,EV72,BQ$7)="","",INDEX(E_SourceStreams!$A:$N,EV72,BQ$7)))</f>
        <v/>
      </c>
      <c r="BR72" s="703" t="str">
        <f>IF($E72="","",IF(INDEX(E_SourceStreams!$A:$N,EW72,BR$7)="","",INDEX(E_SourceStreams!$A:$N,EW72,BR$7)))</f>
        <v/>
      </c>
      <c r="BS72" s="703" t="str">
        <f>IF($E72="","",IF(INDEX(E_SourceStreams!$A:$N,EX72,BS$7)="","",INDEX(E_SourceStreams!$A:$N,EX72,BS$7)))</f>
        <v/>
      </c>
      <c r="BT72" s="703" t="str">
        <f>IF($E72="","",IF(INDEX(E_SourceStreams!$A:$N,EY72,BT$7)="","",INDEX(E_SourceStreams!$A:$N,EY72,BT$7)))</f>
        <v/>
      </c>
      <c r="BU72" s="625"/>
      <c r="CJ72" s="679" t="str">
        <f t="shared" si="66"/>
        <v>SourceCategory_</v>
      </c>
      <c r="CK72" s="679" t="b">
        <f>INDEX(C_InstallationDescription!$A$226:$A$332,ROWS($CI$11:CI72))="ausblenden"</f>
        <v>1</v>
      </c>
      <c r="CL72" s="679" t="str">
        <f t="shared" si="67"/>
        <v>SourceStreamName_</v>
      </c>
      <c r="CN72" s="679">
        <f t="shared" si="65"/>
        <v>4161</v>
      </c>
      <c r="CO72" s="679">
        <f t="shared" si="2"/>
        <v>4163</v>
      </c>
      <c r="CP72" s="679">
        <f t="shared" si="3"/>
        <v>4165</v>
      </c>
      <c r="CQ72" s="679">
        <f t="shared" si="4"/>
        <v>4167</v>
      </c>
      <c r="CR72" s="679">
        <f t="shared" si="5"/>
        <v>4169</v>
      </c>
      <c r="CS72" s="679">
        <f t="shared" si="6"/>
        <v>4171</v>
      </c>
      <c r="CT72" s="679">
        <f t="shared" si="7"/>
        <v>4173</v>
      </c>
      <c r="CU72" s="679">
        <f t="shared" si="8"/>
        <v>4173</v>
      </c>
      <c r="CV72" s="679">
        <f t="shared" si="9"/>
        <v>4173</v>
      </c>
      <c r="CW72" s="679">
        <f t="shared" si="10"/>
        <v>4173</v>
      </c>
      <c r="CX72" s="679">
        <f t="shared" si="11"/>
        <v>4173</v>
      </c>
      <c r="CY72" s="679">
        <f t="shared" si="12"/>
        <v>4176</v>
      </c>
      <c r="CZ72" s="679">
        <f t="shared" si="13"/>
        <v>4180</v>
      </c>
      <c r="DA72" s="679">
        <f t="shared" si="14"/>
        <v>4181</v>
      </c>
      <c r="DB72" s="679">
        <f t="shared" si="15"/>
        <v>4182</v>
      </c>
      <c r="DC72" s="679">
        <f t="shared" si="16"/>
        <v>4189</v>
      </c>
      <c r="DD72" s="679">
        <f t="shared" si="17"/>
        <v>4199</v>
      </c>
      <c r="DE72" s="679">
        <f t="shared" si="18"/>
        <v>4199</v>
      </c>
      <c r="DF72" s="679">
        <f t="shared" si="19"/>
        <v>4199</v>
      </c>
      <c r="DG72" s="679">
        <f t="shared" si="20"/>
        <v>4199</v>
      </c>
      <c r="DH72" s="679">
        <f t="shared" si="21"/>
        <v>4199</v>
      </c>
      <c r="DI72" s="679">
        <f t="shared" si="22"/>
        <v>4199</v>
      </c>
      <c r="DJ72" s="679">
        <f t="shared" si="23"/>
        <v>4199</v>
      </c>
      <c r="DK72" s="679">
        <f t="shared" si="24"/>
        <v>4190</v>
      </c>
      <c r="DL72" s="679">
        <f t="shared" si="25"/>
        <v>4200</v>
      </c>
      <c r="DM72" s="679">
        <f t="shared" si="26"/>
        <v>4200</v>
      </c>
      <c r="DN72" s="679">
        <f t="shared" si="27"/>
        <v>4200</v>
      </c>
      <c r="DO72" s="679">
        <f t="shared" si="28"/>
        <v>4200</v>
      </c>
      <c r="DP72" s="679">
        <f t="shared" si="29"/>
        <v>4200</v>
      </c>
      <c r="DQ72" s="679">
        <f t="shared" si="30"/>
        <v>4200</v>
      </c>
      <c r="DR72" s="679">
        <f t="shared" si="31"/>
        <v>4200</v>
      </c>
      <c r="DS72" s="679">
        <f t="shared" si="32"/>
        <v>4191</v>
      </c>
      <c r="DT72" s="679">
        <f t="shared" si="33"/>
        <v>4201</v>
      </c>
      <c r="DU72" s="679">
        <f t="shared" si="34"/>
        <v>4201</v>
      </c>
      <c r="DV72" s="679">
        <f t="shared" si="35"/>
        <v>4201</v>
      </c>
      <c r="DW72" s="679">
        <f t="shared" si="36"/>
        <v>4201</v>
      </c>
      <c r="DX72" s="679">
        <f t="shared" si="37"/>
        <v>4201</v>
      </c>
      <c r="DY72" s="679">
        <f t="shared" si="38"/>
        <v>4201</v>
      </c>
      <c r="DZ72" s="679">
        <f t="shared" si="39"/>
        <v>4201</v>
      </c>
      <c r="EA72" s="679">
        <f t="shared" si="40"/>
        <v>4192</v>
      </c>
      <c r="EB72" s="679">
        <f t="shared" si="41"/>
        <v>4202</v>
      </c>
      <c r="EC72" s="679">
        <f t="shared" si="42"/>
        <v>4202</v>
      </c>
      <c r="ED72" s="679">
        <f t="shared" si="43"/>
        <v>4202</v>
      </c>
      <c r="EE72" s="679">
        <f t="shared" si="44"/>
        <v>4202</v>
      </c>
      <c r="EF72" s="679">
        <f t="shared" si="45"/>
        <v>4202</v>
      </c>
      <c r="EG72" s="679">
        <f t="shared" si="46"/>
        <v>4202</v>
      </c>
      <c r="EH72" s="679">
        <f t="shared" si="47"/>
        <v>4202</v>
      </c>
      <c r="EI72" s="679">
        <f t="shared" si="48"/>
        <v>4193</v>
      </c>
      <c r="EJ72" s="679">
        <f t="shared" si="49"/>
        <v>4203</v>
      </c>
      <c r="EK72" s="679">
        <f t="shared" si="50"/>
        <v>4203</v>
      </c>
      <c r="EL72" s="679">
        <f t="shared" si="51"/>
        <v>4203</v>
      </c>
      <c r="EM72" s="679">
        <f t="shared" si="52"/>
        <v>4203</v>
      </c>
      <c r="EN72" s="679">
        <f t="shared" si="53"/>
        <v>4203</v>
      </c>
      <c r="EO72" s="679">
        <f t="shared" si="54"/>
        <v>4203</v>
      </c>
      <c r="EP72" s="679">
        <f t="shared" si="55"/>
        <v>4203</v>
      </c>
      <c r="EQ72" s="679">
        <f t="shared" si="56"/>
        <v>4194</v>
      </c>
      <c r="ER72" s="679">
        <f t="shared" si="57"/>
        <v>4204</v>
      </c>
      <c r="ES72" s="679">
        <f t="shared" si="58"/>
        <v>4204</v>
      </c>
      <c r="ET72" s="679">
        <f t="shared" si="59"/>
        <v>4204</v>
      </c>
      <c r="EU72" s="679">
        <f t="shared" si="60"/>
        <v>4204</v>
      </c>
      <c r="EV72" s="679">
        <f t="shared" si="61"/>
        <v>4204</v>
      </c>
      <c r="EW72" s="679">
        <f t="shared" si="62"/>
        <v>4204</v>
      </c>
      <c r="EX72" s="679">
        <f t="shared" si="63"/>
        <v>4204</v>
      </c>
      <c r="EY72" s="679">
        <f t="shared" si="64"/>
        <v>4210</v>
      </c>
    </row>
    <row r="73" spans="2:155" ht="12.75" customHeight="1" x14ac:dyDescent="0.2">
      <c r="B73" s="700" t="str">
        <f>IF(COUNTIF($CK$10:CK73,TRUE)&gt;0,"",INDEX(C_InstallationDescription!$E$226:$E$242,ROWS($A$11:A73)))</f>
        <v/>
      </c>
      <c r="C73" s="581" t="str">
        <f>IF($E73="","",INDEX(C_InstallationDescription!F:F,MATCH($B73,C_InstallationDescription!$E:$E,0)))</f>
        <v/>
      </c>
      <c r="D73" s="581" t="str">
        <f>IF($E73="","",INDEX(C_InstallationDescription!I:I,MATCH($B73,C_InstallationDescription!$E:$E,0)))</f>
        <v/>
      </c>
      <c r="E73" s="581" t="str">
        <f>IF($B73="","",INDEX(C_InstallationDescription!F:F,MATCH($CJ73,C_InstallationDescription!$Q:$Q,0)))</f>
        <v/>
      </c>
      <c r="F73" s="706" t="str">
        <f>IF($E73="","",INDEX(C_InstallationDescription!L:L,MATCH($CJ73,C_InstallationDescription!$Q:$Q,0)))</f>
        <v/>
      </c>
      <c r="G73" s="581" t="str">
        <f>IF($E73="","",INDEX(C_InstallationDescription!M:M,MATCH($CJ73,C_InstallationDescription!$Q:$Q,0)))</f>
        <v/>
      </c>
      <c r="H73" s="581" t="str">
        <f>IF($E73="","",INDEX(C_InstallationDescription!N:N,MATCH($CJ73,C_InstallationDescription!$Q:$Q,0)))</f>
        <v/>
      </c>
      <c r="I73" s="703" t="str">
        <f>IF($E73="","",IF(INDEX(E_SourceStreams!$A:$N,CN73,I$7)="","",INDEX(E_SourceStreams!$A:$N,CN73,I$7)))</f>
        <v/>
      </c>
      <c r="J73" s="703" t="str">
        <f>IF($E73="","",IF(INDEX(E_SourceStreams!$A:$N,CO73,J$7)="","",INDEX(E_SourceStreams!$A:$N,CO73,J$7)))</f>
        <v/>
      </c>
      <c r="K73" s="703" t="str">
        <f>IF($E73="","",IF(INDEX(E_SourceStreams!$A:$N,CP73,K$7)="","",INDEX(E_SourceStreams!$A:$N,CP73,K$7)))</f>
        <v/>
      </c>
      <c r="L73" s="703" t="str">
        <f>IF($E73="","",IF(INDEX(E_SourceStreams!$A:$N,CQ73,L$7)="","",INDEX(E_SourceStreams!$A:$N,CQ73,L$7)))</f>
        <v/>
      </c>
      <c r="M73" s="703" t="str">
        <f>IF($E73="","",IF(INDEX(E_SourceStreams!$A:$N,CR73,M$7)="","",INDEX(E_SourceStreams!$A:$N,CR73,M$7)))</f>
        <v/>
      </c>
      <c r="N73" s="703" t="str">
        <f>IF($E73="","",IF(INDEX(E_SourceStreams!$A:$N,CS73,N$7)="","",INDEX(E_SourceStreams!$A:$N,CS73,N$7)))</f>
        <v/>
      </c>
      <c r="O73" s="703" t="str">
        <f>IF($E73="","",IF(INDEX(E_SourceStreams!$A:$N,CT73,O$7)="","",INDEX(E_SourceStreams!$A:$N,CT73,O$7)))</f>
        <v/>
      </c>
      <c r="P73" s="703" t="str">
        <f>IF($E73="","",IF(INDEX(E_SourceStreams!$A:$N,CU73,P$7)="","",INDEX(E_SourceStreams!$A:$N,CU73,P$7)))</f>
        <v/>
      </c>
      <c r="Q73" s="703" t="str">
        <f>IF($E73="","",IF(INDEX(E_SourceStreams!$A:$N,CV73,Q$7)="","",INDEX(E_SourceStreams!$A:$N,CV73,Q$7)))</f>
        <v/>
      </c>
      <c r="R73" s="703" t="str">
        <f>IF($E73="","",IF(INDEX(E_SourceStreams!$A:$N,CW73,R$7)="","",INDEX(E_SourceStreams!$A:$N,CW73,R$7)))</f>
        <v/>
      </c>
      <c r="S73" s="703" t="str">
        <f>IF($E73="","",IF(INDEX(E_SourceStreams!$A:$N,CX73,S$7)="","",INDEX(E_SourceStreams!$A:$N,CX73,S$7)))</f>
        <v/>
      </c>
      <c r="T73" s="703" t="str">
        <f>IF($E73="","",IF(INDEX(E_SourceStreams!$A:$N,CY73,T$7)="","",INDEX(E_SourceStreams!$A:$N,CY73,T$7)))</f>
        <v/>
      </c>
      <c r="U73" s="703" t="str">
        <f>IF($E73="","",IF(INDEX(E_SourceStreams!$A:$N,CZ73,U$7)="","",INDEX(E_SourceStreams!$A:$N,CZ73,U$7)))</f>
        <v/>
      </c>
      <c r="V73" s="703" t="str">
        <f>IF($E73="","",IF(INDEX(E_SourceStreams!$A:$N,DA73,V$7)="","",INDEX(E_SourceStreams!$A:$N,DA73,V$7)))</f>
        <v/>
      </c>
      <c r="W73" s="704" t="str">
        <f>IF($E73="","",IF(INDEX(E_SourceStreams!$A:$N,DB73,W$7)="","",INDEX(E_SourceStreams!$A:$N,DB73,W$7)))</f>
        <v/>
      </c>
      <c r="X73" s="703" t="str">
        <f>IF($E73="","",IF(INDEX(E_SourceStreams!$A:$N,DC73,X$7)="","",INDEX(E_SourceStreams!$A:$N,DC73,X$7)))</f>
        <v/>
      </c>
      <c r="Y73" s="703" t="str">
        <f>IF($E73="","",IF(INDEX(E_SourceStreams!$A:$N,DD73,Y$7)="","",INDEX(E_SourceStreams!$A:$N,DD73,Y$7)))</f>
        <v/>
      </c>
      <c r="Z73" s="703" t="str">
        <f>IF($E73="","",IF(INDEX(E_SourceStreams!$A:$N,DE73,Z$7)="","",INDEX(E_SourceStreams!$A:$N,DE73,Z$7)))</f>
        <v/>
      </c>
      <c r="AA73" s="703" t="str">
        <f>IF($E73="","",IF(INDEX(E_SourceStreams!$A:$N,DF73,AA$7)="","",INDEX(E_SourceStreams!$A:$N,DF73,AA$7)))</f>
        <v/>
      </c>
      <c r="AB73" s="703" t="str">
        <f>IF($E73="","",IF(INDEX(E_SourceStreams!$A:$N,DG73,AB$7)="","",INDEX(E_SourceStreams!$A:$N,DG73,AB$7)))</f>
        <v/>
      </c>
      <c r="AC73" s="703" t="str">
        <f>IF($E73="","",IF(INDEX(E_SourceStreams!$A:$N,DH73,AC$7)="","",INDEX(E_SourceStreams!$A:$N,DH73,AC$7)))</f>
        <v/>
      </c>
      <c r="AD73" s="703" t="str">
        <f>IF($E73="","",IF(INDEX(E_SourceStreams!$A:$N,DI73,AD$7)="","",INDEX(E_SourceStreams!$A:$N,DI73,AD$7)))</f>
        <v/>
      </c>
      <c r="AE73" s="703" t="str">
        <f>IF($E73="","",IF(INDEX(E_SourceStreams!$A:$N,DJ73,AE$7)="","",INDEX(E_SourceStreams!$A:$N,DJ73,AE$7)))</f>
        <v/>
      </c>
      <c r="AF73" s="703" t="str">
        <f>IF($E73="","",IF(INDEX(E_SourceStreams!$A:$N,DK73,AF$7)="","",INDEX(E_SourceStreams!$A:$N,DK73,AF$7)))</f>
        <v/>
      </c>
      <c r="AG73" s="703" t="str">
        <f>IF($E73="","",IF(INDEX(E_SourceStreams!$A:$N,DL73,AG$7)="","",INDEX(E_SourceStreams!$A:$N,DL73,AG$7)))</f>
        <v/>
      </c>
      <c r="AH73" s="703" t="str">
        <f>IF($E73="","",IF(INDEX(E_SourceStreams!$A:$N,DM73,AH$7)="","",INDEX(E_SourceStreams!$A:$N,DM73,AH$7)))</f>
        <v/>
      </c>
      <c r="AI73" s="703" t="str">
        <f>IF($E73="","",IF(INDEX(E_SourceStreams!$A:$N,DN73,AI$7)="","",INDEX(E_SourceStreams!$A:$N,DN73,AI$7)))</f>
        <v/>
      </c>
      <c r="AJ73" s="703" t="str">
        <f>IF($E73="","",IF(INDEX(E_SourceStreams!$A:$N,DO73,AJ$7)="","",INDEX(E_SourceStreams!$A:$N,DO73,AJ$7)))</f>
        <v/>
      </c>
      <c r="AK73" s="703" t="str">
        <f>IF($E73="","",IF(INDEX(E_SourceStreams!$A:$N,DP73,AK$7)="","",INDEX(E_SourceStreams!$A:$N,DP73,AK$7)))</f>
        <v/>
      </c>
      <c r="AL73" s="703" t="str">
        <f>IF($E73="","",IF(INDEX(E_SourceStreams!$A:$N,DQ73,AL$7)="","",INDEX(E_SourceStreams!$A:$N,DQ73,AL$7)))</f>
        <v/>
      </c>
      <c r="AM73" s="703" t="str">
        <f>IF($E73="","",IF(INDEX(E_SourceStreams!$A:$N,DR73,AM$7)="","",INDEX(E_SourceStreams!$A:$N,DR73,AM$7)))</f>
        <v/>
      </c>
      <c r="AN73" s="703" t="str">
        <f>IF($E73="","",IF(INDEX(E_SourceStreams!$A:$N,DS73,AN$7)="","",INDEX(E_SourceStreams!$A:$N,DS73,AN$7)))</f>
        <v/>
      </c>
      <c r="AO73" s="703" t="str">
        <f>IF($E73="","",IF(INDEX(E_SourceStreams!$A:$N,DT73,AO$7)="","",INDEX(E_SourceStreams!$A:$N,DT73,AO$7)))</f>
        <v/>
      </c>
      <c r="AP73" s="703" t="str">
        <f>IF($E73="","",IF(INDEX(E_SourceStreams!$A:$N,DU73,AP$7)="","",INDEX(E_SourceStreams!$A:$N,DU73,AP$7)))</f>
        <v/>
      </c>
      <c r="AQ73" s="703" t="str">
        <f>IF($E73="","",IF(INDEX(E_SourceStreams!$A:$N,DV73,AQ$7)="","",INDEX(E_SourceStreams!$A:$N,DV73,AQ$7)))</f>
        <v/>
      </c>
      <c r="AR73" s="703" t="str">
        <f>IF($E73="","",IF(INDEX(E_SourceStreams!$A:$N,DW73,AR$7)="","",INDEX(E_SourceStreams!$A:$N,DW73,AR$7)))</f>
        <v/>
      </c>
      <c r="AS73" s="703" t="str">
        <f>IF($E73="","",IF(INDEX(E_SourceStreams!$A:$N,DX73,AS$7)="","",INDEX(E_SourceStreams!$A:$N,DX73,AS$7)))</f>
        <v/>
      </c>
      <c r="AT73" s="703" t="str">
        <f>IF($E73="","",IF(INDEX(E_SourceStreams!$A:$N,DY73,AT$7)="","",INDEX(E_SourceStreams!$A:$N,DY73,AT$7)))</f>
        <v/>
      </c>
      <c r="AU73" s="703" t="str">
        <f>IF($E73="","",IF(INDEX(E_SourceStreams!$A:$N,DZ73,AU$7)="","",INDEX(E_SourceStreams!$A:$N,DZ73,AU$7)))</f>
        <v/>
      </c>
      <c r="AV73" s="703" t="str">
        <f>IF($E73="","",IF(INDEX(E_SourceStreams!$A:$N,EA73,AV$7)="","",INDEX(E_SourceStreams!$A:$N,EA73,AV$7)))</f>
        <v/>
      </c>
      <c r="AW73" s="703" t="str">
        <f>IF($E73="","",IF(INDEX(E_SourceStreams!$A:$N,EB73,AW$7)="","",INDEX(E_SourceStreams!$A:$N,EB73,AW$7)))</f>
        <v/>
      </c>
      <c r="AX73" s="703" t="str">
        <f>IF($E73="","",IF(INDEX(E_SourceStreams!$A:$N,EC73,AX$7)="","",INDEX(E_SourceStreams!$A:$N,EC73,AX$7)))</f>
        <v/>
      </c>
      <c r="AY73" s="703" t="str">
        <f>IF($E73="","",IF(INDEX(E_SourceStreams!$A:$N,ED73,AY$7)="","",INDEX(E_SourceStreams!$A:$N,ED73,AY$7)))</f>
        <v/>
      </c>
      <c r="AZ73" s="703" t="str">
        <f>IF($E73="","",IF(INDEX(E_SourceStreams!$A:$N,EE73,AZ$7)="","",INDEX(E_SourceStreams!$A:$N,EE73,AZ$7)))</f>
        <v/>
      </c>
      <c r="BA73" s="703" t="str">
        <f>IF($E73="","",IF(INDEX(E_SourceStreams!$A:$N,EF73,BA$7)="","",INDEX(E_SourceStreams!$A:$N,EF73,BA$7)))</f>
        <v/>
      </c>
      <c r="BB73" s="703" t="str">
        <f>IF($E73="","",IF(INDEX(E_SourceStreams!$A:$N,EG73,BB$7)="","",INDEX(E_SourceStreams!$A:$N,EG73,BB$7)))</f>
        <v/>
      </c>
      <c r="BC73" s="703" t="str">
        <f>IF($E73="","",IF(INDEX(E_SourceStreams!$A:$N,EH73,BC$7)="","",INDEX(E_SourceStreams!$A:$N,EH73,BC$7)))</f>
        <v/>
      </c>
      <c r="BD73" s="703" t="str">
        <f>IF($E73="","",IF(INDEX(E_SourceStreams!$A:$N,EI73,BD$7)="","",INDEX(E_SourceStreams!$A:$N,EI73,BD$7)))</f>
        <v/>
      </c>
      <c r="BE73" s="703" t="str">
        <f>IF($E73="","",IF(INDEX(E_SourceStreams!$A:$N,EJ73,BE$7)="","",INDEX(E_SourceStreams!$A:$N,EJ73,BE$7)))</f>
        <v/>
      </c>
      <c r="BF73" s="703" t="str">
        <f>IF($E73="","",IF(INDEX(E_SourceStreams!$A:$N,EK73,BF$7)="","",INDEX(E_SourceStreams!$A:$N,EK73,BF$7)))</f>
        <v/>
      </c>
      <c r="BG73" s="703" t="str">
        <f>IF($E73="","",IF(INDEX(E_SourceStreams!$A:$N,EL73,BG$7)="","",INDEX(E_SourceStreams!$A:$N,EL73,BG$7)))</f>
        <v/>
      </c>
      <c r="BH73" s="703" t="str">
        <f>IF($E73="","",IF(INDEX(E_SourceStreams!$A:$N,EM73,BH$7)="","",INDEX(E_SourceStreams!$A:$N,EM73,BH$7)))</f>
        <v/>
      </c>
      <c r="BI73" s="703" t="str">
        <f>IF($E73="","",IF(INDEX(E_SourceStreams!$A:$N,EN73,BI$7)="","",INDEX(E_SourceStreams!$A:$N,EN73,BI$7)))</f>
        <v/>
      </c>
      <c r="BJ73" s="703" t="str">
        <f>IF($E73="","",IF(INDEX(E_SourceStreams!$A:$N,EO73,BJ$7)="","",INDEX(E_SourceStreams!$A:$N,EO73,BJ$7)))</f>
        <v/>
      </c>
      <c r="BK73" s="703" t="str">
        <f>IF($E73="","",IF(INDEX(E_SourceStreams!$A:$N,EP73,BK$7)="","",INDEX(E_SourceStreams!$A:$N,EP73,BK$7)))</f>
        <v/>
      </c>
      <c r="BL73" s="703" t="str">
        <f>IF($E73="","",IF(INDEX(E_SourceStreams!$A:$N,EQ73,BL$7)="","",INDEX(E_SourceStreams!$A:$N,EQ73,BL$7)))</f>
        <v/>
      </c>
      <c r="BM73" s="703" t="str">
        <f>IF($E73="","",IF(INDEX(E_SourceStreams!$A:$N,ER73,BM$7)="","",INDEX(E_SourceStreams!$A:$N,ER73,BM$7)))</f>
        <v/>
      </c>
      <c r="BN73" s="703" t="str">
        <f>IF($E73="","",IF(INDEX(E_SourceStreams!$A:$N,ES73,BN$7)="","",INDEX(E_SourceStreams!$A:$N,ES73,BN$7)))</f>
        <v/>
      </c>
      <c r="BO73" s="703" t="str">
        <f>IF($E73="","",IF(INDEX(E_SourceStreams!$A:$N,ET73,BO$7)="","",INDEX(E_SourceStreams!$A:$N,ET73,BO$7)))</f>
        <v/>
      </c>
      <c r="BP73" s="703" t="str">
        <f>IF($E73="","",IF(INDEX(E_SourceStreams!$A:$N,EU73,BP$7)="","",INDEX(E_SourceStreams!$A:$N,EU73,BP$7)))</f>
        <v/>
      </c>
      <c r="BQ73" s="703" t="str">
        <f>IF($E73="","",IF(INDEX(E_SourceStreams!$A:$N,EV73,BQ$7)="","",INDEX(E_SourceStreams!$A:$N,EV73,BQ$7)))</f>
        <v/>
      </c>
      <c r="BR73" s="703" t="str">
        <f>IF($E73="","",IF(INDEX(E_SourceStreams!$A:$N,EW73,BR$7)="","",INDEX(E_SourceStreams!$A:$N,EW73,BR$7)))</f>
        <v/>
      </c>
      <c r="BS73" s="703" t="str">
        <f>IF($E73="","",IF(INDEX(E_SourceStreams!$A:$N,EX73,BS$7)="","",INDEX(E_SourceStreams!$A:$N,EX73,BS$7)))</f>
        <v/>
      </c>
      <c r="BT73" s="703" t="str">
        <f>IF($E73="","",IF(INDEX(E_SourceStreams!$A:$N,EY73,BT$7)="","",INDEX(E_SourceStreams!$A:$N,EY73,BT$7)))</f>
        <v/>
      </c>
      <c r="BU73" s="625"/>
      <c r="CJ73" s="679" t="str">
        <f t="shared" si="66"/>
        <v>SourceCategory_</v>
      </c>
      <c r="CK73" s="679" t="b">
        <f>INDEX(C_InstallationDescription!$A$226:$A$332,ROWS($CI$11:CI73))="ausblenden"</f>
        <v>1</v>
      </c>
      <c r="CL73" s="679" t="str">
        <f t="shared" si="67"/>
        <v>SourceStreamName_</v>
      </c>
      <c r="CN73" s="679">
        <f t="shared" si="65"/>
        <v>4227</v>
      </c>
      <c r="CO73" s="679">
        <f t="shared" si="2"/>
        <v>4229</v>
      </c>
      <c r="CP73" s="679">
        <f t="shared" si="3"/>
        <v>4231</v>
      </c>
      <c r="CQ73" s="679">
        <f t="shared" si="4"/>
        <v>4233</v>
      </c>
      <c r="CR73" s="679">
        <f t="shared" si="5"/>
        <v>4235</v>
      </c>
      <c r="CS73" s="679">
        <f t="shared" si="6"/>
        <v>4237</v>
      </c>
      <c r="CT73" s="679">
        <f t="shared" si="7"/>
        <v>4239</v>
      </c>
      <c r="CU73" s="679">
        <f t="shared" si="8"/>
        <v>4239</v>
      </c>
      <c r="CV73" s="679">
        <f t="shared" si="9"/>
        <v>4239</v>
      </c>
      <c r="CW73" s="679">
        <f t="shared" si="10"/>
        <v>4239</v>
      </c>
      <c r="CX73" s="679">
        <f t="shared" si="11"/>
        <v>4239</v>
      </c>
      <c r="CY73" s="679">
        <f t="shared" si="12"/>
        <v>4242</v>
      </c>
      <c r="CZ73" s="679">
        <f t="shared" si="13"/>
        <v>4246</v>
      </c>
      <c r="DA73" s="679">
        <f t="shared" si="14"/>
        <v>4247</v>
      </c>
      <c r="DB73" s="679">
        <f t="shared" si="15"/>
        <v>4248</v>
      </c>
      <c r="DC73" s="679">
        <f t="shared" si="16"/>
        <v>4255</v>
      </c>
      <c r="DD73" s="679">
        <f t="shared" si="17"/>
        <v>4265</v>
      </c>
      <c r="DE73" s="679">
        <f t="shared" si="18"/>
        <v>4265</v>
      </c>
      <c r="DF73" s="679">
        <f t="shared" si="19"/>
        <v>4265</v>
      </c>
      <c r="DG73" s="679">
        <f t="shared" si="20"/>
        <v>4265</v>
      </c>
      <c r="DH73" s="679">
        <f t="shared" si="21"/>
        <v>4265</v>
      </c>
      <c r="DI73" s="679">
        <f t="shared" si="22"/>
        <v>4265</v>
      </c>
      <c r="DJ73" s="679">
        <f t="shared" si="23"/>
        <v>4265</v>
      </c>
      <c r="DK73" s="679">
        <f t="shared" si="24"/>
        <v>4256</v>
      </c>
      <c r="DL73" s="679">
        <f t="shared" si="25"/>
        <v>4266</v>
      </c>
      <c r="DM73" s="679">
        <f t="shared" si="26"/>
        <v>4266</v>
      </c>
      <c r="DN73" s="679">
        <f t="shared" si="27"/>
        <v>4266</v>
      </c>
      <c r="DO73" s="679">
        <f t="shared" si="28"/>
        <v>4266</v>
      </c>
      <c r="DP73" s="679">
        <f t="shared" si="29"/>
        <v>4266</v>
      </c>
      <c r="DQ73" s="679">
        <f t="shared" si="30"/>
        <v>4266</v>
      </c>
      <c r="DR73" s="679">
        <f t="shared" si="31"/>
        <v>4266</v>
      </c>
      <c r="DS73" s="679">
        <f t="shared" si="32"/>
        <v>4257</v>
      </c>
      <c r="DT73" s="679">
        <f t="shared" si="33"/>
        <v>4267</v>
      </c>
      <c r="DU73" s="679">
        <f t="shared" si="34"/>
        <v>4267</v>
      </c>
      <c r="DV73" s="679">
        <f t="shared" si="35"/>
        <v>4267</v>
      </c>
      <c r="DW73" s="679">
        <f t="shared" si="36"/>
        <v>4267</v>
      </c>
      <c r="DX73" s="679">
        <f t="shared" si="37"/>
        <v>4267</v>
      </c>
      <c r="DY73" s="679">
        <f t="shared" si="38"/>
        <v>4267</v>
      </c>
      <c r="DZ73" s="679">
        <f t="shared" si="39"/>
        <v>4267</v>
      </c>
      <c r="EA73" s="679">
        <f t="shared" si="40"/>
        <v>4258</v>
      </c>
      <c r="EB73" s="679">
        <f t="shared" si="41"/>
        <v>4268</v>
      </c>
      <c r="EC73" s="679">
        <f t="shared" si="42"/>
        <v>4268</v>
      </c>
      <c r="ED73" s="679">
        <f t="shared" si="43"/>
        <v>4268</v>
      </c>
      <c r="EE73" s="679">
        <f t="shared" si="44"/>
        <v>4268</v>
      </c>
      <c r="EF73" s="679">
        <f t="shared" si="45"/>
        <v>4268</v>
      </c>
      <c r="EG73" s="679">
        <f t="shared" si="46"/>
        <v>4268</v>
      </c>
      <c r="EH73" s="679">
        <f t="shared" si="47"/>
        <v>4268</v>
      </c>
      <c r="EI73" s="679">
        <f t="shared" si="48"/>
        <v>4259</v>
      </c>
      <c r="EJ73" s="679">
        <f t="shared" si="49"/>
        <v>4269</v>
      </c>
      <c r="EK73" s="679">
        <f t="shared" si="50"/>
        <v>4269</v>
      </c>
      <c r="EL73" s="679">
        <f t="shared" si="51"/>
        <v>4269</v>
      </c>
      <c r="EM73" s="679">
        <f t="shared" si="52"/>
        <v>4269</v>
      </c>
      <c r="EN73" s="679">
        <f t="shared" si="53"/>
        <v>4269</v>
      </c>
      <c r="EO73" s="679">
        <f t="shared" si="54"/>
        <v>4269</v>
      </c>
      <c r="EP73" s="679">
        <f t="shared" si="55"/>
        <v>4269</v>
      </c>
      <c r="EQ73" s="679">
        <f t="shared" si="56"/>
        <v>4260</v>
      </c>
      <c r="ER73" s="679">
        <f t="shared" si="57"/>
        <v>4270</v>
      </c>
      <c r="ES73" s="679">
        <f t="shared" si="58"/>
        <v>4270</v>
      </c>
      <c r="ET73" s="679">
        <f t="shared" si="59"/>
        <v>4270</v>
      </c>
      <c r="EU73" s="679">
        <f t="shared" si="60"/>
        <v>4270</v>
      </c>
      <c r="EV73" s="679">
        <f t="shared" si="61"/>
        <v>4270</v>
      </c>
      <c r="EW73" s="679">
        <f t="shared" si="62"/>
        <v>4270</v>
      </c>
      <c r="EX73" s="679">
        <f t="shared" si="63"/>
        <v>4270</v>
      </c>
      <c r="EY73" s="679">
        <f t="shared" si="64"/>
        <v>4276</v>
      </c>
    </row>
    <row r="74" spans="2:155" ht="12.75" customHeight="1" x14ac:dyDescent="0.2">
      <c r="B74" s="700" t="str">
        <f>IF(COUNTIF($CK$10:CK74,TRUE)&gt;0,"",INDEX(C_InstallationDescription!$E$226:$E$242,ROWS($A$11:A74)))</f>
        <v/>
      </c>
      <c r="C74" s="581" t="str">
        <f>IF($E74="","",INDEX(C_InstallationDescription!F:F,MATCH($B74,C_InstallationDescription!$E:$E,0)))</f>
        <v/>
      </c>
      <c r="D74" s="581" t="str">
        <f>IF($E74="","",INDEX(C_InstallationDescription!I:I,MATCH($B74,C_InstallationDescription!$E:$E,0)))</f>
        <v/>
      </c>
      <c r="E74" s="581" t="str">
        <f>IF($B74="","",INDEX(C_InstallationDescription!F:F,MATCH($CJ74,C_InstallationDescription!$Q:$Q,0)))</f>
        <v/>
      </c>
      <c r="F74" s="706" t="str">
        <f>IF($E74="","",INDEX(C_InstallationDescription!L:L,MATCH($CJ74,C_InstallationDescription!$Q:$Q,0)))</f>
        <v/>
      </c>
      <c r="G74" s="581" t="str">
        <f>IF($E74="","",INDEX(C_InstallationDescription!M:M,MATCH($CJ74,C_InstallationDescription!$Q:$Q,0)))</f>
        <v/>
      </c>
      <c r="H74" s="581" t="str">
        <f>IF($E74="","",INDEX(C_InstallationDescription!N:N,MATCH($CJ74,C_InstallationDescription!$Q:$Q,0)))</f>
        <v/>
      </c>
      <c r="I74" s="703" t="str">
        <f>IF($E74="","",IF(INDEX(E_SourceStreams!$A:$N,CN74,I$7)="","",INDEX(E_SourceStreams!$A:$N,CN74,I$7)))</f>
        <v/>
      </c>
      <c r="J74" s="703" t="str">
        <f>IF($E74="","",IF(INDEX(E_SourceStreams!$A:$N,CO74,J$7)="","",INDEX(E_SourceStreams!$A:$N,CO74,J$7)))</f>
        <v/>
      </c>
      <c r="K74" s="703" t="str">
        <f>IF($E74="","",IF(INDEX(E_SourceStreams!$A:$N,CP74,K$7)="","",INDEX(E_SourceStreams!$A:$N,CP74,K$7)))</f>
        <v/>
      </c>
      <c r="L74" s="703" t="str">
        <f>IF($E74="","",IF(INDEX(E_SourceStreams!$A:$N,CQ74,L$7)="","",INDEX(E_SourceStreams!$A:$N,CQ74,L$7)))</f>
        <v/>
      </c>
      <c r="M74" s="703" t="str">
        <f>IF($E74="","",IF(INDEX(E_SourceStreams!$A:$N,CR74,M$7)="","",INDEX(E_SourceStreams!$A:$N,CR74,M$7)))</f>
        <v/>
      </c>
      <c r="N74" s="703" t="str">
        <f>IF($E74="","",IF(INDEX(E_SourceStreams!$A:$N,CS74,N$7)="","",INDEX(E_SourceStreams!$A:$N,CS74,N$7)))</f>
        <v/>
      </c>
      <c r="O74" s="703" t="str">
        <f>IF($E74="","",IF(INDEX(E_SourceStreams!$A:$N,CT74,O$7)="","",INDEX(E_SourceStreams!$A:$N,CT74,O$7)))</f>
        <v/>
      </c>
      <c r="P74" s="703" t="str">
        <f>IF($E74="","",IF(INDEX(E_SourceStreams!$A:$N,CU74,P$7)="","",INDEX(E_SourceStreams!$A:$N,CU74,P$7)))</f>
        <v/>
      </c>
      <c r="Q74" s="703" t="str">
        <f>IF($E74="","",IF(INDEX(E_SourceStreams!$A:$N,CV74,Q$7)="","",INDEX(E_SourceStreams!$A:$N,CV74,Q$7)))</f>
        <v/>
      </c>
      <c r="R74" s="703" t="str">
        <f>IF($E74="","",IF(INDEX(E_SourceStreams!$A:$N,CW74,R$7)="","",INDEX(E_SourceStreams!$A:$N,CW74,R$7)))</f>
        <v/>
      </c>
      <c r="S74" s="703" t="str">
        <f>IF($E74="","",IF(INDEX(E_SourceStreams!$A:$N,CX74,S$7)="","",INDEX(E_SourceStreams!$A:$N,CX74,S$7)))</f>
        <v/>
      </c>
      <c r="T74" s="703" t="str">
        <f>IF($E74="","",IF(INDEX(E_SourceStreams!$A:$N,CY74,T$7)="","",INDEX(E_SourceStreams!$A:$N,CY74,T$7)))</f>
        <v/>
      </c>
      <c r="U74" s="703" t="str">
        <f>IF($E74="","",IF(INDEX(E_SourceStreams!$A:$N,CZ74,U$7)="","",INDEX(E_SourceStreams!$A:$N,CZ74,U$7)))</f>
        <v/>
      </c>
      <c r="V74" s="703" t="str">
        <f>IF($E74="","",IF(INDEX(E_SourceStreams!$A:$N,DA74,V$7)="","",INDEX(E_SourceStreams!$A:$N,DA74,V$7)))</f>
        <v/>
      </c>
      <c r="W74" s="704" t="str">
        <f>IF($E74="","",IF(INDEX(E_SourceStreams!$A:$N,DB74,W$7)="","",INDEX(E_SourceStreams!$A:$N,DB74,W$7)))</f>
        <v/>
      </c>
      <c r="X74" s="703" t="str">
        <f>IF($E74="","",IF(INDEX(E_SourceStreams!$A:$N,DC74,X$7)="","",INDEX(E_SourceStreams!$A:$N,DC74,X$7)))</f>
        <v/>
      </c>
      <c r="Y74" s="703" t="str">
        <f>IF($E74="","",IF(INDEX(E_SourceStreams!$A:$N,DD74,Y$7)="","",INDEX(E_SourceStreams!$A:$N,DD74,Y$7)))</f>
        <v/>
      </c>
      <c r="Z74" s="703" t="str">
        <f>IF($E74="","",IF(INDEX(E_SourceStreams!$A:$N,DE74,Z$7)="","",INDEX(E_SourceStreams!$A:$N,DE74,Z$7)))</f>
        <v/>
      </c>
      <c r="AA74" s="703" t="str">
        <f>IF($E74="","",IF(INDEX(E_SourceStreams!$A:$N,DF74,AA$7)="","",INDEX(E_SourceStreams!$A:$N,DF74,AA$7)))</f>
        <v/>
      </c>
      <c r="AB74" s="703" t="str">
        <f>IF($E74="","",IF(INDEX(E_SourceStreams!$A:$N,DG74,AB$7)="","",INDEX(E_SourceStreams!$A:$N,DG74,AB$7)))</f>
        <v/>
      </c>
      <c r="AC74" s="703" t="str">
        <f>IF($E74="","",IF(INDEX(E_SourceStreams!$A:$N,DH74,AC$7)="","",INDEX(E_SourceStreams!$A:$N,DH74,AC$7)))</f>
        <v/>
      </c>
      <c r="AD74" s="703" t="str">
        <f>IF($E74="","",IF(INDEX(E_SourceStreams!$A:$N,DI74,AD$7)="","",INDEX(E_SourceStreams!$A:$N,DI74,AD$7)))</f>
        <v/>
      </c>
      <c r="AE74" s="703" t="str">
        <f>IF($E74="","",IF(INDEX(E_SourceStreams!$A:$N,DJ74,AE$7)="","",INDEX(E_SourceStreams!$A:$N,DJ74,AE$7)))</f>
        <v/>
      </c>
      <c r="AF74" s="703" t="str">
        <f>IF($E74="","",IF(INDEX(E_SourceStreams!$A:$N,DK74,AF$7)="","",INDEX(E_SourceStreams!$A:$N,DK74,AF$7)))</f>
        <v/>
      </c>
      <c r="AG74" s="703" t="str">
        <f>IF($E74="","",IF(INDEX(E_SourceStreams!$A:$N,DL74,AG$7)="","",INDEX(E_SourceStreams!$A:$N,DL74,AG$7)))</f>
        <v/>
      </c>
      <c r="AH74" s="703" t="str">
        <f>IF($E74="","",IF(INDEX(E_SourceStreams!$A:$N,DM74,AH$7)="","",INDEX(E_SourceStreams!$A:$N,DM74,AH$7)))</f>
        <v/>
      </c>
      <c r="AI74" s="703" t="str">
        <f>IF($E74="","",IF(INDEX(E_SourceStreams!$A:$N,DN74,AI$7)="","",INDEX(E_SourceStreams!$A:$N,DN74,AI$7)))</f>
        <v/>
      </c>
      <c r="AJ74" s="703" t="str">
        <f>IF($E74="","",IF(INDEX(E_SourceStreams!$A:$N,DO74,AJ$7)="","",INDEX(E_SourceStreams!$A:$N,DO74,AJ$7)))</f>
        <v/>
      </c>
      <c r="AK74" s="703" t="str">
        <f>IF($E74="","",IF(INDEX(E_SourceStreams!$A:$N,DP74,AK$7)="","",INDEX(E_SourceStreams!$A:$N,DP74,AK$7)))</f>
        <v/>
      </c>
      <c r="AL74" s="703" t="str">
        <f>IF($E74="","",IF(INDEX(E_SourceStreams!$A:$N,DQ74,AL$7)="","",INDEX(E_SourceStreams!$A:$N,DQ74,AL$7)))</f>
        <v/>
      </c>
      <c r="AM74" s="703" t="str">
        <f>IF($E74="","",IF(INDEX(E_SourceStreams!$A:$N,DR74,AM$7)="","",INDEX(E_SourceStreams!$A:$N,DR74,AM$7)))</f>
        <v/>
      </c>
      <c r="AN74" s="703" t="str">
        <f>IF($E74="","",IF(INDEX(E_SourceStreams!$A:$N,DS74,AN$7)="","",INDEX(E_SourceStreams!$A:$N,DS74,AN$7)))</f>
        <v/>
      </c>
      <c r="AO74" s="703" t="str">
        <f>IF($E74="","",IF(INDEX(E_SourceStreams!$A:$N,DT74,AO$7)="","",INDEX(E_SourceStreams!$A:$N,DT74,AO$7)))</f>
        <v/>
      </c>
      <c r="AP74" s="703" t="str">
        <f>IF($E74="","",IF(INDEX(E_SourceStreams!$A:$N,DU74,AP$7)="","",INDEX(E_SourceStreams!$A:$N,DU74,AP$7)))</f>
        <v/>
      </c>
      <c r="AQ74" s="703" t="str">
        <f>IF($E74="","",IF(INDEX(E_SourceStreams!$A:$N,DV74,AQ$7)="","",INDEX(E_SourceStreams!$A:$N,DV74,AQ$7)))</f>
        <v/>
      </c>
      <c r="AR74" s="703" t="str">
        <f>IF($E74="","",IF(INDEX(E_SourceStreams!$A:$N,DW74,AR$7)="","",INDEX(E_SourceStreams!$A:$N,DW74,AR$7)))</f>
        <v/>
      </c>
      <c r="AS74" s="703" t="str">
        <f>IF($E74="","",IF(INDEX(E_SourceStreams!$A:$N,DX74,AS$7)="","",INDEX(E_SourceStreams!$A:$N,DX74,AS$7)))</f>
        <v/>
      </c>
      <c r="AT74" s="703" t="str">
        <f>IF($E74="","",IF(INDEX(E_SourceStreams!$A:$N,DY74,AT$7)="","",INDEX(E_SourceStreams!$A:$N,DY74,AT$7)))</f>
        <v/>
      </c>
      <c r="AU74" s="703" t="str">
        <f>IF($E74="","",IF(INDEX(E_SourceStreams!$A:$N,DZ74,AU$7)="","",INDEX(E_SourceStreams!$A:$N,DZ74,AU$7)))</f>
        <v/>
      </c>
      <c r="AV74" s="703" t="str">
        <f>IF($E74="","",IF(INDEX(E_SourceStreams!$A:$N,EA74,AV$7)="","",INDEX(E_SourceStreams!$A:$N,EA74,AV$7)))</f>
        <v/>
      </c>
      <c r="AW74" s="703" t="str">
        <f>IF($E74="","",IF(INDEX(E_SourceStreams!$A:$N,EB74,AW$7)="","",INDEX(E_SourceStreams!$A:$N,EB74,AW$7)))</f>
        <v/>
      </c>
      <c r="AX74" s="703" t="str">
        <f>IF($E74="","",IF(INDEX(E_SourceStreams!$A:$N,EC74,AX$7)="","",INDEX(E_SourceStreams!$A:$N,EC74,AX$7)))</f>
        <v/>
      </c>
      <c r="AY74" s="703" t="str">
        <f>IF($E74="","",IF(INDEX(E_SourceStreams!$A:$N,ED74,AY$7)="","",INDEX(E_SourceStreams!$A:$N,ED74,AY$7)))</f>
        <v/>
      </c>
      <c r="AZ74" s="703" t="str">
        <f>IF($E74="","",IF(INDEX(E_SourceStreams!$A:$N,EE74,AZ$7)="","",INDEX(E_SourceStreams!$A:$N,EE74,AZ$7)))</f>
        <v/>
      </c>
      <c r="BA74" s="703" t="str">
        <f>IF($E74="","",IF(INDEX(E_SourceStreams!$A:$N,EF74,BA$7)="","",INDEX(E_SourceStreams!$A:$N,EF74,BA$7)))</f>
        <v/>
      </c>
      <c r="BB74" s="703" t="str">
        <f>IF($E74="","",IF(INDEX(E_SourceStreams!$A:$N,EG74,BB$7)="","",INDEX(E_SourceStreams!$A:$N,EG74,BB$7)))</f>
        <v/>
      </c>
      <c r="BC74" s="703" t="str">
        <f>IF($E74="","",IF(INDEX(E_SourceStreams!$A:$N,EH74,BC$7)="","",INDEX(E_SourceStreams!$A:$N,EH74,BC$7)))</f>
        <v/>
      </c>
      <c r="BD74" s="703" t="str">
        <f>IF($E74="","",IF(INDEX(E_SourceStreams!$A:$N,EI74,BD$7)="","",INDEX(E_SourceStreams!$A:$N,EI74,BD$7)))</f>
        <v/>
      </c>
      <c r="BE74" s="703" t="str">
        <f>IF($E74="","",IF(INDEX(E_SourceStreams!$A:$N,EJ74,BE$7)="","",INDEX(E_SourceStreams!$A:$N,EJ74,BE$7)))</f>
        <v/>
      </c>
      <c r="BF74" s="703" t="str">
        <f>IF($E74="","",IF(INDEX(E_SourceStreams!$A:$N,EK74,BF$7)="","",INDEX(E_SourceStreams!$A:$N,EK74,BF$7)))</f>
        <v/>
      </c>
      <c r="BG74" s="703" t="str">
        <f>IF($E74="","",IF(INDEX(E_SourceStreams!$A:$N,EL74,BG$7)="","",INDEX(E_SourceStreams!$A:$N,EL74,BG$7)))</f>
        <v/>
      </c>
      <c r="BH74" s="703" t="str">
        <f>IF($E74="","",IF(INDEX(E_SourceStreams!$A:$N,EM74,BH$7)="","",INDEX(E_SourceStreams!$A:$N,EM74,BH$7)))</f>
        <v/>
      </c>
      <c r="BI74" s="703" t="str">
        <f>IF($E74="","",IF(INDEX(E_SourceStreams!$A:$N,EN74,BI$7)="","",INDEX(E_SourceStreams!$A:$N,EN74,BI$7)))</f>
        <v/>
      </c>
      <c r="BJ74" s="703" t="str">
        <f>IF($E74="","",IF(INDEX(E_SourceStreams!$A:$N,EO74,BJ$7)="","",INDEX(E_SourceStreams!$A:$N,EO74,BJ$7)))</f>
        <v/>
      </c>
      <c r="BK74" s="703" t="str">
        <f>IF($E74="","",IF(INDEX(E_SourceStreams!$A:$N,EP74,BK$7)="","",INDEX(E_SourceStreams!$A:$N,EP74,BK$7)))</f>
        <v/>
      </c>
      <c r="BL74" s="703" t="str">
        <f>IF($E74="","",IF(INDEX(E_SourceStreams!$A:$N,EQ74,BL$7)="","",INDEX(E_SourceStreams!$A:$N,EQ74,BL$7)))</f>
        <v/>
      </c>
      <c r="BM74" s="703" t="str">
        <f>IF($E74="","",IF(INDEX(E_SourceStreams!$A:$N,ER74,BM$7)="","",INDEX(E_SourceStreams!$A:$N,ER74,BM$7)))</f>
        <v/>
      </c>
      <c r="BN74" s="703" t="str">
        <f>IF($E74="","",IF(INDEX(E_SourceStreams!$A:$N,ES74,BN$7)="","",INDEX(E_SourceStreams!$A:$N,ES74,BN$7)))</f>
        <v/>
      </c>
      <c r="BO74" s="703" t="str">
        <f>IF($E74="","",IF(INDEX(E_SourceStreams!$A:$N,ET74,BO$7)="","",INDEX(E_SourceStreams!$A:$N,ET74,BO$7)))</f>
        <v/>
      </c>
      <c r="BP74" s="703" t="str">
        <f>IF($E74="","",IF(INDEX(E_SourceStreams!$A:$N,EU74,BP$7)="","",INDEX(E_SourceStreams!$A:$N,EU74,BP$7)))</f>
        <v/>
      </c>
      <c r="BQ74" s="703" t="str">
        <f>IF($E74="","",IF(INDEX(E_SourceStreams!$A:$N,EV74,BQ$7)="","",INDEX(E_SourceStreams!$A:$N,EV74,BQ$7)))</f>
        <v/>
      </c>
      <c r="BR74" s="703" t="str">
        <f>IF($E74="","",IF(INDEX(E_SourceStreams!$A:$N,EW74,BR$7)="","",INDEX(E_SourceStreams!$A:$N,EW74,BR$7)))</f>
        <v/>
      </c>
      <c r="BS74" s="703" t="str">
        <f>IF($E74="","",IF(INDEX(E_SourceStreams!$A:$N,EX74,BS$7)="","",INDEX(E_SourceStreams!$A:$N,EX74,BS$7)))</f>
        <v/>
      </c>
      <c r="BT74" s="703" t="str">
        <f>IF($E74="","",IF(INDEX(E_SourceStreams!$A:$N,EY74,BT$7)="","",INDEX(E_SourceStreams!$A:$N,EY74,BT$7)))</f>
        <v/>
      </c>
      <c r="BU74" s="625"/>
      <c r="CJ74" s="679" t="str">
        <f t="shared" si="66"/>
        <v>SourceCategory_</v>
      </c>
      <c r="CK74" s="679" t="b">
        <f>INDEX(C_InstallationDescription!$A$226:$A$332,ROWS($CI$11:CI74))="ausblenden"</f>
        <v>1</v>
      </c>
      <c r="CL74" s="679" t="str">
        <f t="shared" si="67"/>
        <v>SourceStreamName_</v>
      </c>
      <c r="CN74" s="679">
        <f t="shared" si="65"/>
        <v>4293</v>
      </c>
      <c r="CO74" s="679">
        <f t="shared" si="2"/>
        <v>4295</v>
      </c>
      <c r="CP74" s="679">
        <f t="shared" si="3"/>
        <v>4297</v>
      </c>
      <c r="CQ74" s="679">
        <f t="shared" si="4"/>
        <v>4299</v>
      </c>
      <c r="CR74" s="679">
        <f t="shared" si="5"/>
        <v>4301</v>
      </c>
      <c r="CS74" s="679">
        <f t="shared" si="6"/>
        <v>4303</v>
      </c>
      <c r="CT74" s="679">
        <f t="shared" si="7"/>
        <v>4305</v>
      </c>
      <c r="CU74" s="679">
        <f t="shared" si="8"/>
        <v>4305</v>
      </c>
      <c r="CV74" s="679">
        <f t="shared" si="9"/>
        <v>4305</v>
      </c>
      <c r="CW74" s="679">
        <f t="shared" si="10"/>
        <v>4305</v>
      </c>
      <c r="CX74" s="679">
        <f t="shared" si="11"/>
        <v>4305</v>
      </c>
      <c r="CY74" s="679">
        <f t="shared" si="12"/>
        <v>4308</v>
      </c>
      <c r="CZ74" s="679">
        <f t="shared" si="13"/>
        <v>4312</v>
      </c>
      <c r="DA74" s="679">
        <f t="shared" si="14"/>
        <v>4313</v>
      </c>
      <c r="DB74" s="679">
        <f t="shared" si="15"/>
        <v>4314</v>
      </c>
      <c r="DC74" s="679">
        <f t="shared" si="16"/>
        <v>4321</v>
      </c>
      <c r="DD74" s="679">
        <f t="shared" si="17"/>
        <v>4331</v>
      </c>
      <c r="DE74" s="679">
        <f t="shared" si="18"/>
        <v>4331</v>
      </c>
      <c r="DF74" s="679">
        <f t="shared" si="19"/>
        <v>4331</v>
      </c>
      <c r="DG74" s="679">
        <f t="shared" si="20"/>
        <v>4331</v>
      </c>
      <c r="DH74" s="679">
        <f t="shared" si="21"/>
        <v>4331</v>
      </c>
      <c r="DI74" s="679">
        <f t="shared" si="22"/>
        <v>4331</v>
      </c>
      <c r="DJ74" s="679">
        <f t="shared" si="23"/>
        <v>4331</v>
      </c>
      <c r="DK74" s="679">
        <f t="shared" si="24"/>
        <v>4322</v>
      </c>
      <c r="DL74" s="679">
        <f t="shared" si="25"/>
        <v>4332</v>
      </c>
      <c r="DM74" s="679">
        <f t="shared" si="26"/>
        <v>4332</v>
      </c>
      <c r="DN74" s="679">
        <f t="shared" si="27"/>
        <v>4332</v>
      </c>
      <c r="DO74" s="679">
        <f t="shared" si="28"/>
        <v>4332</v>
      </c>
      <c r="DP74" s="679">
        <f t="shared" si="29"/>
        <v>4332</v>
      </c>
      <c r="DQ74" s="679">
        <f t="shared" si="30"/>
        <v>4332</v>
      </c>
      <c r="DR74" s="679">
        <f t="shared" si="31"/>
        <v>4332</v>
      </c>
      <c r="DS74" s="679">
        <f t="shared" si="32"/>
        <v>4323</v>
      </c>
      <c r="DT74" s="679">
        <f t="shared" si="33"/>
        <v>4333</v>
      </c>
      <c r="DU74" s="679">
        <f t="shared" si="34"/>
        <v>4333</v>
      </c>
      <c r="DV74" s="679">
        <f t="shared" si="35"/>
        <v>4333</v>
      </c>
      <c r="DW74" s="679">
        <f t="shared" si="36"/>
        <v>4333</v>
      </c>
      <c r="DX74" s="679">
        <f t="shared" si="37"/>
        <v>4333</v>
      </c>
      <c r="DY74" s="679">
        <f t="shared" si="38"/>
        <v>4333</v>
      </c>
      <c r="DZ74" s="679">
        <f t="shared" si="39"/>
        <v>4333</v>
      </c>
      <c r="EA74" s="679">
        <f t="shared" si="40"/>
        <v>4324</v>
      </c>
      <c r="EB74" s="679">
        <f t="shared" si="41"/>
        <v>4334</v>
      </c>
      <c r="EC74" s="679">
        <f t="shared" si="42"/>
        <v>4334</v>
      </c>
      <c r="ED74" s="679">
        <f t="shared" si="43"/>
        <v>4334</v>
      </c>
      <c r="EE74" s="679">
        <f t="shared" si="44"/>
        <v>4334</v>
      </c>
      <c r="EF74" s="679">
        <f t="shared" si="45"/>
        <v>4334</v>
      </c>
      <c r="EG74" s="679">
        <f t="shared" si="46"/>
        <v>4334</v>
      </c>
      <c r="EH74" s="679">
        <f t="shared" si="47"/>
        <v>4334</v>
      </c>
      <c r="EI74" s="679">
        <f t="shared" si="48"/>
        <v>4325</v>
      </c>
      <c r="EJ74" s="679">
        <f t="shared" si="49"/>
        <v>4335</v>
      </c>
      <c r="EK74" s="679">
        <f t="shared" si="50"/>
        <v>4335</v>
      </c>
      <c r="EL74" s="679">
        <f t="shared" si="51"/>
        <v>4335</v>
      </c>
      <c r="EM74" s="679">
        <f t="shared" si="52"/>
        <v>4335</v>
      </c>
      <c r="EN74" s="679">
        <f t="shared" si="53"/>
        <v>4335</v>
      </c>
      <c r="EO74" s="679">
        <f t="shared" si="54"/>
        <v>4335</v>
      </c>
      <c r="EP74" s="679">
        <f t="shared" si="55"/>
        <v>4335</v>
      </c>
      <c r="EQ74" s="679">
        <f t="shared" si="56"/>
        <v>4326</v>
      </c>
      <c r="ER74" s="679">
        <f t="shared" si="57"/>
        <v>4336</v>
      </c>
      <c r="ES74" s="679">
        <f t="shared" si="58"/>
        <v>4336</v>
      </c>
      <c r="ET74" s="679">
        <f t="shared" si="59"/>
        <v>4336</v>
      </c>
      <c r="EU74" s="679">
        <f t="shared" si="60"/>
        <v>4336</v>
      </c>
      <c r="EV74" s="679">
        <f t="shared" si="61"/>
        <v>4336</v>
      </c>
      <c r="EW74" s="679">
        <f t="shared" si="62"/>
        <v>4336</v>
      </c>
      <c r="EX74" s="679">
        <f t="shared" si="63"/>
        <v>4336</v>
      </c>
      <c r="EY74" s="679">
        <f t="shared" si="64"/>
        <v>4342</v>
      </c>
    </row>
    <row r="75" spans="2:155" ht="12.75" customHeight="1" x14ac:dyDescent="0.2">
      <c r="B75" s="700" t="str">
        <f>IF(COUNTIF($CK$10:CK75,TRUE)&gt;0,"",INDEX(C_InstallationDescription!$E$226:$E$242,ROWS($A$11:A75)))</f>
        <v/>
      </c>
      <c r="C75" s="581" t="str">
        <f>IF($E75="","",INDEX(C_InstallationDescription!F:F,MATCH($B75,C_InstallationDescription!$E:$E,0)))</f>
        <v/>
      </c>
      <c r="D75" s="581" t="str">
        <f>IF($E75="","",INDEX(C_InstallationDescription!I:I,MATCH($B75,C_InstallationDescription!$E:$E,0)))</f>
        <v/>
      </c>
      <c r="E75" s="581" t="str">
        <f>IF($B75="","",INDEX(C_InstallationDescription!F:F,MATCH($CJ75,C_InstallationDescription!$Q:$Q,0)))</f>
        <v/>
      </c>
      <c r="F75" s="706" t="str">
        <f>IF($E75="","",INDEX(C_InstallationDescription!L:L,MATCH($CJ75,C_InstallationDescription!$Q:$Q,0)))</f>
        <v/>
      </c>
      <c r="G75" s="581" t="str">
        <f>IF($E75="","",INDEX(C_InstallationDescription!M:M,MATCH($CJ75,C_InstallationDescription!$Q:$Q,0)))</f>
        <v/>
      </c>
      <c r="H75" s="581" t="str">
        <f>IF($E75="","",INDEX(C_InstallationDescription!N:N,MATCH($CJ75,C_InstallationDescription!$Q:$Q,0)))</f>
        <v/>
      </c>
      <c r="I75" s="703" t="str">
        <f>IF($E75="","",IF(INDEX(E_SourceStreams!$A:$N,CN75,I$7)="","",INDEX(E_SourceStreams!$A:$N,CN75,I$7)))</f>
        <v/>
      </c>
      <c r="J75" s="703" t="str">
        <f>IF($E75="","",IF(INDEX(E_SourceStreams!$A:$N,CO75,J$7)="","",INDEX(E_SourceStreams!$A:$N,CO75,J$7)))</f>
        <v/>
      </c>
      <c r="K75" s="703" t="str">
        <f>IF($E75="","",IF(INDEX(E_SourceStreams!$A:$N,CP75,K$7)="","",INDEX(E_SourceStreams!$A:$N,CP75,K$7)))</f>
        <v/>
      </c>
      <c r="L75" s="703" t="str">
        <f>IF($E75="","",IF(INDEX(E_SourceStreams!$A:$N,CQ75,L$7)="","",INDEX(E_SourceStreams!$A:$N,CQ75,L$7)))</f>
        <v/>
      </c>
      <c r="M75" s="703" t="str">
        <f>IF($E75="","",IF(INDEX(E_SourceStreams!$A:$N,CR75,M$7)="","",INDEX(E_SourceStreams!$A:$N,CR75,M$7)))</f>
        <v/>
      </c>
      <c r="N75" s="703" t="str">
        <f>IF($E75="","",IF(INDEX(E_SourceStreams!$A:$N,CS75,N$7)="","",INDEX(E_SourceStreams!$A:$N,CS75,N$7)))</f>
        <v/>
      </c>
      <c r="O75" s="703" t="str">
        <f>IF($E75="","",IF(INDEX(E_SourceStreams!$A:$N,CT75,O$7)="","",INDEX(E_SourceStreams!$A:$N,CT75,O$7)))</f>
        <v/>
      </c>
      <c r="P75" s="703" t="str">
        <f>IF($E75="","",IF(INDEX(E_SourceStreams!$A:$N,CU75,P$7)="","",INDEX(E_SourceStreams!$A:$N,CU75,P$7)))</f>
        <v/>
      </c>
      <c r="Q75" s="703" t="str">
        <f>IF($E75="","",IF(INDEX(E_SourceStreams!$A:$N,CV75,Q$7)="","",INDEX(E_SourceStreams!$A:$N,CV75,Q$7)))</f>
        <v/>
      </c>
      <c r="R75" s="703" t="str">
        <f>IF($E75="","",IF(INDEX(E_SourceStreams!$A:$N,CW75,R$7)="","",INDEX(E_SourceStreams!$A:$N,CW75,R$7)))</f>
        <v/>
      </c>
      <c r="S75" s="703" t="str">
        <f>IF($E75="","",IF(INDEX(E_SourceStreams!$A:$N,CX75,S$7)="","",INDEX(E_SourceStreams!$A:$N,CX75,S$7)))</f>
        <v/>
      </c>
      <c r="T75" s="703" t="str">
        <f>IF($E75="","",IF(INDEX(E_SourceStreams!$A:$N,CY75,T$7)="","",INDEX(E_SourceStreams!$A:$N,CY75,T$7)))</f>
        <v/>
      </c>
      <c r="U75" s="703" t="str">
        <f>IF($E75="","",IF(INDEX(E_SourceStreams!$A:$N,CZ75,U$7)="","",INDEX(E_SourceStreams!$A:$N,CZ75,U$7)))</f>
        <v/>
      </c>
      <c r="V75" s="703" t="str">
        <f>IF($E75="","",IF(INDEX(E_SourceStreams!$A:$N,DA75,V$7)="","",INDEX(E_SourceStreams!$A:$N,DA75,V$7)))</f>
        <v/>
      </c>
      <c r="W75" s="704" t="str">
        <f>IF($E75="","",IF(INDEX(E_SourceStreams!$A:$N,DB75,W$7)="","",INDEX(E_SourceStreams!$A:$N,DB75,W$7)))</f>
        <v/>
      </c>
      <c r="X75" s="703" t="str">
        <f>IF($E75="","",IF(INDEX(E_SourceStreams!$A:$N,DC75,X$7)="","",INDEX(E_SourceStreams!$A:$N,DC75,X$7)))</f>
        <v/>
      </c>
      <c r="Y75" s="703" t="str">
        <f>IF($E75="","",IF(INDEX(E_SourceStreams!$A:$N,DD75,Y$7)="","",INDEX(E_SourceStreams!$A:$N,DD75,Y$7)))</f>
        <v/>
      </c>
      <c r="Z75" s="703" t="str">
        <f>IF($E75="","",IF(INDEX(E_SourceStreams!$A:$N,DE75,Z$7)="","",INDEX(E_SourceStreams!$A:$N,DE75,Z$7)))</f>
        <v/>
      </c>
      <c r="AA75" s="703" t="str">
        <f>IF($E75="","",IF(INDEX(E_SourceStreams!$A:$N,DF75,AA$7)="","",INDEX(E_SourceStreams!$A:$N,DF75,AA$7)))</f>
        <v/>
      </c>
      <c r="AB75" s="703" t="str">
        <f>IF($E75="","",IF(INDEX(E_SourceStreams!$A:$N,DG75,AB$7)="","",INDEX(E_SourceStreams!$A:$N,DG75,AB$7)))</f>
        <v/>
      </c>
      <c r="AC75" s="703" t="str">
        <f>IF($E75="","",IF(INDEX(E_SourceStreams!$A:$N,DH75,AC$7)="","",INDEX(E_SourceStreams!$A:$N,DH75,AC$7)))</f>
        <v/>
      </c>
      <c r="AD75" s="703" t="str">
        <f>IF($E75="","",IF(INDEX(E_SourceStreams!$A:$N,DI75,AD$7)="","",INDEX(E_SourceStreams!$A:$N,DI75,AD$7)))</f>
        <v/>
      </c>
      <c r="AE75" s="703" t="str">
        <f>IF($E75="","",IF(INDEX(E_SourceStreams!$A:$N,DJ75,AE$7)="","",INDEX(E_SourceStreams!$A:$N,DJ75,AE$7)))</f>
        <v/>
      </c>
      <c r="AF75" s="703" t="str">
        <f>IF($E75="","",IF(INDEX(E_SourceStreams!$A:$N,DK75,AF$7)="","",INDEX(E_SourceStreams!$A:$N,DK75,AF$7)))</f>
        <v/>
      </c>
      <c r="AG75" s="703" t="str">
        <f>IF($E75="","",IF(INDEX(E_SourceStreams!$A:$N,DL75,AG$7)="","",INDEX(E_SourceStreams!$A:$N,DL75,AG$7)))</f>
        <v/>
      </c>
      <c r="AH75" s="703" t="str">
        <f>IF($E75="","",IF(INDEX(E_SourceStreams!$A:$N,DM75,AH$7)="","",INDEX(E_SourceStreams!$A:$N,DM75,AH$7)))</f>
        <v/>
      </c>
      <c r="AI75" s="703" t="str">
        <f>IF($E75="","",IF(INDEX(E_SourceStreams!$A:$N,DN75,AI$7)="","",INDEX(E_SourceStreams!$A:$N,DN75,AI$7)))</f>
        <v/>
      </c>
      <c r="AJ75" s="703" t="str">
        <f>IF($E75="","",IF(INDEX(E_SourceStreams!$A:$N,DO75,AJ$7)="","",INDEX(E_SourceStreams!$A:$N,DO75,AJ$7)))</f>
        <v/>
      </c>
      <c r="AK75" s="703" t="str">
        <f>IF($E75="","",IF(INDEX(E_SourceStreams!$A:$N,DP75,AK$7)="","",INDEX(E_SourceStreams!$A:$N,DP75,AK$7)))</f>
        <v/>
      </c>
      <c r="AL75" s="703" t="str">
        <f>IF($E75="","",IF(INDEX(E_SourceStreams!$A:$N,DQ75,AL$7)="","",INDEX(E_SourceStreams!$A:$N,DQ75,AL$7)))</f>
        <v/>
      </c>
      <c r="AM75" s="703" t="str">
        <f>IF($E75="","",IF(INDEX(E_SourceStreams!$A:$N,DR75,AM$7)="","",INDEX(E_SourceStreams!$A:$N,DR75,AM$7)))</f>
        <v/>
      </c>
      <c r="AN75" s="703" t="str">
        <f>IF($E75="","",IF(INDEX(E_SourceStreams!$A:$N,DS75,AN$7)="","",INDEX(E_SourceStreams!$A:$N,DS75,AN$7)))</f>
        <v/>
      </c>
      <c r="AO75" s="703" t="str">
        <f>IF($E75="","",IF(INDEX(E_SourceStreams!$A:$N,DT75,AO$7)="","",INDEX(E_SourceStreams!$A:$N,DT75,AO$7)))</f>
        <v/>
      </c>
      <c r="AP75" s="703" t="str">
        <f>IF($E75="","",IF(INDEX(E_SourceStreams!$A:$N,DU75,AP$7)="","",INDEX(E_SourceStreams!$A:$N,DU75,AP$7)))</f>
        <v/>
      </c>
      <c r="AQ75" s="703" t="str">
        <f>IF($E75="","",IF(INDEX(E_SourceStreams!$A:$N,DV75,AQ$7)="","",INDEX(E_SourceStreams!$A:$N,DV75,AQ$7)))</f>
        <v/>
      </c>
      <c r="AR75" s="703" t="str">
        <f>IF($E75="","",IF(INDEX(E_SourceStreams!$A:$N,DW75,AR$7)="","",INDEX(E_SourceStreams!$A:$N,DW75,AR$7)))</f>
        <v/>
      </c>
      <c r="AS75" s="703" t="str">
        <f>IF($E75="","",IF(INDEX(E_SourceStreams!$A:$N,DX75,AS$7)="","",INDEX(E_SourceStreams!$A:$N,DX75,AS$7)))</f>
        <v/>
      </c>
      <c r="AT75" s="703" t="str">
        <f>IF($E75="","",IF(INDEX(E_SourceStreams!$A:$N,DY75,AT$7)="","",INDEX(E_SourceStreams!$A:$N,DY75,AT$7)))</f>
        <v/>
      </c>
      <c r="AU75" s="703" t="str">
        <f>IF($E75="","",IF(INDEX(E_SourceStreams!$A:$N,DZ75,AU$7)="","",INDEX(E_SourceStreams!$A:$N,DZ75,AU$7)))</f>
        <v/>
      </c>
      <c r="AV75" s="703" t="str">
        <f>IF($E75="","",IF(INDEX(E_SourceStreams!$A:$N,EA75,AV$7)="","",INDEX(E_SourceStreams!$A:$N,EA75,AV$7)))</f>
        <v/>
      </c>
      <c r="AW75" s="703" t="str">
        <f>IF($E75="","",IF(INDEX(E_SourceStreams!$A:$N,EB75,AW$7)="","",INDEX(E_SourceStreams!$A:$N,EB75,AW$7)))</f>
        <v/>
      </c>
      <c r="AX75" s="703" t="str">
        <f>IF($E75="","",IF(INDEX(E_SourceStreams!$A:$N,EC75,AX$7)="","",INDEX(E_SourceStreams!$A:$N,EC75,AX$7)))</f>
        <v/>
      </c>
      <c r="AY75" s="703" t="str">
        <f>IF($E75="","",IF(INDEX(E_SourceStreams!$A:$N,ED75,AY$7)="","",INDEX(E_SourceStreams!$A:$N,ED75,AY$7)))</f>
        <v/>
      </c>
      <c r="AZ75" s="703" t="str">
        <f>IF($E75="","",IF(INDEX(E_SourceStreams!$A:$N,EE75,AZ$7)="","",INDEX(E_SourceStreams!$A:$N,EE75,AZ$7)))</f>
        <v/>
      </c>
      <c r="BA75" s="703" t="str">
        <f>IF($E75="","",IF(INDEX(E_SourceStreams!$A:$N,EF75,BA$7)="","",INDEX(E_SourceStreams!$A:$N,EF75,BA$7)))</f>
        <v/>
      </c>
      <c r="BB75" s="703" t="str">
        <f>IF($E75="","",IF(INDEX(E_SourceStreams!$A:$N,EG75,BB$7)="","",INDEX(E_SourceStreams!$A:$N,EG75,BB$7)))</f>
        <v/>
      </c>
      <c r="BC75" s="703" t="str">
        <f>IF($E75="","",IF(INDEX(E_SourceStreams!$A:$N,EH75,BC$7)="","",INDEX(E_SourceStreams!$A:$N,EH75,BC$7)))</f>
        <v/>
      </c>
      <c r="BD75" s="703" t="str">
        <f>IF($E75="","",IF(INDEX(E_SourceStreams!$A:$N,EI75,BD$7)="","",INDEX(E_SourceStreams!$A:$N,EI75,BD$7)))</f>
        <v/>
      </c>
      <c r="BE75" s="703" t="str">
        <f>IF($E75="","",IF(INDEX(E_SourceStreams!$A:$N,EJ75,BE$7)="","",INDEX(E_SourceStreams!$A:$N,EJ75,BE$7)))</f>
        <v/>
      </c>
      <c r="BF75" s="703" t="str">
        <f>IF($E75="","",IF(INDEX(E_SourceStreams!$A:$N,EK75,BF$7)="","",INDEX(E_SourceStreams!$A:$N,EK75,BF$7)))</f>
        <v/>
      </c>
      <c r="BG75" s="703" t="str">
        <f>IF($E75="","",IF(INDEX(E_SourceStreams!$A:$N,EL75,BG$7)="","",INDEX(E_SourceStreams!$A:$N,EL75,BG$7)))</f>
        <v/>
      </c>
      <c r="BH75" s="703" t="str">
        <f>IF($E75="","",IF(INDEX(E_SourceStreams!$A:$N,EM75,BH$7)="","",INDEX(E_SourceStreams!$A:$N,EM75,BH$7)))</f>
        <v/>
      </c>
      <c r="BI75" s="703" t="str">
        <f>IF($E75="","",IF(INDEX(E_SourceStreams!$A:$N,EN75,BI$7)="","",INDEX(E_SourceStreams!$A:$N,EN75,BI$7)))</f>
        <v/>
      </c>
      <c r="BJ75" s="703" t="str">
        <f>IF($E75="","",IF(INDEX(E_SourceStreams!$A:$N,EO75,BJ$7)="","",INDEX(E_SourceStreams!$A:$N,EO75,BJ$7)))</f>
        <v/>
      </c>
      <c r="BK75" s="703" t="str">
        <f>IF($E75="","",IF(INDEX(E_SourceStreams!$A:$N,EP75,BK$7)="","",INDEX(E_SourceStreams!$A:$N,EP75,BK$7)))</f>
        <v/>
      </c>
      <c r="BL75" s="703" t="str">
        <f>IF($E75="","",IF(INDEX(E_SourceStreams!$A:$N,EQ75,BL$7)="","",INDEX(E_SourceStreams!$A:$N,EQ75,BL$7)))</f>
        <v/>
      </c>
      <c r="BM75" s="703" t="str">
        <f>IF($E75="","",IF(INDEX(E_SourceStreams!$A:$N,ER75,BM$7)="","",INDEX(E_SourceStreams!$A:$N,ER75,BM$7)))</f>
        <v/>
      </c>
      <c r="BN75" s="703" t="str">
        <f>IF($E75="","",IF(INDEX(E_SourceStreams!$A:$N,ES75,BN$7)="","",INDEX(E_SourceStreams!$A:$N,ES75,BN$7)))</f>
        <v/>
      </c>
      <c r="BO75" s="703" t="str">
        <f>IF($E75="","",IF(INDEX(E_SourceStreams!$A:$N,ET75,BO$7)="","",INDEX(E_SourceStreams!$A:$N,ET75,BO$7)))</f>
        <v/>
      </c>
      <c r="BP75" s="703" t="str">
        <f>IF($E75="","",IF(INDEX(E_SourceStreams!$A:$N,EU75,BP$7)="","",INDEX(E_SourceStreams!$A:$N,EU75,BP$7)))</f>
        <v/>
      </c>
      <c r="BQ75" s="703" t="str">
        <f>IF($E75="","",IF(INDEX(E_SourceStreams!$A:$N,EV75,BQ$7)="","",INDEX(E_SourceStreams!$A:$N,EV75,BQ$7)))</f>
        <v/>
      </c>
      <c r="BR75" s="703" t="str">
        <f>IF($E75="","",IF(INDEX(E_SourceStreams!$A:$N,EW75,BR$7)="","",INDEX(E_SourceStreams!$A:$N,EW75,BR$7)))</f>
        <v/>
      </c>
      <c r="BS75" s="703" t="str">
        <f>IF($E75="","",IF(INDEX(E_SourceStreams!$A:$N,EX75,BS$7)="","",INDEX(E_SourceStreams!$A:$N,EX75,BS$7)))</f>
        <v/>
      </c>
      <c r="BT75" s="703" t="str">
        <f>IF($E75="","",IF(INDEX(E_SourceStreams!$A:$N,EY75,BT$7)="","",INDEX(E_SourceStreams!$A:$N,EY75,BT$7)))</f>
        <v/>
      </c>
      <c r="BU75" s="625"/>
      <c r="CJ75" s="679" t="str">
        <f t="shared" ref="CJ75:CJ85" si="68">EUconst_CNTR_SourceCategory&amp;B75</f>
        <v>SourceCategory_</v>
      </c>
      <c r="CK75" s="679" t="b">
        <f>INDEX(C_InstallationDescription!$A$226:$A$332,ROWS($CI$11:CI75))="ausblenden"</f>
        <v>1</v>
      </c>
      <c r="CL75" s="679" t="str">
        <f t="shared" ref="CL75:CL85" si="69">EUconst_CNTR_SourceStreamName&amp;B75</f>
        <v>SourceStreamName_</v>
      </c>
      <c r="CN75" s="679">
        <f t="shared" si="65"/>
        <v>4359</v>
      </c>
      <c r="CO75" s="679">
        <f t="shared" si="2"/>
        <v>4361</v>
      </c>
      <c r="CP75" s="679">
        <f t="shared" si="3"/>
        <v>4363</v>
      </c>
      <c r="CQ75" s="679">
        <f t="shared" si="4"/>
        <v>4365</v>
      </c>
      <c r="CR75" s="679">
        <f t="shared" si="5"/>
        <v>4367</v>
      </c>
      <c r="CS75" s="679">
        <f t="shared" si="6"/>
        <v>4369</v>
      </c>
      <c r="CT75" s="679">
        <f t="shared" si="7"/>
        <v>4371</v>
      </c>
      <c r="CU75" s="679">
        <f t="shared" si="8"/>
        <v>4371</v>
      </c>
      <c r="CV75" s="679">
        <f t="shared" si="9"/>
        <v>4371</v>
      </c>
      <c r="CW75" s="679">
        <f t="shared" si="10"/>
        <v>4371</v>
      </c>
      <c r="CX75" s="679">
        <f t="shared" si="11"/>
        <v>4371</v>
      </c>
      <c r="CY75" s="679">
        <f t="shared" si="12"/>
        <v>4374</v>
      </c>
      <c r="CZ75" s="679">
        <f t="shared" si="13"/>
        <v>4378</v>
      </c>
      <c r="DA75" s="679">
        <f t="shared" si="14"/>
        <v>4379</v>
      </c>
      <c r="DB75" s="679">
        <f t="shared" si="15"/>
        <v>4380</v>
      </c>
      <c r="DC75" s="679">
        <f t="shared" si="16"/>
        <v>4387</v>
      </c>
      <c r="DD75" s="679">
        <f t="shared" si="17"/>
        <v>4397</v>
      </c>
      <c r="DE75" s="679">
        <f t="shared" si="18"/>
        <v>4397</v>
      </c>
      <c r="DF75" s="679">
        <f t="shared" si="19"/>
        <v>4397</v>
      </c>
      <c r="DG75" s="679">
        <f t="shared" si="20"/>
        <v>4397</v>
      </c>
      <c r="DH75" s="679">
        <f t="shared" si="21"/>
        <v>4397</v>
      </c>
      <c r="DI75" s="679">
        <f t="shared" si="22"/>
        <v>4397</v>
      </c>
      <c r="DJ75" s="679">
        <f t="shared" si="23"/>
        <v>4397</v>
      </c>
      <c r="DK75" s="679">
        <f t="shared" si="24"/>
        <v>4388</v>
      </c>
      <c r="DL75" s="679">
        <f t="shared" si="25"/>
        <v>4398</v>
      </c>
      <c r="DM75" s="679">
        <f t="shared" si="26"/>
        <v>4398</v>
      </c>
      <c r="DN75" s="679">
        <f t="shared" si="27"/>
        <v>4398</v>
      </c>
      <c r="DO75" s="679">
        <f t="shared" si="28"/>
        <v>4398</v>
      </c>
      <c r="DP75" s="679">
        <f t="shared" si="29"/>
        <v>4398</v>
      </c>
      <c r="DQ75" s="679">
        <f t="shared" si="30"/>
        <v>4398</v>
      </c>
      <c r="DR75" s="679">
        <f t="shared" si="31"/>
        <v>4398</v>
      </c>
      <c r="DS75" s="679">
        <f t="shared" si="32"/>
        <v>4389</v>
      </c>
      <c r="DT75" s="679">
        <f t="shared" si="33"/>
        <v>4399</v>
      </c>
      <c r="DU75" s="679">
        <f t="shared" si="34"/>
        <v>4399</v>
      </c>
      <c r="DV75" s="679">
        <f t="shared" si="35"/>
        <v>4399</v>
      </c>
      <c r="DW75" s="679">
        <f t="shared" si="36"/>
        <v>4399</v>
      </c>
      <c r="DX75" s="679">
        <f t="shared" si="37"/>
        <v>4399</v>
      </c>
      <c r="DY75" s="679">
        <f t="shared" si="38"/>
        <v>4399</v>
      </c>
      <c r="DZ75" s="679">
        <f t="shared" si="39"/>
        <v>4399</v>
      </c>
      <c r="EA75" s="679">
        <f t="shared" si="40"/>
        <v>4390</v>
      </c>
      <c r="EB75" s="679">
        <f t="shared" si="41"/>
        <v>4400</v>
      </c>
      <c r="EC75" s="679">
        <f t="shared" si="42"/>
        <v>4400</v>
      </c>
      <c r="ED75" s="679">
        <f t="shared" si="43"/>
        <v>4400</v>
      </c>
      <c r="EE75" s="679">
        <f t="shared" si="44"/>
        <v>4400</v>
      </c>
      <c r="EF75" s="679">
        <f t="shared" si="45"/>
        <v>4400</v>
      </c>
      <c r="EG75" s="679">
        <f t="shared" si="46"/>
        <v>4400</v>
      </c>
      <c r="EH75" s="679">
        <f t="shared" si="47"/>
        <v>4400</v>
      </c>
      <c r="EI75" s="679">
        <f t="shared" si="48"/>
        <v>4391</v>
      </c>
      <c r="EJ75" s="679">
        <f t="shared" si="49"/>
        <v>4401</v>
      </c>
      <c r="EK75" s="679">
        <f t="shared" si="50"/>
        <v>4401</v>
      </c>
      <c r="EL75" s="679">
        <f t="shared" si="51"/>
        <v>4401</v>
      </c>
      <c r="EM75" s="679">
        <f t="shared" si="52"/>
        <v>4401</v>
      </c>
      <c r="EN75" s="679">
        <f t="shared" si="53"/>
        <v>4401</v>
      </c>
      <c r="EO75" s="679">
        <f t="shared" si="54"/>
        <v>4401</v>
      </c>
      <c r="EP75" s="679">
        <f t="shared" si="55"/>
        <v>4401</v>
      </c>
      <c r="EQ75" s="679">
        <f t="shared" si="56"/>
        <v>4392</v>
      </c>
      <c r="ER75" s="679">
        <f t="shared" si="57"/>
        <v>4402</v>
      </c>
      <c r="ES75" s="679">
        <f t="shared" si="58"/>
        <v>4402</v>
      </c>
      <c r="ET75" s="679">
        <f t="shared" si="59"/>
        <v>4402</v>
      </c>
      <c r="EU75" s="679">
        <f t="shared" si="60"/>
        <v>4402</v>
      </c>
      <c r="EV75" s="679">
        <f t="shared" si="61"/>
        <v>4402</v>
      </c>
      <c r="EW75" s="679">
        <f t="shared" si="62"/>
        <v>4402</v>
      </c>
      <c r="EX75" s="679">
        <f t="shared" si="63"/>
        <v>4402</v>
      </c>
      <c r="EY75" s="679">
        <f t="shared" si="64"/>
        <v>4408</v>
      </c>
    </row>
    <row r="76" spans="2:155" ht="12.75" customHeight="1" x14ac:dyDescent="0.2">
      <c r="B76" s="700" t="str">
        <f>IF(COUNTIF($CK$10:CK76,TRUE)&gt;0,"",INDEX(C_InstallationDescription!$E$226:$E$242,ROWS($A$11:A76)))</f>
        <v/>
      </c>
      <c r="C76" s="581" t="str">
        <f>IF($E76="","",INDEX(C_InstallationDescription!F:F,MATCH($B76,C_InstallationDescription!$E:$E,0)))</f>
        <v/>
      </c>
      <c r="D76" s="581" t="str">
        <f>IF($E76="","",INDEX(C_InstallationDescription!I:I,MATCH($B76,C_InstallationDescription!$E:$E,0)))</f>
        <v/>
      </c>
      <c r="E76" s="581" t="str">
        <f>IF($B76="","",INDEX(C_InstallationDescription!F:F,MATCH($CJ76,C_InstallationDescription!$Q:$Q,0)))</f>
        <v/>
      </c>
      <c r="F76" s="706" t="str">
        <f>IF($E76="","",INDEX(C_InstallationDescription!L:L,MATCH($CJ76,C_InstallationDescription!$Q:$Q,0)))</f>
        <v/>
      </c>
      <c r="G76" s="581" t="str">
        <f>IF($E76="","",INDEX(C_InstallationDescription!M:M,MATCH($CJ76,C_InstallationDescription!$Q:$Q,0)))</f>
        <v/>
      </c>
      <c r="H76" s="581" t="str">
        <f>IF($E76="","",INDEX(C_InstallationDescription!N:N,MATCH($CJ76,C_InstallationDescription!$Q:$Q,0)))</f>
        <v/>
      </c>
      <c r="I76" s="703" t="str">
        <f>IF($E76="","",IF(INDEX(E_SourceStreams!$A:$N,CN76,I$7)="","",INDEX(E_SourceStreams!$A:$N,CN76,I$7)))</f>
        <v/>
      </c>
      <c r="J76" s="703" t="str">
        <f>IF($E76="","",IF(INDEX(E_SourceStreams!$A:$N,CO76,J$7)="","",INDEX(E_SourceStreams!$A:$N,CO76,J$7)))</f>
        <v/>
      </c>
      <c r="K76" s="703" t="str">
        <f>IF($E76="","",IF(INDEX(E_SourceStreams!$A:$N,CP76,K$7)="","",INDEX(E_SourceStreams!$A:$N,CP76,K$7)))</f>
        <v/>
      </c>
      <c r="L76" s="703" t="str">
        <f>IF($E76="","",IF(INDEX(E_SourceStreams!$A:$N,CQ76,L$7)="","",INDEX(E_SourceStreams!$A:$N,CQ76,L$7)))</f>
        <v/>
      </c>
      <c r="M76" s="703" t="str">
        <f>IF($E76="","",IF(INDEX(E_SourceStreams!$A:$N,CR76,M$7)="","",INDEX(E_SourceStreams!$A:$N,CR76,M$7)))</f>
        <v/>
      </c>
      <c r="N76" s="703" t="str">
        <f>IF($E76="","",IF(INDEX(E_SourceStreams!$A:$N,CS76,N$7)="","",INDEX(E_SourceStreams!$A:$N,CS76,N$7)))</f>
        <v/>
      </c>
      <c r="O76" s="703" t="str">
        <f>IF($E76="","",IF(INDEX(E_SourceStreams!$A:$N,CT76,O$7)="","",INDEX(E_SourceStreams!$A:$N,CT76,O$7)))</f>
        <v/>
      </c>
      <c r="P76" s="703" t="str">
        <f>IF($E76="","",IF(INDEX(E_SourceStreams!$A:$N,CU76,P$7)="","",INDEX(E_SourceStreams!$A:$N,CU76,P$7)))</f>
        <v/>
      </c>
      <c r="Q76" s="703" t="str">
        <f>IF($E76="","",IF(INDEX(E_SourceStreams!$A:$N,CV76,Q$7)="","",INDEX(E_SourceStreams!$A:$N,CV76,Q$7)))</f>
        <v/>
      </c>
      <c r="R76" s="703" t="str">
        <f>IF($E76="","",IF(INDEX(E_SourceStreams!$A:$N,CW76,R$7)="","",INDEX(E_SourceStreams!$A:$N,CW76,R$7)))</f>
        <v/>
      </c>
      <c r="S76" s="703" t="str">
        <f>IF($E76="","",IF(INDEX(E_SourceStreams!$A:$N,CX76,S$7)="","",INDEX(E_SourceStreams!$A:$N,CX76,S$7)))</f>
        <v/>
      </c>
      <c r="T76" s="703" t="str">
        <f>IF($E76="","",IF(INDEX(E_SourceStreams!$A:$N,CY76,T$7)="","",INDEX(E_SourceStreams!$A:$N,CY76,T$7)))</f>
        <v/>
      </c>
      <c r="U76" s="703" t="str">
        <f>IF($E76="","",IF(INDEX(E_SourceStreams!$A:$N,CZ76,U$7)="","",INDEX(E_SourceStreams!$A:$N,CZ76,U$7)))</f>
        <v/>
      </c>
      <c r="V76" s="703" t="str">
        <f>IF($E76="","",IF(INDEX(E_SourceStreams!$A:$N,DA76,V$7)="","",INDEX(E_SourceStreams!$A:$N,DA76,V$7)))</f>
        <v/>
      </c>
      <c r="W76" s="704" t="str">
        <f>IF($E76="","",IF(INDEX(E_SourceStreams!$A:$N,DB76,W$7)="","",INDEX(E_SourceStreams!$A:$N,DB76,W$7)))</f>
        <v/>
      </c>
      <c r="X76" s="703" t="str">
        <f>IF($E76="","",IF(INDEX(E_SourceStreams!$A:$N,DC76,X$7)="","",INDEX(E_SourceStreams!$A:$N,DC76,X$7)))</f>
        <v/>
      </c>
      <c r="Y76" s="703" t="str">
        <f>IF($E76="","",IF(INDEX(E_SourceStreams!$A:$N,DD76,Y$7)="","",INDEX(E_SourceStreams!$A:$N,DD76,Y$7)))</f>
        <v/>
      </c>
      <c r="Z76" s="703" t="str">
        <f>IF($E76="","",IF(INDEX(E_SourceStreams!$A:$N,DE76,Z$7)="","",INDEX(E_SourceStreams!$A:$N,DE76,Z$7)))</f>
        <v/>
      </c>
      <c r="AA76" s="703" t="str">
        <f>IF($E76="","",IF(INDEX(E_SourceStreams!$A:$N,DF76,AA$7)="","",INDEX(E_SourceStreams!$A:$N,DF76,AA$7)))</f>
        <v/>
      </c>
      <c r="AB76" s="703" t="str">
        <f>IF($E76="","",IF(INDEX(E_SourceStreams!$A:$N,DG76,AB$7)="","",INDEX(E_SourceStreams!$A:$N,DG76,AB$7)))</f>
        <v/>
      </c>
      <c r="AC76" s="703" t="str">
        <f>IF($E76="","",IF(INDEX(E_SourceStreams!$A:$N,DH76,AC$7)="","",INDEX(E_SourceStreams!$A:$N,DH76,AC$7)))</f>
        <v/>
      </c>
      <c r="AD76" s="703" t="str">
        <f>IF($E76="","",IF(INDEX(E_SourceStreams!$A:$N,DI76,AD$7)="","",INDEX(E_SourceStreams!$A:$N,DI76,AD$7)))</f>
        <v/>
      </c>
      <c r="AE76" s="703" t="str">
        <f>IF($E76="","",IF(INDEX(E_SourceStreams!$A:$N,DJ76,AE$7)="","",INDEX(E_SourceStreams!$A:$N,DJ76,AE$7)))</f>
        <v/>
      </c>
      <c r="AF76" s="703" t="str">
        <f>IF($E76="","",IF(INDEX(E_SourceStreams!$A:$N,DK76,AF$7)="","",INDEX(E_SourceStreams!$A:$N,DK76,AF$7)))</f>
        <v/>
      </c>
      <c r="AG76" s="703" t="str">
        <f>IF($E76="","",IF(INDEX(E_SourceStreams!$A:$N,DL76,AG$7)="","",INDEX(E_SourceStreams!$A:$N,DL76,AG$7)))</f>
        <v/>
      </c>
      <c r="AH76" s="703" t="str">
        <f>IF($E76="","",IF(INDEX(E_SourceStreams!$A:$N,DM76,AH$7)="","",INDEX(E_SourceStreams!$A:$N,DM76,AH$7)))</f>
        <v/>
      </c>
      <c r="AI76" s="703" t="str">
        <f>IF($E76="","",IF(INDEX(E_SourceStreams!$A:$N,DN76,AI$7)="","",INDEX(E_SourceStreams!$A:$N,DN76,AI$7)))</f>
        <v/>
      </c>
      <c r="AJ76" s="703" t="str">
        <f>IF($E76="","",IF(INDEX(E_SourceStreams!$A:$N,DO76,AJ$7)="","",INDEX(E_SourceStreams!$A:$N,DO76,AJ$7)))</f>
        <v/>
      </c>
      <c r="AK76" s="703" t="str">
        <f>IF($E76="","",IF(INDEX(E_SourceStreams!$A:$N,DP76,AK$7)="","",INDEX(E_SourceStreams!$A:$N,DP76,AK$7)))</f>
        <v/>
      </c>
      <c r="AL76" s="703" t="str">
        <f>IF($E76="","",IF(INDEX(E_SourceStreams!$A:$N,DQ76,AL$7)="","",INDEX(E_SourceStreams!$A:$N,DQ76,AL$7)))</f>
        <v/>
      </c>
      <c r="AM76" s="703" t="str">
        <f>IF($E76="","",IF(INDEX(E_SourceStreams!$A:$N,DR76,AM$7)="","",INDEX(E_SourceStreams!$A:$N,DR76,AM$7)))</f>
        <v/>
      </c>
      <c r="AN76" s="703" t="str">
        <f>IF($E76="","",IF(INDEX(E_SourceStreams!$A:$N,DS76,AN$7)="","",INDEX(E_SourceStreams!$A:$N,DS76,AN$7)))</f>
        <v/>
      </c>
      <c r="AO76" s="703" t="str">
        <f>IF($E76="","",IF(INDEX(E_SourceStreams!$A:$N,DT76,AO$7)="","",INDEX(E_SourceStreams!$A:$N,DT76,AO$7)))</f>
        <v/>
      </c>
      <c r="AP76" s="703" t="str">
        <f>IF($E76="","",IF(INDEX(E_SourceStreams!$A:$N,DU76,AP$7)="","",INDEX(E_SourceStreams!$A:$N,DU76,AP$7)))</f>
        <v/>
      </c>
      <c r="AQ76" s="703" t="str">
        <f>IF($E76="","",IF(INDEX(E_SourceStreams!$A:$N,DV76,AQ$7)="","",INDEX(E_SourceStreams!$A:$N,DV76,AQ$7)))</f>
        <v/>
      </c>
      <c r="AR76" s="703" t="str">
        <f>IF($E76="","",IF(INDEX(E_SourceStreams!$A:$N,DW76,AR$7)="","",INDEX(E_SourceStreams!$A:$N,DW76,AR$7)))</f>
        <v/>
      </c>
      <c r="AS76" s="703" t="str">
        <f>IF($E76="","",IF(INDEX(E_SourceStreams!$A:$N,DX76,AS$7)="","",INDEX(E_SourceStreams!$A:$N,DX76,AS$7)))</f>
        <v/>
      </c>
      <c r="AT76" s="703" t="str">
        <f>IF($E76="","",IF(INDEX(E_SourceStreams!$A:$N,DY76,AT$7)="","",INDEX(E_SourceStreams!$A:$N,DY76,AT$7)))</f>
        <v/>
      </c>
      <c r="AU76" s="703" t="str">
        <f>IF($E76="","",IF(INDEX(E_SourceStreams!$A:$N,DZ76,AU$7)="","",INDEX(E_SourceStreams!$A:$N,DZ76,AU$7)))</f>
        <v/>
      </c>
      <c r="AV76" s="703" t="str">
        <f>IF($E76="","",IF(INDEX(E_SourceStreams!$A:$N,EA76,AV$7)="","",INDEX(E_SourceStreams!$A:$N,EA76,AV$7)))</f>
        <v/>
      </c>
      <c r="AW76" s="703" t="str">
        <f>IF($E76="","",IF(INDEX(E_SourceStreams!$A:$N,EB76,AW$7)="","",INDEX(E_SourceStreams!$A:$N,EB76,AW$7)))</f>
        <v/>
      </c>
      <c r="AX76" s="703" t="str">
        <f>IF($E76="","",IF(INDEX(E_SourceStreams!$A:$N,EC76,AX$7)="","",INDEX(E_SourceStreams!$A:$N,EC76,AX$7)))</f>
        <v/>
      </c>
      <c r="AY76" s="703" t="str">
        <f>IF($E76="","",IF(INDEX(E_SourceStreams!$A:$N,ED76,AY$7)="","",INDEX(E_SourceStreams!$A:$N,ED76,AY$7)))</f>
        <v/>
      </c>
      <c r="AZ76" s="703" t="str">
        <f>IF($E76="","",IF(INDEX(E_SourceStreams!$A:$N,EE76,AZ$7)="","",INDEX(E_SourceStreams!$A:$N,EE76,AZ$7)))</f>
        <v/>
      </c>
      <c r="BA76" s="703" t="str">
        <f>IF($E76="","",IF(INDEX(E_SourceStreams!$A:$N,EF76,BA$7)="","",INDEX(E_SourceStreams!$A:$N,EF76,BA$7)))</f>
        <v/>
      </c>
      <c r="BB76" s="703" t="str">
        <f>IF($E76="","",IF(INDEX(E_SourceStreams!$A:$N,EG76,BB$7)="","",INDEX(E_SourceStreams!$A:$N,EG76,BB$7)))</f>
        <v/>
      </c>
      <c r="BC76" s="703" t="str">
        <f>IF($E76="","",IF(INDEX(E_SourceStreams!$A:$N,EH76,BC$7)="","",INDEX(E_SourceStreams!$A:$N,EH76,BC$7)))</f>
        <v/>
      </c>
      <c r="BD76" s="703" t="str">
        <f>IF($E76="","",IF(INDEX(E_SourceStreams!$A:$N,EI76,BD$7)="","",INDEX(E_SourceStreams!$A:$N,EI76,BD$7)))</f>
        <v/>
      </c>
      <c r="BE76" s="703" t="str">
        <f>IF($E76="","",IF(INDEX(E_SourceStreams!$A:$N,EJ76,BE$7)="","",INDEX(E_SourceStreams!$A:$N,EJ76,BE$7)))</f>
        <v/>
      </c>
      <c r="BF76" s="703" t="str">
        <f>IF($E76="","",IF(INDEX(E_SourceStreams!$A:$N,EK76,BF$7)="","",INDEX(E_SourceStreams!$A:$N,EK76,BF$7)))</f>
        <v/>
      </c>
      <c r="BG76" s="703" t="str">
        <f>IF($E76="","",IF(INDEX(E_SourceStreams!$A:$N,EL76,BG$7)="","",INDEX(E_SourceStreams!$A:$N,EL76,BG$7)))</f>
        <v/>
      </c>
      <c r="BH76" s="703" t="str">
        <f>IF($E76="","",IF(INDEX(E_SourceStreams!$A:$N,EM76,BH$7)="","",INDEX(E_SourceStreams!$A:$N,EM76,BH$7)))</f>
        <v/>
      </c>
      <c r="BI76" s="703" t="str">
        <f>IF($E76="","",IF(INDEX(E_SourceStreams!$A:$N,EN76,BI$7)="","",INDEX(E_SourceStreams!$A:$N,EN76,BI$7)))</f>
        <v/>
      </c>
      <c r="BJ76" s="703" t="str">
        <f>IF($E76="","",IF(INDEX(E_SourceStreams!$A:$N,EO76,BJ$7)="","",INDEX(E_SourceStreams!$A:$N,EO76,BJ$7)))</f>
        <v/>
      </c>
      <c r="BK76" s="703" t="str">
        <f>IF($E76="","",IF(INDEX(E_SourceStreams!$A:$N,EP76,BK$7)="","",INDEX(E_SourceStreams!$A:$N,EP76,BK$7)))</f>
        <v/>
      </c>
      <c r="BL76" s="703" t="str">
        <f>IF($E76="","",IF(INDEX(E_SourceStreams!$A:$N,EQ76,BL$7)="","",INDEX(E_SourceStreams!$A:$N,EQ76,BL$7)))</f>
        <v/>
      </c>
      <c r="BM76" s="703" t="str">
        <f>IF($E76="","",IF(INDEX(E_SourceStreams!$A:$N,ER76,BM$7)="","",INDEX(E_SourceStreams!$A:$N,ER76,BM$7)))</f>
        <v/>
      </c>
      <c r="BN76" s="703" t="str">
        <f>IF($E76="","",IF(INDEX(E_SourceStreams!$A:$N,ES76,BN$7)="","",INDEX(E_SourceStreams!$A:$N,ES76,BN$7)))</f>
        <v/>
      </c>
      <c r="BO76" s="703" t="str">
        <f>IF($E76="","",IF(INDEX(E_SourceStreams!$A:$N,ET76,BO$7)="","",INDEX(E_SourceStreams!$A:$N,ET76,BO$7)))</f>
        <v/>
      </c>
      <c r="BP76" s="703" t="str">
        <f>IF($E76="","",IF(INDEX(E_SourceStreams!$A:$N,EU76,BP$7)="","",INDEX(E_SourceStreams!$A:$N,EU76,BP$7)))</f>
        <v/>
      </c>
      <c r="BQ76" s="703" t="str">
        <f>IF($E76="","",IF(INDEX(E_SourceStreams!$A:$N,EV76,BQ$7)="","",INDEX(E_SourceStreams!$A:$N,EV76,BQ$7)))</f>
        <v/>
      </c>
      <c r="BR76" s="703" t="str">
        <f>IF($E76="","",IF(INDEX(E_SourceStreams!$A:$N,EW76,BR$7)="","",INDEX(E_SourceStreams!$A:$N,EW76,BR$7)))</f>
        <v/>
      </c>
      <c r="BS76" s="703" t="str">
        <f>IF($E76="","",IF(INDEX(E_SourceStreams!$A:$N,EX76,BS$7)="","",INDEX(E_SourceStreams!$A:$N,EX76,BS$7)))</f>
        <v/>
      </c>
      <c r="BT76" s="703" t="str">
        <f>IF($E76="","",IF(INDEX(E_SourceStreams!$A:$N,EY76,BT$7)="","",INDEX(E_SourceStreams!$A:$N,EY76,BT$7)))</f>
        <v/>
      </c>
      <c r="BU76" s="625"/>
      <c r="CJ76" s="679" t="str">
        <f t="shared" si="68"/>
        <v>SourceCategory_</v>
      </c>
      <c r="CK76" s="679" t="b">
        <f>INDEX(C_InstallationDescription!$A$226:$A$332,ROWS($CI$11:CI76))="ausblenden"</f>
        <v>1</v>
      </c>
      <c r="CL76" s="679" t="str">
        <f t="shared" si="69"/>
        <v>SourceStreamName_</v>
      </c>
      <c r="CN76" s="679">
        <f t="shared" si="65"/>
        <v>4425</v>
      </c>
      <c r="CO76" s="679">
        <f t="shared" si="2"/>
        <v>4427</v>
      </c>
      <c r="CP76" s="679">
        <f t="shared" si="3"/>
        <v>4429</v>
      </c>
      <c r="CQ76" s="679">
        <f t="shared" si="4"/>
        <v>4431</v>
      </c>
      <c r="CR76" s="679">
        <f t="shared" si="5"/>
        <v>4433</v>
      </c>
      <c r="CS76" s="679">
        <f t="shared" si="6"/>
        <v>4435</v>
      </c>
      <c r="CT76" s="679">
        <f t="shared" si="7"/>
        <v>4437</v>
      </c>
      <c r="CU76" s="679">
        <f t="shared" si="8"/>
        <v>4437</v>
      </c>
      <c r="CV76" s="679">
        <f t="shared" si="9"/>
        <v>4437</v>
      </c>
      <c r="CW76" s="679">
        <f t="shared" si="10"/>
        <v>4437</v>
      </c>
      <c r="CX76" s="679">
        <f t="shared" si="11"/>
        <v>4437</v>
      </c>
      <c r="CY76" s="679">
        <f t="shared" si="12"/>
        <v>4440</v>
      </c>
      <c r="CZ76" s="679">
        <f t="shared" si="13"/>
        <v>4444</v>
      </c>
      <c r="DA76" s="679">
        <f t="shared" si="14"/>
        <v>4445</v>
      </c>
      <c r="DB76" s="679">
        <f t="shared" si="15"/>
        <v>4446</v>
      </c>
      <c r="DC76" s="679">
        <f t="shared" si="16"/>
        <v>4453</v>
      </c>
      <c r="DD76" s="679">
        <f t="shared" si="17"/>
        <v>4463</v>
      </c>
      <c r="DE76" s="679">
        <f t="shared" si="18"/>
        <v>4463</v>
      </c>
      <c r="DF76" s="679">
        <f t="shared" si="19"/>
        <v>4463</v>
      </c>
      <c r="DG76" s="679">
        <f t="shared" si="20"/>
        <v>4463</v>
      </c>
      <c r="DH76" s="679">
        <f t="shared" si="21"/>
        <v>4463</v>
      </c>
      <c r="DI76" s="679">
        <f t="shared" si="22"/>
        <v>4463</v>
      </c>
      <c r="DJ76" s="679">
        <f t="shared" si="23"/>
        <v>4463</v>
      </c>
      <c r="DK76" s="679">
        <f t="shared" si="24"/>
        <v>4454</v>
      </c>
      <c r="DL76" s="679">
        <f t="shared" si="25"/>
        <v>4464</v>
      </c>
      <c r="DM76" s="679">
        <f t="shared" si="26"/>
        <v>4464</v>
      </c>
      <c r="DN76" s="679">
        <f t="shared" si="27"/>
        <v>4464</v>
      </c>
      <c r="DO76" s="679">
        <f t="shared" si="28"/>
        <v>4464</v>
      </c>
      <c r="DP76" s="679">
        <f t="shared" si="29"/>
        <v>4464</v>
      </c>
      <c r="DQ76" s="679">
        <f t="shared" si="30"/>
        <v>4464</v>
      </c>
      <c r="DR76" s="679">
        <f t="shared" si="31"/>
        <v>4464</v>
      </c>
      <c r="DS76" s="679">
        <f t="shared" si="32"/>
        <v>4455</v>
      </c>
      <c r="DT76" s="679">
        <f t="shared" si="33"/>
        <v>4465</v>
      </c>
      <c r="DU76" s="679">
        <f t="shared" si="34"/>
        <v>4465</v>
      </c>
      <c r="DV76" s="679">
        <f t="shared" si="35"/>
        <v>4465</v>
      </c>
      <c r="DW76" s="679">
        <f t="shared" si="36"/>
        <v>4465</v>
      </c>
      <c r="DX76" s="679">
        <f t="shared" si="37"/>
        <v>4465</v>
      </c>
      <c r="DY76" s="679">
        <f t="shared" si="38"/>
        <v>4465</v>
      </c>
      <c r="DZ76" s="679">
        <f t="shared" si="39"/>
        <v>4465</v>
      </c>
      <c r="EA76" s="679">
        <f t="shared" si="40"/>
        <v>4456</v>
      </c>
      <c r="EB76" s="679">
        <f t="shared" si="41"/>
        <v>4466</v>
      </c>
      <c r="EC76" s="679">
        <f t="shared" si="42"/>
        <v>4466</v>
      </c>
      <c r="ED76" s="679">
        <f t="shared" si="43"/>
        <v>4466</v>
      </c>
      <c r="EE76" s="679">
        <f t="shared" si="44"/>
        <v>4466</v>
      </c>
      <c r="EF76" s="679">
        <f t="shared" si="45"/>
        <v>4466</v>
      </c>
      <c r="EG76" s="679">
        <f t="shared" si="46"/>
        <v>4466</v>
      </c>
      <c r="EH76" s="679">
        <f t="shared" si="47"/>
        <v>4466</v>
      </c>
      <c r="EI76" s="679">
        <f t="shared" si="48"/>
        <v>4457</v>
      </c>
      <c r="EJ76" s="679">
        <f t="shared" si="49"/>
        <v>4467</v>
      </c>
      <c r="EK76" s="679">
        <f t="shared" si="50"/>
        <v>4467</v>
      </c>
      <c r="EL76" s="679">
        <f t="shared" si="51"/>
        <v>4467</v>
      </c>
      <c r="EM76" s="679">
        <f t="shared" si="52"/>
        <v>4467</v>
      </c>
      <c r="EN76" s="679">
        <f t="shared" si="53"/>
        <v>4467</v>
      </c>
      <c r="EO76" s="679">
        <f t="shared" si="54"/>
        <v>4467</v>
      </c>
      <c r="EP76" s="679">
        <f t="shared" si="55"/>
        <v>4467</v>
      </c>
      <c r="EQ76" s="679">
        <f t="shared" si="56"/>
        <v>4458</v>
      </c>
      <c r="ER76" s="679">
        <f t="shared" si="57"/>
        <v>4468</v>
      </c>
      <c r="ES76" s="679">
        <f t="shared" si="58"/>
        <v>4468</v>
      </c>
      <c r="ET76" s="679">
        <f t="shared" si="59"/>
        <v>4468</v>
      </c>
      <c r="EU76" s="679">
        <f t="shared" si="60"/>
        <v>4468</v>
      </c>
      <c r="EV76" s="679">
        <f t="shared" si="61"/>
        <v>4468</v>
      </c>
      <c r="EW76" s="679">
        <f t="shared" si="62"/>
        <v>4468</v>
      </c>
      <c r="EX76" s="679">
        <f t="shared" si="63"/>
        <v>4468</v>
      </c>
      <c r="EY76" s="679">
        <f t="shared" si="64"/>
        <v>4474</v>
      </c>
    </row>
    <row r="77" spans="2:155" ht="12.75" customHeight="1" x14ac:dyDescent="0.2">
      <c r="B77" s="700" t="str">
        <f>IF(COUNTIF($CK$10:CK77,TRUE)&gt;0,"",INDEX(C_InstallationDescription!$E$226:$E$242,ROWS($A$11:A77)))</f>
        <v/>
      </c>
      <c r="C77" s="581" t="str">
        <f>IF($E77="","",INDEX(C_InstallationDescription!F:F,MATCH($B77,C_InstallationDescription!$E:$E,0)))</f>
        <v/>
      </c>
      <c r="D77" s="581" t="str">
        <f>IF($E77="","",INDEX(C_InstallationDescription!I:I,MATCH($B77,C_InstallationDescription!$E:$E,0)))</f>
        <v/>
      </c>
      <c r="E77" s="581" t="str">
        <f>IF($B77="","",INDEX(C_InstallationDescription!F:F,MATCH($CJ77,C_InstallationDescription!$Q:$Q,0)))</f>
        <v/>
      </c>
      <c r="F77" s="706" t="str">
        <f>IF($E77="","",INDEX(C_InstallationDescription!L:L,MATCH($CJ77,C_InstallationDescription!$Q:$Q,0)))</f>
        <v/>
      </c>
      <c r="G77" s="581" t="str">
        <f>IF($E77="","",INDEX(C_InstallationDescription!M:M,MATCH($CJ77,C_InstallationDescription!$Q:$Q,0)))</f>
        <v/>
      </c>
      <c r="H77" s="581" t="str">
        <f>IF($E77="","",INDEX(C_InstallationDescription!N:N,MATCH($CJ77,C_InstallationDescription!$Q:$Q,0)))</f>
        <v/>
      </c>
      <c r="I77" s="703" t="str">
        <f>IF($E77="","",IF(INDEX(E_SourceStreams!$A:$N,CN77,I$7)="","",INDEX(E_SourceStreams!$A:$N,CN77,I$7)))</f>
        <v/>
      </c>
      <c r="J77" s="703" t="str">
        <f>IF($E77="","",IF(INDEX(E_SourceStreams!$A:$N,CO77,J$7)="","",INDEX(E_SourceStreams!$A:$N,CO77,J$7)))</f>
        <v/>
      </c>
      <c r="K77" s="703" t="str">
        <f>IF($E77="","",IF(INDEX(E_SourceStreams!$A:$N,CP77,K$7)="","",INDEX(E_SourceStreams!$A:$N,CP77,K$7)))</f>
        <v/>
      </c>
      <c r="L77" s="703" t="str">
        <f>IF($E77="","",IF(INDEX(E_SourceStreams!$A:$N,CQ77,L$7)="","",INDEX(E_SourceStreams!$A:$N,CQ77,L$7)))</f>
        <v/>
      </c>
      <c r="M77" s="703" t="str">
        <f>IF($E77="","",IF(INDEX(E_SourceStreams!$A:$N,CR77,M$7)="","",INDEX(E_SourceStreams!$A:$N,CR77,M$7)))</f>
        <v/>
      </c>
      <c r="N77" s="703" t="str">
        <f>IF($E77="","",IF(INDEX(E_SourceStreams!$A:$N,CS77,N$7)="","",INDEX(E_SourceStreams!$A:$N,CS77,N$7)))</f>
        <v/>
      </c>
      <c r="O77" s="703" t="str">
        <f>IF($E77="","",IF(INDEX(E_SourceStreams!$A:$N,CT77,O$7)="","",INDEX(E_SourceStreams!$A:$N,CT77,O$7)))</f>
        <v/>
      </c>
      <c r="P77" s="703" t="str">
        <f>IF($E77="","",IF(INDEX(E_SourceStreams!$A:$N,CU77,P$7)="","",INDEX(E_SourceStreams!$A:$N,CU77,P$7)))</f>
        <v/>
      </c>
      <c r="Q77" s="703" t="str">
        <f>IF($E77="","",IF(INDEX(E_SourceStreams!$A:$N,CV77,Q$7)="","",INDEX(E_SourceStreams!$A:$N,CV77,Q$7)))</f>
        <v/>
      </c>
      <c r="R77" s="703" t="str">
        <f>IF($E77="","",IF(INDEX(E_SourceStreams!$A:$N,CW77,R$7)="","",INDEX(E_SourceStreams!$A:$N,CW77,R$7)))</f>
        <v/>
      </c>
      <c r="S77" s="703" t="str">
        <f>IF($E77="","",IF(INDEX(E_SourceStreams!$A:$N,CX77,S$7)="","",INDEX(E_SourceStreams!$A:$N,CX77,S$7)))</f>
        <v/>
      </c>
      <c r="T77" s="703" t="str">
        <f>IF($E77="","",IF(INDEX(E_SourceStreams!$A:$N,CY77,T$7)="","",INDEX(E_SourceStreams!$A:$N,CY77,T$7)))</f>
        <v/>
      </c>
      <c r="U77" s="703" t="str">
        <f>IF($E77="","",IF(INDEX(E_SourceStreams!$A:$N,CZ77,U$7)="","",INDEX(E_SourceStreams!$A:$N,CZ77,U$7)))</f>
        <v/>
      </c>
      <c r="V77" s="703" t="str">
        <f>IF($E77="","",IF(INDEX(E_SourceStreams!$A:$N,DA77,V$7)="","",INDEX(E_SourceStreams!$A:$N,DA77,V$7)))</f>
        <v/>
      </c>
      <c r="W77" s="704" t="str">
        <f>IF($E77="","",IF(INDEX(E_SourceStreams!$A:$N,DB77,W$7)="","",INDEX(E_SourceStreams!$A:$N,DB77,W$7)))</f>
        <v/>
      </c>
      <c r="X77" s="703" t="str">
        <f>IF($E77="","",IF(INDEX(E_SourceStreams!$A:$N,DC77,X$7)="","",INDEX(E_SourceStreams!$A:$N,DC77,X$7)))</f>
        <v/>
      </c>
      <c r="Y77" s="703" t="str">
        <f>IF($E77="","",IF(INDEX(E_SourceStreams!$A:$N,DD77,Y$7)="","",INDEX(E_SourceStreams!$A:$N,DD77,Y$7)))</f>
        <v/>
      </c>
      <c r="Z77" s="703" t="str">
        <f>IF($E77="","",IF(INDEX(E_SourceStreams!$A:$N,DE77,Z$7)="","",INDEX(E_SourceStreams!$A:$N,DE77,Z$7)))</f>
        <v/>
      </c>
      <c r="AA77" s="703" t="str">
        <f>IF($E77="","",IF(INDEX(E_SourceStreams!$A:$N,DF77,AA$7)="","",INDEX(E_SourceStreams!$A:$N,DF77,AA$7)))</f>
        <v/>
      </c>
      <c r="AB77" s="703" t="str">
        <f>IF($E77="","",IF(INDEX(E_SourceStreams!$A:$N,DG77,AB$7)="","",INDEX(E_SourceStreams!$A:$N,DG77,AB$7)))</f>
        <v/>
      </c>
      <c r="AC77" s="703" t="str">
        <f>IF($E77="","",IF(INDEX(E_SourceStreams!$A:$N,DH77,AC$7)="","",INDEX(E_SourceStreams!$A:$N,DH77,AC$7)))</f>
        <v/>
      </c>
      <c r="AD77" s="703" t="str">
        <f>IF($E77="","",IF(INDEX(E_SourceStreams!$A:$N,DI77,AD$7)="","",INDEX(E_SourceStreams!$A:$N,DI77,AD$7)))</f>
        <v/>
      </c>
      <c r="AE77" s="703" t="str">
        <f>IF($E77="","",IF(INDEX(E_SourceStreams!$A:$N,DJ77,AE$7)="","",INDEX(E_SourceStreams!$A:$N,DJ77,AE$7)))</f>
        <v/>
      </c>
      <c r="AF77" s="703" t="str">
        <f>IF($E77="","",IF(INDEX(E_SourceStreams!$A:$N,DK77,AF$7)="","",INDEX(E_SourceStreams!$A:$N,DK77,AF$7)))</f>
        <v/>
      </c>
      <c r="AG77" s="703" t="str">
        <f>IF($E77="","",IF(INDEX(E_SourceStreams!$A:$N,DL77,AG$7)="","",INDEX(E_SourceStreams!$A:$N,DL77,AG$7)))</f>
        <v/>
      </c>
      <c r="AH77" s="703" t="str">
        <f>IF($E77="","",IF(INDEX(E_SourceStreams!$A:$N,DM77,AH$7)="","",INDEX(E_SourceStreams!$A:$N,DM77,AH$7)))</f>
        <v/>
      </c>
      <c r="AI77" s="703" t="str">
        <f>IF($E77="","",IF(INDEX(E_SourceStreams!$A:$N,DN77,AI$7)="","",INDEX(E_SourceStreams!$A:$N,DN77,AI$7)))</f>
        <v/>
      </c>
      <c r="AJ77" s="703" t="str">
        <f>IF($E77="","",IF(INDEX(E_SourceStreams!$A:$N,DO77,AJ$7)="","",INDEX(E_SourceStreams!$A:$N,DO77,AJ$7)))</f>
        <v/>
      </c>
      <c r="AK77" s="703" t="str">
        <f>IF($E77="","",IF(INDEX(E_SourceStreams!$A:$N,DP77,AK$7)="","",INDEX(E_SourceStreams!$A:$N,DP77,AK$7)))</f>
        <v/>
      </c>
      <c r="AL77" s="703" t="str">
        <f>IF($E77="","",IF(INDEX(E_SourceStreams!$A:$N,DQ77,AL$7)="","",INDEX(E_SourceStreams!$A:$N,DQ77,AL$7)))</f>
        <v/>
      </c>
      <c r="AM77" s="703" t="str">
        <f>IF($E77="","",IF(INDEX(E_SourceStreams!$A:$N,DR77,AM$7)="","",INDEX(E_SourceStreams!$A:$N,DR77,AM$7)))</f>
        <v/>
      </c>
      <c r="AN77" s="703" t="str">
        <f>IF($E77="","",IF(INDEX(E_SourceStreams!$A:$N,DS77,AN$7)="","",INDEX(E_SourceStreams!$A:$N,DS77,AN$7)))</f>
        <v/>
      </c>
      <c r="AO77" s="703" t="str">
        <f>IF($E77="","",IF(INDEX(E_SourceStreams!$A:$N,DT77,AO$7)="","",INDEX(E_SourceStreams!$A:$N,DT77,AO$7)))</f>
        <v/>
      </c>
      <c r="AP77" s="703" t="str">
        <f>IF($E77="","",IF(INDEX(E_SourceStreams!$A:$N,DU77,AP$7)="","",INDEX(E_SourceStreams!$A:$N,DU77,AP$7)))</f>
        <v/>
      </c>
      <c r="AQ77" s="703" t="str">
        <f>IF($E77="","",IF(INDEX(E_SourceStreams!$A:$N,DV77,AQ$7)="","",INDEX(E_SourceStreams!$A:$N,DV77,AQ$7)))</f>
        <v/>
      </c>
      <c r="AR77" s="703" t="str">
        <f>IF($E77="","",IF(INDEX(E_SourceStreams!$A:$N,DW77,AR$7)="","",INDEX(E_SourceStreams!$A:$N,DW77,AR$7)))</f>
        <v/>
      </c>
      <c r="AS77" s="703" t="str">
        <f>IF($E77="","",IF(INDEX(E_SourceStreams!$A:$N,DX77,AS$7)="","",INDEX(E_SourceStreams!$A:$N,DX77,AS$7)))</f>
        <v/>
      </c>
      <c r="AT77" s="703" t="str">
        <f>IF($E77="","",IF(INDEX(E_SourceStreams!$A:$N,DY77,AT$7)="","",INDEX(E_SourceStreams!$A:$N,DY77,AT$7)))</f>
        <v/>
      </c>
      <c r="AU77" s="703" t="str">
        <f>IF($E77="","",IF(INDEX(E_SourceStreams!$A:$N,DZ77,AU$7)="","",INDEX(E_SourceStreams!$A:$N,DZ77,AU$7)))</f>
        <v/>
      </c>
      <c r="AV77" s="703" t="str">
        <f>IF($E77="","",IF(INDEX(E_SourceStreams!$A:$N,EA77,AV$7)="","",INDEX(E_SourceStreams!$A:$N,EA77,AV$7)))</f>
        <v/>
      </c>
      <c r="AW77" s="703" t="str">
        <f>IF($E77="","",IF(INDEX(E_SourceStreams!$A:$N,EB77,AW$7)="","",INDEX(E_SourceStreams!$A:$N,EB77,AW$7)))</f>
        <v/>
      </c>
      <c r="AX77" s="703" t="str">
        <f>IF($E77="","",IF(INDEX(E_SourceStreams!$A:$N,EC77,AX$7)="","",INDEX(E_SourceStreams!$A:$N,EC77,AX$7)))</f>
        <v/>
      </c>
      <c r="AY77" s="703" t="str">
        <f>IF($E77="","",IF(INDEX(E_SourceStreams!$A:$N,ED77,AY$7)="","",INDEX(E_SourceStreams!$A:$N,ED77,AY$7)))</f>
        <v/>
      </c>
      <c r="AZ77" s="703" t="str">
        <f>IF($E77="","",IF(INDEX(E_SourceStreams!$A:$N,EE77,AZ$7)="","",INDEX(E_SourceStreams!$A:$N,EE77,AZ$7)))</f>
        <v/>
      </c>
      <c r="BA77" s="703" t="str">
        <f>IF($E77="","",IF(INDEX(E_SourceStreams!$A:$N,EF77,BA$7)="","",INDEX(E_SourceStreams!$A:$N,EF77,BA$7)))</f>
        <v/>
      </c>
      <c r="BB77" s="703" t="str">
        <f>IF($E77="","",IF(INDEX(E_SourceStreams!$A:$N,EG77,BB$7)="","",INDEX(E_SourceStreams!$A:$N,EG77,BB$7)))</f>
        <v/>
      </c>
      <c r="BC77" s="703" t="str">
        <f>IF($E77="","",IF(INDEX(E_SourceStreams!$A:$N,EH77,BC$7)="","",INDEX(E_SourceStreams!$A:$N,EH77,BC$7)))</f>
        <v/>
      </c>
      <c r="BD77" s="703" t="str">
        <f>IF($E77="","",IF(INDEX(E_SourceStreams!$A:$N,EI77,BD$7)="","",INDEX(E_SourceStreams!$A:$N,EI77,BD$7)))</f>
        <v/>
      </c>
      <c r="BE77" s="703" t="str">
        <f>IF($E77="","",IF(INDEX(E_SourceStreams!$A:$N,EJ77,BE$7)="","",INDEX(E_SourceStreams!$A:$N,EJ77,BE$7)))</f>
        <v/>
      </c>
      <c r="BF77" s="703" t="str">
        <f>IF($E77="","",IF(INDEX(E_SourceStreams!$A:$N,EK77,BF$7)="","",INDEX(E_SourceStreams!$A:$N,EK77,BF$7)))</f>
        <v/>
      </c>
      <c r="BG77" s="703" t="str">
        <f>IF($E77="","",IF(INDEX(E_SourceStreams!$A:$N,EL77,BG$7)="","",INDEX(E_SourceStreams!$A:$N,EL77,BG$7)))</f>
        <v/>
      </c>
      <c r="BH77" s="703" t="str">
        <f>IF($E77="","",IF(INDEX(E_SourceStreams!$A:$N,EM77,BH$7)="","",INDEX(E_SourceStreams!$A:$N,EM77,BH$7)))</f>
        <v/>
      </c>
      <c r="BI77" s="703" t="str">
        <f>IF($E77="","",IF(INDEX(E_SourceStreams!$A:$N,EN77,BI$7)="","",INDEX(E_SourceStreams!$A:$N,EN77,BI$7)))</f>
        <v/>
      </c>
      <c r="BJ77" s="703" t="str">
        <f>IF($E77="","",IF(INDEX(E_SourceStreams!$A:$N,EO77,BJ$7)="","",INDEX(E_SourceStreams!$A:$N,EO77,BJ$7)))</f>
        <v/>
      </c>
      <c r="BK77" s="703" t="str">
        <f>IF($E77="","",IF(INDEX(E_SourceStreams!$A:$N,EP77,BK$7)="","",INDEX(E_SourceStreams!$A:$N,EP77,BK$7)))</f>
        <v/>
      </c>
      <c r="BL77" s="703" t="str">
        <f>IF($E77="","",IF(INDEX(E_SourceStreams!$A:$N,EQ77,BL$7)="","",INDEX(E_SourceStreams!$A:$N,EQ77,BL$7)))</f>
        <v/>
      </c>
      <c r="BM77" s="703" t="str">
        <f>IF($E77="","",IF(INDEX(E_SourceStreams!$A:$N,ER77,BM$7)="","",INDEX(E_SourceStreams!$A:$N,ER77,BM$7)))</f>
        <v/>
      </c>
      <c r="BN77" s="703" t="str">
        <f>IF($E77="","",IF(INDEX(E_SourceStreams!$A:$N,ES77,BN$7)="","",INDEX(E_SourceStreams!$A:$N,ES77,BN$7)))</f>
        <v/>
      </c>
      <c r="BO77" s="703" t="str">
        <f>IF($E77="","",IF(INDEX(E_SourceStreams!$A:$N,ET77,BO$7)="","",INDEX(E_SourceStreams!$A:$N,ET77,BO$7)))</f>
        <v/>
      </c>
      <c r="BP77" s="703" t="str">
        <f>IF($E77="","",IF(INDEX(E_SourceStreams!$A:$N,EU77,BP$7)="","",INDEX(E_SourceStreams!$A:$N,EU77,BP$7)))</f>
        <v/>
      </c>
      <c r="BQ77" s="703" t="str">
        <f>IF($E77="","",IF(INDEX(E_SourceStreams!$A:$N,EV77,BQ$7)="","",INDEX(E_SourceStreams!$A:$N,EV77,BQ$7)))</f>
        <v/>
      </c>
      <c r="BR77" s="703" t="str">
        <f>IF($E77="","",IF(INDEX(E_SourceStreams!$A:$N,EW77,BR$7)="","",INDEX(E_SourceStreams!$A:$N,EW77,BR$7)))</f>
        <v/>
      </c>
      <c r="BS77" s="703" t="str">
        <f>IF($E77="","",IF(INDEX(E_SourceStreams!$A:$N,EX77,BS$7)="","",INDEX(E_SourceStreams!$A:$N,EX77,BS$7)))</f>
        <v/>
      </c>
      <c r="BT77" s="703" t="str">
        <f>IF($E77="","",IF(INDEX(E_SourceStreams!$A:$N,EY77,BT$7)="","",INDEX(E_SourceStreams!$A:$N,EY77,BT$7)))</f>
        <v/>
      </c>
      <c r="BU77" s="625"/>
      <c r="CJ77" s="679" t="str">
        <f t="shared" si="68"/>
        <v>SourceCategory_</v>
      </c>
      <c r="CK77" s="679" t="b">
        <f>INDEX(C_InstallationDescription!$A$226:$A$332,ROWS($CI$11:CI77))="ausblenden"</f>
        <v>1</v>
      </c>
      <c r="CL77" s="679" t="str">
        <f t="shared" si="69"/>
        <v>SourceStreamName_</v>
      </c>
      <c r="CN77" s="679">
        <f t="shared" si="65"/>
        <v>4491</v>
      </c>
      <c r="CO77" s="679">
        <f t="shared" ref="CO77:CO85" si="70">CO76+66</f>
        <v>4493</v>
      </c>
      <c r="CP77" s="679">
        <f t="shared" ref="CP77:CP85" si="71">CP76+66</f>
        <v>4495</v>
      </c>
      <c r="CQ77" s="679">
        <f t="shared" ref="CQ77:CQ85" si="72">CQ76+66</f>
        <v>4497</v>
      </c>
      <c r="CR77" s="679">
        <f t="shared" ref="CR77:CR85" si="73">CR76+66</f>
        <v>4499</v>
      </c>
      <c r="CS77" s="679">
        <f t="shared" ref="CS77:CS85" si="74">CS76+66</f>
        <v>4501</v>
      </c>
      <c r="CT77" s="679">
        <f t="shared" ref="CT77:CT85" si="75">CT76+66</f>
        <v>4503</v>
      </c>
      <c r="CU77" s="679">
        <f t="shared" ref="CU77:CU85" si="76">CU76+66</f>
        <v>4503</v>
      </c>
      <c r="CV77" s="679">
        <f t="shared" ref="CV77:CV85" si="77">CV76+66</f>
        <v>4503</v>
      </c>
      <c r="CW77" s="679">
        <f t="shared" ref="CW77:CW85" si="78">CW76+66</f>
        <v>4503</v>
      </c>
      <c r="CX77" s="679">
        <f t="shared" ref="CX77:CX85" si="79">CX76+66</f>
        <v>4503</v>
      </c>
      <c r="CY77" s="679">
        <f t="shared" ref="CY77:CY85" si="80">CY76+66</f>
        <v>4506</v>
      </c>
      <c r="CZ77" s="679">
        <f t="shared" ref="CZ77:CZ85" si="81">CZ76+66</f>
        <v>4510</v>
      </c>
      <c r="DA77" s="679">
        <f t="shared" ref="DA77:DA85" si="82">DA76+66</f>
        <v>4511</v>
      </c>
      <c r="DB77" s="679">
        <f t="shared" ref="DB77:DB85" si="83">DB76+66</f>
        <v>4512</v>
      </c>
      <c r="DC77" s="679">
        <f t="shared" ref="DC77:DC85" si="84">DC76+66</f>
        <v>4519</v>
      </c>
      <c r="DD77" s="679">
        <f t="shared" ref="DD77:DD85" si="85">DD76+66</f>
        <v>4529</v>
      </c>
      <c r="DE77" s="679">
        <f t="shared" ref="DE77:DE85" si="86">DE76+66</f>
        <v>4529</v>
      </c>
      <c r="DF77" s="679">
        <f t="shared" ref="DF77:DF85" si="87">DF76+66</f>
        <v>4529</v>
      </c>
      <c r="DG77" s="679">
        <f t="shared" ref="DG77:DG85" si="88">DG76+66</f>
        <v>4529</v>
      </c>
      <c r="DH77" s="679">
        <f t="shared" ref="DH77:DH85" si="89">DH76+66</f>
        <v>4529</v>
      </c>
      <c r="DI77" s="679">
        <f t="shared" ref="DI77:DI85" si="90">DI76+66</f>
        <v>4529</v>
      </c>
      <c r="DJ77" s="679">
        <f t="shared" ref="DJ77:DJ85" si="91">DJ76+66</f>
        <v>4529</v>
      </c>
      <c r="DK77" s="679">
        <f t="shared" ref="DK77:DK85" si="92">DK76+66</f>
        <v>4520</v>
      </c>
      <c r="DL77" s="679">
        <f t="shared" ref="DL77:DL85" si="93">DL76+66</f>
        <v>4530</v>
      </c>
      <c r="DM77" s="679">
        <f t="shared" ref="DM77:DM85" si="94">DM76+66</f>
        <v>4530</v>
      </c>
      <c r="DN77" s="679">
        <f t="shared" ref="DN77:DN85" si="95">DN76+66</f>
        <v>4530</v>
      </c>
      <c r="DO77" s="679">
        <f t="shared" ref="DO77:DO85" si="96">DO76+66</f>
        <v>4530</v>
      </c>
      <c r="DP77" s="679">
        <f t="shared" ref="DP77:DP85" si="97">DP76+66</f>
        <v>4530</v>
      </c>
      <c r="DQ77" s="679">
        <f t="shared" ref="DQ77:DQ85" si="98">DQ76+66</f>
        <v>4530</v>
      </c>
      <c r="DR77" s="679">
        <f t="shared" ref="DR77:DR85" si="99">DR76+66</f>
        <v>4530</v>
      </c>
      <c r="DS77" s="679">
        <f t="shared" ref="DS77:DS85" si="100">DS76+66</f>
        <v>4521</v>
      </c>
      <c r="DT77" s="679">
        <f t="shared" ref="DT77:DT85" si="101">DT76+66</f>
        <v>4531</v>
      </c>
      <c r="DU77" s="679">
        <f t="shared" ref="DU77:DU85" si="102">DU76+66</f>
        <v>4531</v>
      </c>
      <c r="DV77" s="679">
        <f t="shared" ref="DV77:DV85" si="103">DV76+66</f>
        <v>4531</v>
      </c>
      <c r="DW77" s="679">
        <f t="shared" ref="DW77:DW85" si="104">DW76+66</f>
        <v>4531</v>
      </c>
      <c r="DX77" s="679">
        <f t="shared" ref="DX77:DX85" si="105">DX76+66</f>
        <v>4531</v>
      </c>
      <c r="DY77" s="679">
        <f t="shared" ref="DY77:DY85" si="106">DY76+66</f>
        <v>4531</v>
      </c>
      <c r="DZ77" s="679">
        <f t="shared" ref="DZ77:DZ85" si="107">DZ76+66</f>
        <v>4531</v>
      </c>
      <c r="EA77" s="679">
        <f t="shared" ref="EA77:EA85" si="108">EA76+66</f>
        <v>4522</v>
      </c>
      <c r="EB77" s="679">
        <f t="shared" ref="EB77:EB85" si="109">EB76+66</f>
        <v>4532</v>
      </c>
      <c r="EC77" s="679">
        <f t="shared" ref="EC77:EC85" si="110">EC76+66</f>
        <v>4532</v>
      </c>
      <c r="ED77" s="679">
        <f t="shared" ref="ED77:ED85" si="111">ED76+66</f>
        <v>4532</v>
      </c>
      <c r="EE77" s="679">
        <f t="shared" ref="EE77:EE85" si="112">EE76+66</f>
        <v>4532</v>
      </c>
      <c r="EF77" s="679">
        <f t="shared" ref="EF77:EF85" si="113">EF76+66</f>
        <v>4532</v>
      </c>
      <c r="EG77" s="679">
        <f t="shared" ref="EG77:EG85" si="114">EG76+66</f>
        <v>4532</v>
      </c>
      <c r="EH77" s="679">
        <f t="shared" ref="EH77:EH85" si="115">EH76+66</f>
        <v>4532</v>
      </c>
      <c r="EI77" s="679">
        <f t="shared" ref="EI77:EI85" si="116">EI76+66</f>
        <v>4523</v>
      </c>
      <c r="EJ77" s="679">
        <f t="shared" ref="EJ77:EJ85" si="117">EJ76+66</f>
        <v>4533</v>
      </c>
      <c r="EK77" s="679">
        <f t="shared" ref="EK77:EK85" si="118">EK76+66</f>
        <v>4533</v>
      </c>
      <c r="EL77" s="679">
        <f t="shared" ref="EL77:EL85" si="119">EL76+66</f>
        <v>4533</v>
      </c>
      <c r="EM77" s="679">
        <f t="shared" ref="EM77:EM85" si="120">EM76+66</f>
        <v>4533</v>
      </c>
      <c r="EN77" s="679">
        <f t="shared" ref="EN77:EN85" si="121">EN76+66</f>
        <v>4533</v>
      </c>
      <c r="EO77" s="679">
        <f t="shared" ref="EO77:EO85" si="122">EO76+66</f>
        <v>4533</v>
      </c>
      <c r="EP77" s="679">
        <f t="shared" ref="EP77:EP85" si="123">EP76+66</f>
        <v>4533</v>
      </c>
      <c r="EQ77" s="679">
        <f t="shared" ref="EQ77:EQ85" si="124">EQ76+66</f>
        <v>4524</v>
      </c>
      <c r="ER77" s="679">
        <f t="shared" ref="ER77:ER85" si="125">ER76+66</f>
        <v>4534</v>
      </c>
      <c r="ES77" s="679">
        <f t="shared" ref="ES77:ES85" si="126">ES76+66</f>
        <v>4534</v>
      </c>
      <c r="ET77" s="679">
        <f t="shared" ref="ET77:ET85" si="127">ET76+66</f>
        <v>4534</v>
      </c>
      <c r="EU77" s="679">
        <f t="shared" ref="EU77:EU85" si="128">EU76+66</f>
        <v>4534</v>
      </c>
      <c r="EV77" s="679">
        <f t="shared" ref="EV77:EV85" si="129">EV76+66</f>
        <v>4534</v>
      </c>
      <c r="EW77" s="679">
        <f t="shared" ref="EW77:EW85" si="130">EW76+66</f>
        <v>4534</v>
      </c>
      <c r="EX77" s="679">
        <f t="shared" ref="EX77:EX85" si="131">EX76+66</f>
        <v>4534</v>
      </c>
      <c r="EY77" s="679">
        <f t="shared" ref="EY77:EY85" si="132">EY76+66</f>
        <v>4540</v>
      </c>
    </row>
    <row r="78" spans="2:155" ht="12.75" customHeight="1" x14ac:dyDescent="0.2">
      <c r="B78" s="700" t="str">
        <f>IF(COUNTIF($CK$10:CK78,TRUE)&gt;0,"",INDEX(C_InstallationDescription!$E$226:$E$242,ROWS($A$11:A78)))</f>
        <v/>
      </c>
      <c r="C78" s="581" t="str">
        <f>IF($E78="","",INDEX(C_InstallationDescription!F:F,MATCH($B78,C_InstallationDescription!$E:$E,0)))</f>
        <v/>
      </c>
      <c r="D78" s="581" t="str">
        <f>IF($E78="","",INDEX(C_InstallationDescription!I:I,MATCH($B78,C_InstallationDescription!$E:$E,0)))</f>
        <v/>
      </c>
      <c r="E78" s="581" t="str">
        <f>IF($B78="","",INDEX(C_InstallationDescription!F:F,MATCH($CJ78,C_InstallationDescription!$Q:$Q,0)))</f>
        <v/>
      </c>
      <c r="F78" s="706" t="str">
        <f>IF($E78="","",INDEX(C_InstallationDescription!L:L,MATCH($CJ78,C_InstallationDescription!$Q:$Q,0)))</f>
        <v/>
      </c>
      <c r="G78" s="581" t="str">
        <f>IF($E78="","",INDEX(C_InstallationDescription!M:M,MATCH($CJ78,C_InstallationDescription!$Q:$Q,0)))</f>
        <v/>
      </c>
      <c r="H78" s="581" t="str">
        <f>IF($E78="","",INDEX(C_InstallationDescription!N:N,MATCH($CJ78,C_InstallationDescription!$Q:$Q,0)))</f>
        <v/>
      </c>
      <c r="I78" s="703" t="str">
        <f>IF($E78="","",IF(INDEX(E_SourceStreams!$A:$N,CN78,I$7)="","",INDEX(E_SourceStreams!$A:$N,CN78,I$7)))</f>
        <v/>
      </c>
      <c r="J78" s="703" t="str">
        <f>IF($E78="","",IF(INDEX(E_SourceStreams!$A:$N,CO78,J$7)="","",INDEX(E_SourceStreams!$A:$N,CO78,J$7)))</f>
        <v/>
      </c>
      <c r="K78" s="703" t="str">
        <f>IF($E78="","",IF(INDEX(E_SourceStreams!$A:$N,CP78,K$7)="","",INDEX(E_SourceStreams!$A:$N,CP78,K$7)))</f>
        <v/>
      </c>
      <c r="L78" s="703" t="str">
        <f>IF($E78="","",IF(INDEX(E_SourceStreams!$A:$N,CQ78,L$7)="","",INDEX(E_SourceStreams!$A:$N,CQ78,L$7)))</f>
        <v/>
      </c>
      <c r="M78" s="703" t="str">
        <f>IF($E78="","",IF(INDEX(E_SourceStreams!$A:$N,CR78,M$7)="","",INDEX(E_SourceStreams!$A:$N,CR78,M$7)))</f>
        <v/>
      </c>
      <c r="N78" s="703" t="str">
        <f>IF($E78="","",IF(INDEX(E_SourceStreams!$A:$N,CS78,N$7)="","",INDEX(E_SourceStreams!$A:$N,CS78,N$7)))</f>
        <v/>
      </c>
      <c r="O78" s="703" t="str">
        <f>IF($E78="","",IF(INDEX(E_SourceStreams!$A:$N,CT78,O$7)="","",INDEX(E_SourceStreams!$A:$N,CT78,O$7)))</f>
        <v/>
      </c>
      <c r="P78" s="703" t="str">
        <f>IF($E78="","",IF(INDEX(E_SourceStreams!$A:$N,CU78,P$7)="","",INDEX(E_SourceStreams!$A:$N,CU78,P$7)))</f>
        <v/>
      </c>
      <c r="Q78" s="703" t="str">
        <f>IF($E78="","",IF(INDEX(E_SourceStreams!$A:$N,CV78,Q$7)="","",INDEX(E_SourceStreams!$A:$N,CV78,Q$7)))</f>
        <v/>
      </c>
      <c r="R78" s="703" t="str">
        <f>IF($E78="","",IF(INDEX(E_SourceStreams!$A:$N,CW78,R$7)="","",INDEX(E_SourceStreams!$A:$N,CW78,R$7)))</f>
        <v/>
      </c>
      <c r="S78" s="703" t="str">
        <f>IF($E78="","",IF(INDEX(E_SourceStreams!$A:$N,CX78,S$7)="","",INDEX(E_SourceStreams!$A:$N,CX78,S$7)))</f>
        <v/>
      </c>
      <c r="T78" s="703" t="str">
        <f>IF($E78="","",IF(INDEX(E_SourceStreams!$A:$N,CY78,T$7)="","",INDEX(E_SourceStreams!$A:$N,CY78,T$7)))</f>
        <v/>
      </c>
      <c r="U78" s="703" t="str">
        <f>IF($E78="","",IF(INDEX(E_SourceStreams!$A:$N,CZ78,U$7)="","",INDEX(E_SourceStreams!$A:$N,CZ78,U$7)))</f>
        <v/>
      </c>
      <c r="V78" s="703" t="str">
        <f>IF($E78="","",IF(INDEX(E_SourceStreams!$A:$N,DA78,V$7)="","",INDEX(E_SourceStreams!$A:$N,DA78,V$7)))</f>
        <v/>
      </c>
      <c r="W78" s="704" t="str">
        <f>IF($E78="","",IF(INDEX(E_SourceStreams!$A:$N,DB78,W$7)="","",INDEX(E_SourceStreams!$A:$N,DB78,W$7)))</f>
        <v/>
      </c>
      <c r="X78" s="703" t="str">
        <f>IF($E78="","",IF(INDEX(E_SourceStreams!$A:$N,DC78,X$7)="","",INDEX(E_SourceStreams!$A:$N,DC78,X$7)))</f>
        <v/>
      </c>
      <c r="Y78" s="703" t="str">
        <f>IF($E78="","",IF(INDEX(E_SourceStreams!$A:$N,DD78,Y$7)="","",INDEX(E_SourceStreams!$A:$N,DD78,Y$7)))</f>
        <v/>
      </c>
      <c r="Z78" s="703" t="str">
        <f>IF($E78="","",IF(INDEX(E_SourceStreams!$A:$N,DE78,Z$7)="","",INDEX(E_SourceStreams!$A:$N,DE78,Z$7)))</f>
        <v/>
      </c>
      <c r="AA78" s="703" t="str">
        <f>IF($E78="","",IF(INDEX(E_SourceStreams!$A:$N,DF78,AA$7)="","",INDEX(E_SourceStreams!$A:$N,DF78,AA$7)))</f>
        <v/>
      </c>
      <c r="AB78" s="703" t="str">
        <f>IF($E78="","",IF(INDEX(E_SourceStreams!$A:$N,DG78,AB$7)="","",INDEX(E_SourceStreams!$A:$N,DG78,AB$7)))</f>
        <v/>
      </c>
      <c r="AC78" s="703" t="str">
        <f>IF($E78="","",IF(INDEX(E_SourceStreams!$A:$N,DH78,AC$7)="","",INDEX(E_SourceStreams!$A:$N,DH78,AC$7)))</f>
        <v/>
      </c>
      <c r="AD78" s="703" t="str">
        <f>IF($E78="","",IF(INDEX(E_SourceStreams!$A:$N,DI78,AD$7)="","",INDEX(E_SourceStreams!$A:$N,DI78,AD$7)))</f>
        <v/>
      </c>
      <c r="AE78" s="703" t="str">
        <f>IF($E78="","",IF(INDEX(E_SourceStreams!$A:$N,DJ78,AE$7)="","",INDEX(E_SourceStreams!$A:$N,DJ78,AE$7)))</f>
        <v/>
      </c>
      <c r="AF78" s="703" t="str">
        <f>IF($E78="","",IF(INDEX(E_SourceStreams!$A:$N,DK78,AF$7)="","",INDEX(E_SourceStreams!$A:$N,DK78,AF$7)))</f>
        <v/>
      </c>
      <c r="AG78" s="703" t="str">
        <f>IF($E78="","",IF(INDEX(E_SourceStreams!$A:$N,DL78,AG$7)="","",INDEX(E_SourceStreams!$A:$N,DL78,AG$7)))</f>
        <v/>
      </c>
      <c r="AH78" s="703" t="str">
        <f>IF($E78="","",IF(INDEX(E_SourceStreams!$A:$N,DM78,AH$7)="","",INDEX(E_SourceStreams!$A:$N,DM78,AH$7)))</f>
        <v/>
      </c>
      <c r="AI78" s="703" t="str">
        <f>IF($E78="","",IF(INDEX(E_SourceStreams!$A:$N,DN78,AI$7)="","",INDEX(E_SourceStreams!$A:$N,DN78,AI$7)))</f>
        <v/>
      </c>
      <c r="AJ78" s="703" t="str">
        <f>IF($E78="","",IF(INDEX(E_SourceStreams!$A:$N,DO78,AJ$7)="","",INDEX(E_SourceStreams!$A:$N,DO78,AJ$7)))</f>
        <v/>
      </c>
      <c r="AK78" s="703" t="str">
        <f>IF($E78="","",IF(INDEX(E_SourceStreams!$A:$N,DP78,AK$7)="","",INDEX(E_SourceStreams!$A:$N,DP78,AK$7)))</f>
        <v/>
      </c>
      <c r="AL78" s="703" t="str">
        <f>IF($E78="","",IF(INDEX(E_SourceStreams!$A:$N,DQ78,AL$7)="","",INDEX(E_SourceStreams!$A:$N,DQ78,AL$7)))</f>
        <v/>
      </c>
      <c r="AM78" s="703" t="str">
        <f>IF($E78="","",IF(INDEX(E_SourceStreams!$A:$N,DR78,AM$7)="","",INDEX(E_SourceStreams!$A:$N,DR78,AM$7)))</f>
        <v/>
      </c>
      <c r="AN78" s="703" t="str">
        <f>IF($E78="","",IF(INDEX(E_SourceStreams!$A:$N,DS78,AN$7)="","",INDEX(E_SourceStreams!$A:$N,DS78,AN$7)))</f>
        <v/>
      </c>
      <c r="AO78" s="703" t="str">
        <f>IF($E78="","",IF(INDEX(E_SourceStreams!$A:$N,DT78,AO$7)="","",INDEX(E_SourceStreams!$A:$N,DT78,AO$7)))</f>
        <v/>
      </c>
      <c r="AP78" s="703" t="str">
        <f>IF($E78="","",IF(INDEX(E_SourceStreams!$A:$N,DU78,AP$7)="","",INDEX(E_SourceStreams!$A:$N,DU78,AP$7)))</f>
        <v/>
      </c>
      <c r="AQ78" s="703" t="str">
        <f>IF($E78="","",IF(INDEX(E_SourceStreams!$A:$N,DV78,AQ$7)="","",INDEX(E_SourceStreams!$A:$N,DV78,AQ$7)))</f>
        <v/>
      </c>
      <c r="AR78" s="703" t="str">
        <f>IF($E78="","",IF(INDEX(E_SourceStreams!$A:$N,DW78,AR$7)="","",INDEX(E_SourceStreams!$A:$N,DW78,AR$7)))</f>
        <v/>
      </c>
      <c r="AS78" s="703" t="str">
        <f>IF($E78="","",IF(INDEX(E_SourceStreams!$A:$N,DX78,AS$7)="","",INDEX(E_SourceStreams!$A:$N,DX78,AS$7)))</f>
        <v/>
      </c>
      <c r="AT78" s="703" t="str">
        <f>IF($E78="","",IF(INDEX(E_SourceStreams!$A:$N,DY78,AT$7)="","",INDEX(E_SourceStreams!$A:$N,DY78,AT$7)))</f>
        <v/>
      </c>
      <c r="AU78" s="703" t="str">
        <f>IF($E78="","",IF(INDEX(E_SourceStreams!$A:$N,DZ78,AU$7)="","",INDEX(E_SourceStreams!$A:$N,DZ78,AU$7)))</f>
        <v/>
      </c>
      <c r="AV78" s="703" t="str">
        <f>IF($E78="","",IF(INDEX(E_SourceStreams!$A:$N,EA78,AV$7)="","",INDEX(E_SourceStreams!$A:$N,EA78,AV$7)))</f>
        <v/>
      </c>
      <c r="AW78" s="703" t="str">
        <f>IF($E78="","",IF(INDEX(E_SourceStreams!$A:$N,EB78,AW$7)="","",INDEX(E_SourceStreams!$A:$N,EB78,AW$7)))</f>
        <v/>
      </c>
      <c r="AX78" s="703" t="str">
        <f>IF($E78="","",IF(INDEX(E_SourceStreams!$A:$N,EC78,AX$7)="","",INDEX(E_SourceStreams!$A:$N,EC78,AX$7)))</f>
        <v/>
      </c>
      <c r="AY78" s="703" t="str">
        <f>IF($E78="","",IF(INDEX(E_SourceStreams!$A:$N,ED78,AY$7)="","",INDEX(E_SourceStreams!$A:$N,ED78,AY$7)))</f>
        <v/>
      </c>
      <c r="AZ78" s="703" t="str">
        <f>IF($E78="","",IF(INDEX(E_SourceStreams!$A:$N,EE78,AZ$7)="","",INDEX(E_SourceStreams!$A:$N,EE78,AZ$7)))</f>
        <v/>
      </c>
      <c r="BA78" s="703" t="str">
        <f>IF($E78="","",IF(INDEX(E_SourceStreams!$A:$N,EF78,BA$7)="","",INDEX(E_SourceStreams!$A:$N,EF78,BA$7)))</f>
        <v/>
      </c>
      <c r="BB78" s="703" t="str">
        <f>IF($E78="","",IF(INDEX(E_SourceStreams!$A:$N,EG78,BB$7)="","",INDEX(E_SourceStreams!$A:$N,EG78,BB$7)))</f>
        <v/>
      </c>
      <c r="BC78" s="703" t="str">
        <f>IF($E78="","",IF(INDEX(E_SourceStreams!$A:$N,EH78,BC$7)="","",INDEX(E_SourceStreams!$A:$N,EH78,BC$7)))</f>
        <v/>
      </c>
      <c r="BD78" s="703" t="str">
        <f>IF($E78="","",IF(INDEX(E_SourceStreams!$A:$N,EI78,BD$7)="","",INDEX(E_SourceStreams!$A:$N,EI78,BD$7)))</f>
        <v/>
      </c>
      <c r="BE78" s="703" t="str">
        <f>IF($E78="","",IF(INDEX(E_SourceStreams!$A:$N,EJ78,BE$7)="","",INDEX(E_SourceStreams!$A:$N,EJ78,BE$7)))</f>
        <v/>
      </c>
      <c r="BF78" s="703" t="str">
        <f>IF($E78="","",IF(INDEX(E_SourceStreams!$A:$N,EK78,BF$7)="","",INDEX(E_SourceStreams!$A:$N,EK78,BF$7)))</f>
        <v/>
      </c>
      <c r="BG78" s="703" t="str">
        <f>IF($E78="","",IF(INDEX(E_SourceStreams!$A:$N,EL78,BG$7)="","",INDEX(E_SourceStreams!$A:$N,EL78,BG$7)))</f>
        <v/>
      </c>
      <c r="BH78" s="703" t="str">
        <f>IF($E78="","",IF(INDEX(E_SourceStreams!$A:$N,EM78,BH$7)="","",INDEX(E_SourceStreams!$A:$N,EM78,BH$7)))</f>
        <v/>
      </c>
      <c r="BI78" s="703" t="str">
        <f>IF($E78="","",IF(INDEX(E_SourceStreams!$A:$N,EN78,BI$7)="","",INDEX(E_SourceStreams!$A:$N,EN78,BI$7)))</f>
        <v/>
      </c>
      <c r="BJ78" s="703" t="str">
        <f>IF($E78="","",IF(INDEX(E_SourceStreams!$A:$N,EO78,BJ$7)="","",INDEX(E_SourceStreams!$A:$N,EO78,BJ$7)))</f>
        <v/>
      </c>
      <c r="BK78" s="703" t="str">
        <f>IF($E78="","",IF(INDEX(E_SourceStreams!$A:$N,EP78,BK$7)="","",INDEX(E_SourceStreams!$A:$N,EP78,BK$7)))</f>
        <v/>
      </c>
      <c r="BL78" s="703" t="str">
        <f>IF($E78="","",IF(INDEX(E_SourceStreams!$A:$N,EQ78,BL$7)="","",INDEX(E_SourceStreams!$A:$N,EQ78,BL$7)))</f>
        <v/>
      </c>
      <c r="BM78" s="703" t="str">
        <f>IF($E78="","",IF(INDEX(E_SourceStreams!$A:$N,ER78,BM$7)="","",INDEX(E_SourceStreams!$A:$N,ER78,BM$7)))</f>
        <v/>
      </c>
      <c r="BN78" s="703" t="str">
        <f>IF($E78="","",IF(INDEX(E_SourceStreams!$A:$N,ES78,BN$7)="","",INDEX(E_SourceStreams!$A:$N,ES78,BN$7)))</f>
        <v/>
      </c>
      <c r="BO78" s="703" t="str">
        <f>IF($E78="","",IF(INDEX(E_SourceStreams!$A:$N,ET78,BO$7)="","",INDEX(E_SourceStreams!$A:$N,ET78,BO$7)))</f>
        <v/>
      </c>
      <c r="BP78" s="703" t="str">
        <f>IF($E78="","",IF(INDEX(E_SourceStreams!$A:$N,EU78,BP$7)="","",INDEX(E_SourceStreams!$A:$N,EU78,BP$7)))</f>
        <v/>
      </c>
      <c r="BQ78" s="703" t="str">
        <f>IF($E78="","",IF(INDEX(E_SourceStreams!$A:$N,EV78,BQ$7)="","",INDEX(E_SourceStreams!$A:$N,EV78,BQ$7)))</f>
        <v/>
      </c>
      <c r="BR78" s="703" t="str">
        <f>IF($E78="","",IF(INDEX(E_SourceStreams!$A:$N,EW78,BR$7)="","",INDEX(E_SourceStreams!$A:$N,EW78,BR$7)))</f>
        <v/>
      </c>
      <c r="BS78" s="703" t="str">
        <f>IF($E78="","",IF(INDEX(E_SourceStreams!$A:$N,EX78,BS$7)="","",INDEX(E_SourceStreams!$A:$N,EX78,BS$7)))</f>
        <v/>
      </c>
      <c r="BT78" s="703" t="str">
        <f>IF($E78="","",IF(INDEX(E_SourceStreams!$A:$N,EY78,BT$7)="","",INDEX(E_SourceStreams!$A:$N,EY78,BT$7)))</f>
        <v/>
      </c>
      <c r="BU78" s="625"/>
      <c r="CJ78" s="679" t="str">
        <f t="shared" si="68"/>
        <v>SourceCategory_</v>
      </c>
      <c r="CK78" s="679" t="b">
        <f>INDEX(C_InstallationDescription!$A$226:$A$332,ROWS($CI$11:CI78))="ausblenden"</f>
        <v>1</v>
      </c>
      <c r="CL78" s="679" t="str">
        <f t="shared" si="69"/>
        <v>SourceStreamName_</v>
      </c>
      <c r="CN78" s="679">
        <f t="shared" ref="CN78:CN85" si="133">CN77+66</f>
        <v>4557</v>
      </c>
      <c r="CO78" s="679">
        <f t="shared" si="70"/>
        <v>4559</v>
      </c>
      <c r="CP78" s="679">
        <f t="shared" si="71"/>
        <v>4561</v>
      </c>
      <c r="CQ78" s="679">
        <f t="shared" si="72"/>
        <v>4563</v>
      </c>
      <c r="CR78" s="679">
        <f t="shared" si="73"/>
        <v>4565</v>
      </c>
      <c r="CS78" s="679">
        <f t="shared" si="74"/>
        <v>4567</v>
      </c>
      <c r="CT78" s="679">
        <f t="shared" si="75"/>
        <v>4569</v>
      </c>
      <c r="CU78" s="679">
        <f t="shared" si="76"/>
        <v>4569</v>
      </c>
      <c r="CV78" s="679">
        <f t="shared" si="77"/>
        <v>4569</v>
      </c>
      <c r="CW78" s="679">
        <f t="shared" si="78"/>
        <v>4569</v>
      </c>
      <c r="CX78" s="679">
        <f t="shared" si="79"/>
        <v>4569</v>
      </c>
      <c r="CY78" s="679">
        <f t="shared" si="80"/>
        <v>4572</v>
      </c>
      <c r="CZ78" s="679">
        <f t="shared" si="81"/>
        <v>4576</v>
      </c>
      <c r="DA78" s="679">
        <f t="shared" si="82"/>
        <v>4577</v>
      </c>
      <c r="DB78" s="679">
        <f t="shared" si="83"/>
        <v>4578</v>
      </c>
      <c r="DC78" s="679">
        <f t="shared" si="84"/>
        <v>4585</v>
      </c>
      <c r="DD78" s="679">
        <f t="shared" si="85"/>
        <v>4595</v>
      </c>
      <c r="DE78" s="679">
        <f t="shared" si="86"/>
        <v>4595</v>
      </c>
      <c r="DF78" s="679">
        <f t="shared" si="87"/>
        <v>4595</v>
      </c>
      <c r="DG78" s="679">
        <f t="shared" si="88"/>
        <v>4595</v>
      </c>
      <c r="DH78" s="679">
        <f t="shared" si="89"/>
        <v>4595</v>
      </c>
      <c r="DI78" s="679">
        <f t="shared" si="90"/>
        <v>4595</v>
      </c>
      <c r="DJ78" s="679">
        <f t="shared" si="91"/>
        <v>4595</v>
      </c>
      <c r="DK78" s="679">
        <f t="shared" si="92"/>
        <v>4586</v>
      </c>
      <c r="DL78" s="679">
        <f t="shared" si="93"/>
        <v>4596</v>
      </c>
      <c r="DM78" s="679">
        <f t="shared" si="94"/>
        <v>4596</v>
      </c>
      <c r="DN78" s="679">
        <f t="shared" si="95"/>
        <v>4596</v>
      </c>
      <c r="DO78" s="679">
        <f t="shared" si="96"/>
        <v>4596</v>
      </c>
      <c r="DP78" s="679">
        <f t="shared" si="97"/>
        <v>4596</v>
      </c>
      <c r="DQ78" s="679">
        <f t="shared" si="98"/>
        <v>4596</v>
      </c>
      <c r="DR78" s="679">
        <f t="shared" si="99"/>
        <v>4596</v>
      </c>
      <c r="DS78" s="679">
        <f t="shared" si="100"/>
        <v>4587</v>
      </c>
      <c r="DT78" s="679">
        <f t="shared" si="101"/>
        <v>4597</v>
      </c>
      <c r="DU78" s="679">
        <f t="shared" si="102"/>
        <v>4597</v>
      </c>
      <c r="DV78" s="679">
        <f t="shared" si="103"/>
        <v>4597</v>
      </c>
      <c r="DW78" s="679">
        <f t="shared" si="104"/>
        <v>4597</v>
      </c>
      <c r="DX78" s="679">
        <f t="shared" si="105"/>
        <v>4597</v>
      </c>
      <c r="DY78" s="679">
        <f t="shared" si="106"/>
        <v>4597</v>
      </c>
      <c r="DZ78" s="679">
        <f t="shared" si="107"/>
        <v>4597</v>
      </c>
      <c r="EA78" s="679">
        <f t="shared" si="108"/>
        <v>4588</v>
      </c>
      <c r="EB78" s="679">
        <f t="shared" si="109"/>
        <v>4598</v>
      </c>
      <c r="EC78" s="679">
        <f t="shared" si="110"/>
        <v>4598</v>
      </c>
      <c r="ED78" s="679">
        <f t="shared" si="111"/>
        <v>4598</v>
      </c>
      <c r="EE78" s="679">
        <f t="shared" si="112"/>
        <v>4598</v>
      </c>
      <c r="EF78" s="679">
        <f t="shared" si="113"/>
        <v>4598</v>
      </c>
      <c r="EG78" s="679">
        <f t="shared" si="114"/>
        <v>4598</v>
      </c>
      <c r="EH78" s="679">
        <f t="shared" si="115"/>
        <v>4598</v>
      </c>
      <c r="EI78" s="679">
        <f t="shared" si="116"/>
        <v>4589</v>
      </c>
      <c r="EJ78" s="679">
        <f t="shared" si="117"/>
        <v>4599</v>
      </c>
      <c r="EK78" s="679">
        <f t="shared" si="118"/>
        <v>4599</v>
      </c>
      <c r="EL78" s="679">
        <f t="shared" si="119"/>
        <v>4599</v>
      </c>
      <c r="EM78" s="679">
        <f t="shared" si="120"/>
        <v>4599</v>
      </c>
      <c r="EN78" s="679">
        <f t="shared" si="121"/>
        <v>4599</v>
      </c>
      <c r="EO78" s="679">
        <f t="shared" si="122"/>
        <v>4599</v>
      </c>
      <c r="EP78" s="679">
        <f t="shared" si="123"/>
        <v>4599</v>
      </c>
      <c r="EQ78" s="679">
        <f t="shared" si="124"/>
        <v>4590</v>
      </c>
      <c r="ER78" s="679">
        <f t="shared" si="125"/>
        <v>4600</v>
      </c>
      <c r="ES78" s="679">
        <f t="shared" si="126"/>
        <v>4600</v>
      </c>
      <c r="ET78" s="679">
        <f t="shared" si="127"/>
        <v>4600</v>
      </c>
      <c r="EU78" s="679">
        <f t="shared" si="128"/>
        <v>4600</v>
      </c>
      <c r="EV78" s="679">
        <f t="shared" si="129"/>
        <v>4600</v>
      </c>
      <c r="EW78" s="679">
        <f t="shared" si="130"/>
        <v>4600</v>
      </c>
      <c r="EX78" s="679">
        <f t="shared" si="131"/>
        <v>4600</v>
      </c>
      <c r="EY78" s="679">
        <f t="shared" si="132"/>
        <v>4606</v>
      </c>
    </row>
    <row r="79" spans="2:155" ht="12.75" customHeight="1" x14ac:dyDescent="0.2">
      <c r="B79" s="700" t="str">
        <f>IF(COUNTIF($CK$10:CK79,TRUE)&gt;0,"",INDEX(C_InstallationDescription!$E$226:$E$242,ROWS($A$11:A79)))</f>
        <v/>
      </c>
      <c r="C79" s="581" t="str">
        <f>IF($E79="","",INDEX(C_InstallationDescription!F:F,MATCH($B79,C_InstallationDescription!$E:$E,0)))</f>
        <v/>
      </c>
      <c r="D79" s="581" t="str">
        <f>IF($E79="","",INDEX(C_InstallationDescription!I:I,MATCH($B79,C_InstallationDescription!$E:$E,0)))</f>
        <v/>
      </c>
      <c r="E79" s="581" t="str">
        <f>IF($B79="","",INDEX(C_InstallationDescription!F:F,MATCH($CJ79,C_InstallationDescription!$Q:$Q,0)))</f>
        <v/>
      </c>
      <c r="F79" s="706" t="str">
        <f>IF($E79="","",INDEX(C_InstallationDescription!L:L,MATCH($CJ79,C_InstallationDescription!$Q:$Q,0)))</f>
        <v/>
      </c>
      <c r="G79" s="581" t="str">
        <f>IF($E79="","",INDEX(C_InstallationDescription!M:M,MATCH($CJ79,C_InstallationDescription!$Q:$Q,0)))</f>
        <v/>
      </c>
      <c r="H79" s="581" t="str">
        <f>IF($E79="","",INDEX(C_InstallationDescription!N:N,MATCH($CJ79,C_InstallationDescription!$Q:$Q,0)))</f>
        <v/>
      </c>
      <c r="I79" s="703" t="str">
        <f>IF($E79="","",IF(INDEX(E_SourceStreams!$A:$N,CN79,I$7)="","",INDEX(E_SourceStreams!$A:$N,CN79,I$7)))</f>
        <v/>
      </c>
      <c r="J79" s="703" t="str">
        <f>IF($E79="","",IF(INDEX(E_SourceStreams!$A:$N,CO79,J$7)="","",INDEX(E_SourceStreams!$A:$N,CO79,J$7)))</f>
        <v/>
      </c>
      <c r="K79" s="703" t="str">
        <f>IF($E79="","",IF(INDEX(E_SourceStreams!$A:$N,CP79,K$7)="","",INDEX(E_SourceStreams!$A:$N,CP79,K$7)))</f>
        <v/>
      </c>
      <c r="L79" s="703" t="str">
        <f>IF($E79="","",IF(INDEX(E_SourceStreams!$A:$N,CQ79,L$7)="","",INDEX(E_SourceStreams!$A:$N,CQ79,L$7)))</f>
        <v/>
      </c>
      <c r="M79" s="703" t="str">
        <f>IF($E79="","",IF(INDEX(E_SourceStreams!$A:$N,CR79,M$7)="","",INDEX(E_SourceStreams!$A:$N,CR79,M$7)))</f>
        <v/>
      </c>
      <c r="N79" s="703" t="str">
        <f>IF($E79="","",IF(INDEX(E_SourceStreams!$A:$N,CS79,N$7)="","",INDEX(E_SourceStreams!$A:$N,CS79,N$7)))</f>
        <v/>
      </c>
      <c r="O79" s="703" t="str">
        <f>IF($E79="","",IF(INDEX(E_SourceStreams!$A:$N,CT79,O$7)="","",INDEX(E_SourceStreams!$A:$N,CT79,O$7)))</f>
        <v/>
      </c>
      <c r="P79" s="703" t="str">
        <f>IF($E79="","",IF(INDEX(E_SourceStreams!$A:$N,CU79,P$7)="","",INDEX(E_SourceStreams!$A:$N,CU79,P$7)))</f>
        <v/>
      </c>
      <c r="Q79" s="703" t="str">
        <f>IF($E79="","",IF(INDEX(E_SourceStreams!$A:$N,CV79,Q$7)="","",INDEX(E_SourceStreams!$A:$N,CV79,Q$7)))</f>
        <v/>
      </c>
      <c r="R79" s="703" t="str">
        <f>IF($E79="","",IF(INDEX(E_SourceStreams!$A:$N,CW79,R$7)="","",INDEX(E_SourceStreams!$A:$N,CW79,R$7)))</f>
        <v/>
      </c>
      <c r="S79" s="703" t="str">
        <f>IF($E79="","",IF(INDEX(E_SourceStreams!$A:$N,CX79,S$7)="","",INDEX(E_SourceStreams!$A:$N,CX79,S$7)))</f>
        <v/>
      </c>
      <c r="T79" s="703" t="str">
        <f>IF($E79="","",IF(INDEX(E_SourceStreams!$A:$N,CY79,T$7)="","",INDEX(E_SourceStreams!$A:$N,CY79,T$7)))</f>
        <v/>
      </c>
      <c r="U79" s="703" t="str">
        <f>IF($E79="","",IF(INDEX(E_SourceStreams!$A:$N,CZ79,U$7)="","",INDEX(E_SourceStreams!$A:$N,CZ79,U$7)))</f>
        <v/>
      </c>
      <c r="V79" s="703" t="str">
        <f>IF($E79="","",IF(INDEX(E_SourceStreams!$A:$N,DA79,V$7)="","",INDEX(E_SourceStreams!$A:$N,DA79,V$7)))</f>
        <v/>
      </c>
      <c r="W79" s="704" t="str">
        <f>IF($E79="","",IF(INDEX(E_SourceStreams!$A:$N,DB79,W$7)="","",INDEX(E_SourceStreams!$A:$N,DB79,W$7)))</f>
        <v/>
      </c>
      <c r="X79" s="703" t="str">
        <f>IF($E79="","",IF(INDEX(E_SourceStreams!$A:$N,DC79,X$7)="","",INDEX(E_SourceStreams!$A:$N,DC79,X$7)))</f>
        <v/>
      </c>
      <c r="Y79" s="703" t="str">
        <f>IF($E79="","",IF(INDEX(E_SourceStreams!$A:$N,DD79,Y$7)="","",INDEX(E_SourceStreams!$A:$N,DD79,Y$7)))</f>
        <v/>
      </c>
      <c r="Z79" s="703" t="str">
        <f>IF($E79="","",IF(INDEX(E_SourceStreams!$A:$N,DE79,Z$7)="","",INDEX(E_SourceStreams!$A:$N,DE79,Z$7)))</f>
        <v/>
      </c>
      <c r="AA79" s="703" t="str">
        <f>IF($E79="","",IF(INDEX(E_SourceStreams!$A:$N,DF79,AA$7)="","",INDEX(E_SourceStreams!$A:$N,DF79,AA$7)))</f>
        <v/>
      </c>
      <c r="AB79" s="703" t="str">
        <f>IF($E79="","",IF(INDEX(E_SourceStreams!$A:$N,DG79,AB$7)="","",INDEX(E_SourceStreams!$A:$N,DG79,AB$7)))</f>
        <v/>
      </c>
      <c r="AC79" s="703" t="str">
        <f>IF($E79="","",IF(INDEX(E_SourceStreams!$A:$N,DH79,AC$7)="","",INDEX(E_SourceStreams!$A:$N,DH79,AC$7)))</f>
        <v/>
      </c>
      <c r="AD79" s="703" t="str">
        <f>IF($E79="","",IF(INDEX(E_SourceStreams!$A:$N,DI79,AD$7)="","",INDEX(E_SourceStreams!$A:$N,DI79,AD$7)))</f>
        <v/>
      </c>
      <c r="AE79" s="703" t="str">
        <f>IF($E79="","",IF(INDEX(E_SourceStreams!$A:$N,DJ79,AE$7)="","",INDEX(E_SourceStreams!$A:$N,DJ79,AE$7)))</f>
        <v/>
      </c>
      <c r="AF79" s="703" t="str">
        <f>IF($E79="","",IF(INDEX(E_SourceStreams!$A:$N,DK79,AF$7)="","",INDEX(E_SourceStreams!$A:$N,DK79,AF$7)))</f>
        <v/>
      </c>
      <c r="AG79" s="703" t="str">
        <f>IF($E79="","",IF(INDEX(E_SourceStreams!$A:$N,DL79,AG$7)="","",INDEX(E_SourceStreams!$A:$N,DL79,AG$7)))</f>
        <v/>
      </c>
      <c r="AH79" s="703" t="str">
        <f>IF($E79="","",IF(INDEX(E_SourceStreams!$A:$N,DM79,AH$7)="","",INDEX(E_SourceStreams!$A:$N,DM79,AH$7)))</f>
        <v/>
      </c>
      <c r="AI79" s="703" t="str">
        <f>IF($E79="","",IF(INDEX(E_SourceStreams!$A:$N,DN79,AI$7)="","",INDEX(E_SourceStreams!$A:$N,DN79,AI$7)))</f>
        <v/>
      </c>
      <c r="AJ79" s="703" t="str">
        <f>IF($E79="","",IF(INDEX(E_SourceStreams!$A:$N,DO79,AJ$7)="","",INDEX(E_SourceStreams!$A:$N,DO79,AJ$7)))</f>
        <v/>
      </c>
      <c r="AK79" s="703" t="str">
        <f>IF($E79="","",IF(INDEX(E_SourceStreams!$A:$N,DP79,AK$7)="","",INDEX(E_SourceStreams!$A:$N,DP79,AK$7)))</f>
        <v/>
      </c>
      <c r="AL79" s="703" t="str">
        <f>IF($E79="","",IF(INDEX(E_SourceStreams!$A:$N,DQ79,AL$7)="","",INDEX(E_SourceStreams!$A:$N,DQ79,AL$7)))</f>
        <v/>
      </c>
      <c r="AM79" s="703" t="str">
        <f>IF($E79="","",IF(INDEX(E_SourceStreams!$A:$N,DR79,AM$7)="","",INDEX(E_SourceStreams!$A:$N,DR79,AM$7)))</f>
        <v/>
      </c>
      <c r="AN79" s="703" t="str">
        <f>IF($E79="","",IF(INDEX(E_SourceStreams!$A:$N,DS79,AN$7)="","",INDEX(E_SourceStreams!$A:$N,DS79,AN$7)))</f>
        <v/>
      </c>
      <c r="AO79" s="703" t="str">
        <f>IF($E79="","",IF(INDEX(E_SourceStreams!$A:$N,DT79,AO$7)="","",INDEX(E_SourceStreams!$A:$N,DT79,AO$7)))</f>
        <v/>
      </c>
      <c r="AP79" s="703" t="str">
        <f>IF($E79="","",IF(INDEX(E_SourceStreams!$A:$N,DU79,AP$7)="","",INDEX(E_SourceStreams!$A:$N,DU79,AP$7)))</f>
        <v/>
      </c>
      <c r="AQ79" s="703" t="str">
        <f>IF($E79="","",IF(INDEX(E_SourceStreams!$A:$N,DV79,AQ$7)="","",INDEX(E_SourceStreams!$A:$N,DV79,AQ$7)))</f>
        <v/>
      </c>
      <c r="AR79" s="703" t="str">
        <f>IF($E79="","",IF(INDEX(E_SourceStreams!$A:$N,DW79,AR$7)="","",INDEX(E_SourceStreams!$A:$N,DW79,AR$7)))</f>
        <v/>
      </c>
      <c r="AS79" s="703" t="str">
        <f>IF($E79="","",IF(INDEX(E_SourceStreams!$A:$N,DX79,AS$7)="","",INDEX(E_SourceStreams!$A:$N,DX79,AS$7)))</f>
        <v/>
      </c>
      <c r="AT79" s="703" t="str">
        <f>IF($E79="","",IF(INDEX(E_SourceStreams!$A:$N,DY79,AT$7)="","",INDEX(E_SourceStreams!$A:$N,DY79,AT$7)))</f>
        <v/>
      </c>
      <c r="AU79" s="703" t="str">
        <f>IF($E79="","",IF(INDEX(E_SourceStreams!$A:$N,DZ79,AU$7)="","",INDEX(E_SourceStreams!$A:$N,DZ79,AU$7)))</f>
        <v/>
      </c>
      <c r="AV79" s="703" t="str">
        <f>IF($E79="","",IF(INDEX(E_SourceStreams!$A:$N,EA79,AV$7)="","",INDEX(E_SourceStreams!$A:$N,EA79,AV$7)))</f>
        <v/>
      </c>
      <c r="AW79" s="703" t="str">
        <f>IF($E79="","",IF(INDEX(E_SourceStreams!$A:$N,EB79,AW$7)="","",INDEX(E_SourceStreams!$A:$N,EB79,AW$7)))</f>
        <v/>
      </c>
      <c r="AX79" s="703" t="str">
        <f>IF($E79="","",IF(INDEX(E_SourceStreams!$A:$N,EC79,AX$7)="","",INDEX(E_SourceStreams!$A:$N,EC79,AX$7)))</f>
        <v/>
      </c>
      <c r="AY79" s="703" t="str">
        <f>IF($E79="","",IF(INDEX(E_SourceStreams!$A:$N,ED79,AY$7)="","",INDEX(E_SourceStreams!$A:$N,ED79,AY$7)))</f>
        <v/>
      </c>
      <c r="AZ79" s="703" t="str">
        <f>IF($E79="","",IF(INDEX(E_SourceStreams!$A:$N,EE79,AZ$7)="","",INDEX(E_SourceStreams!$A:$N,EE79,AZ$7)))</f>
        <v/>
      </c>
      <c r="BA79" s="703" t="str">
        <f>IF($E79="","",IF(INDEX(E_SourceStreams!$A:$N,EF79,BA$7)="","",INDEX(E_SourceStreams!$A:$N,EF79,BA$7)))</f>
        <v/>
      </c>
      <c r="BB79" s="703" t="str">
        <f>IF($E79="","",IF(INDEX(E_SourceStreams!$A:$N,EG79,BB$7)="","",INDEX(E_SourceStreams!$A:$N,EG79,BB$7)))</f>
        <v/>
      </c>
      <c r="BC79" s="703" t="str">
        <f>IF($E79="","",IF(INDEX(E_SourceStreams!$A:$N,EH79,BC$7)="","",INDEX(E_SourceStreams!$A:$N,EH79,BC$7)))</f>
        <v/>
      </c>
      <c r="BD79" s="703" t="str">
        <f>IF($E79="","",IF(INDEX(E_SourceStreams!$A:$N,EI79,BD$7)="","",INDEX(E_SourceStreams!$A:$N,EI79,BD$7)))</f>
        <v/>
      </c>
      <c r="BE79" s="703" t="str">
        <f>IF($E79="","",IF(INDEX(E_SourceStreams!$A:$N,EJ79,BE$7)="","",INDEX(E_SourceStreams!$A:$N,EJ79,BE$7)))</f>
        <v/>
      </c>
      <c r="BF79" s="703" t="str">
        <f>IF($E79="","",IF(INDEX(E_SourceStreams!$A:$N,EK79,BF$7)="","",INDEX(E_SourceStreams!$A:$N,EK79,BF$7)))</f>
        <v/>
      </c>
      <c r="BG79" s="703" t="str">
        <f>IF($E79="","",IF(INDEX(E_SourceStreams!$A:$N,EL79,BG$7)="","",INDEX(E_SourceStreams!$A:$N,EL79,BG$7)))</f>
        <v/>
      </c>
      <c r="BH79" s="703" t="str">
        <f>IF($E79="","",IF(INDEX(E_SourceStreams!$A:$N,EM79,BH$7)="","",INDEX(E_SourceStreams!$A:$N,EM79,BH$7)))</f>
        <v/>
      </c>
      <c r="BI79" s="703" t="str">
        <f>IF($E79="","",IF(INDEX(E_SourceStreams!$A:$N,EN79,BI$7)="","",INDEX(E_SourceStreams!$A:$N,EN79,BI$7)))</f>
        <v/>
      </c>
      <c r="BJ79" s="703" t="str">
        <f>IF($E79="","",IF(INDEX(E_SourceStreams!$A:$N,EO79,BJ$7)="","",INDEX(E_SourceStreams!$A:$N,EO79,BJ$7)))</f>
        <v/>
      </c>
      <c r="BK79" s="703" t="str">
        <f>IF($E79="","",IF(INDEX(E_SourceStreams!$A:$N,EP79,BK$7)="","",INDEX(E_SourceStreams!$A:$N,EP79,BK$7)))</f>
        <v/>
      </c>
      <c r="BL79" s="703" t="str">
        <f>IF($E79="","",IF(INDEX(E_SourceStreams!$A:$N,EQ79,BL$7)="","",INDEX(E_SourceStreams!$A:$N,EQ79,BL$7)))</f>
        <v/>
      </c>
      <c r="BM79" s="703" t="str">
        <f>IF($E79="","",IF(INDEX(E_SourceStreams!$A:$N,ER79,BM$7)="","",INDEX(E_SourceStreams!$A:$N,ER79,BM$7)))</f>
        <v/>
      </c>
      <c r="BN79" s="703" t="str">
        <f>IF($E79="","",IF(INDEX(E_SourceStreams!$A:$N,ES79,BN$7)="","",INDEX(E_SourceStreams!$A:$N,ES79,BN$7)))</f>
        <v/>
      </c>
      <c r="BO79" s="703" t="str">
        <f>IF($E79="","",IF(INDEX(E_SourceStreams!$A:$N,ET79,BO$7)="","",INDEX(E_SourceStreams!$A:$N,ET79,BO$7)))</f>
        <v/>
      </c>
      <c r="BP79" s="703" t="str">
        <f>IF($E79="","",IF(INDEX(E_SourceStreams!$A:$N,EU79,BP$7)="","",INDEX(E_SourceStreams!$A:$N,EU79,BP$7)))</f>
        <v/>
      </c>
      <c r="BQ79" s="703" t="str">
        <f>IF($E79="","",IF(INDEX(E_SourceStreams!$A:$N,EV79,BQ$7)="","",INDEX(E_SourceStreams!$A:$N,EV79,BQ$7)))</f>
        <v/>
      </c>
      <c r="BR79" s="703" t="str">
        <f>IF($E79="","",IF(INDEX(E_SourceStreams!$A:$N,EW79,BR$7)="","",INDEX(E_SourceStreams!$A:$N,EW79,BR$7)))</f>
        <v/>
      </c>
      <c r="BS79" s="703" t="str">
        <f>IF($E79="","",IF(INDEX(E_SourceStreams!$A:$N,EX79,BS$7)="","",INDEX(E_SourceStreams!$A:$N,EX79,BS$7)))</f>
        <v/>
      </c>
      <c r="BT79" s="703" t="str">
        <f>IF($E79="","",IF(INDEX(E_SourceStreams!$A:$N,EY79,BT$7)="","",INDEX(E_SourceStreams!$A:$N,EY79,BT$7)))</f>
        <v/>
      </c>
      <c r="BU79" s="625"/>
      <c r="CJ79" s="679" t="str">
        <f t="shared" si="68"/>
        <v>SourceCategory_</v>
      </c>
      <c r="CK79" s="679" t="b">
        <f>INDEX(C_InstallationDescription!$A$226:$A$332,ROWS($CI$11:CI79))="ausblenden"</f>
        <v>1</v>
      </c>
      <c r="CL79" s="679" t="str">
        <f t="shared" si="69"/>
        <v>SourceStreamName_</v>
      </c>
      <c r="CN79" s="679">
        <f t="shared" si="133"/>
        <v>4623</v>
      </c>
      <c r="CO79" s="679">
        <f t="shared" si="70"/>
        <v>4625</v>
      </c>
      <c r="CP79" s="679">
        <f t="shared" si="71"/>
        <v>4627</v>
      </c>
      <c r="CQ79" s="679">
        <f t="shared" si="72"/>
        <v>4629</v>
      </c>
      <c r="CR79" s="679">
        <f t="shared" si="73"/>
        <v>4631</v>
      </c>
      <c r="CS79" s="679">
        <f t="shared" si="74"/>
        <v>4633</v>
      </c>
      <c r="CT79" s="679">
        <f t="shared" si="75"/>
        <v>4635</v>
      </c>
      <c r="CU79" s="679">
        <f t="shared" si="76"/>
        <v>4635</v>
      </c>
      <c r="CV79" s="679">
        <f t="shared" si="77"/>
        <v>4635</v>
      </c>
      <c r="CW79" s="679">
        <f t="shared" si="78"/>
        <v>4635</v>
      </c>
      <c r="CX79" s="679">
        <f t="shared" si="79"/>
        <v>4635</v>
      </c>
      <c r="CY79" s="679">
        <f t="shared" si="80"/>
        <v>4638</v>
      </c>
      <c r="CZ79" s="679">
        <f t="shared" si="81"/>
        <v>4642</v>
      </c>
      <c r="DA79" s="679">
        <f t="shared" si="82"/>
        <v>4643</v>
      </c>
      <c r="DB79" s="679">
        <f t="shared" si="83"/>
        <v>4644</v>
      </c>
      <c r="DC79" s="679">
        <f t="shared" si="84"/>
        <v>4651</v>
      </c>
      <c r="DD79" s="679">
        <f t="shared" si="85"/>
        <v>4661</v>
      </c>
      <c r="DE79" s="679">
        <f t="shared" si="86"/>
        <v>4661</v>
      </c>
      <c r="DF79" s="679">
        <f t="shared" si="87"/>
        <v>4661</v>
      </c>
      <c r="DG79" s="679">
        <f t="shared" si="88"/>
        <v>4661</v>
      </c>
      <c r="DH79" s="679">
        <f t="shared" si="89"/>
        <v>4661</v>
      </c>
      <c r="DI79" s="679">
        <f t="shared" si="90"/>
        <v>4661</v>
      </c>
      <c r="DJ79" s="679">
        <f t="shared" si="91"/>
        <v>4661</v>
      </c>
      <c r="DK79" s="679">
        <f t="shared" si="92"/>
        <v>4652</v>
      </c>
      <c r="DL79" s="679">
        <f t="shared" si="93"/>
        <v>4662</v>
      </c>
      <c r="DM79" s="679">
        <f t="shared" si="94"/>
        <v>4662</v>
      </c>
      <c r="DN79" s="679">
        <f t="shared" si="95"/>
        <v>4662</v>
      </c>
      <c r="DO79" s="679">
        <f t="shared" si="96"/>
        <v>4662</v>
      </c>
      <c r="DP79" s="679">
        <f t="shared" si="97"/>
        <v>4662</v>
      </c>
      <c r="DQ79" s="679">
        <f t="shared" si="98"/>
        <v>4662</v>
      </c>
      <c r="DR79" s="679">
        <f t="shared" si="99"/>
        <v>4662</v>
      </c>
      <c r="DS79" s="679">
        <f t="shared" si="100"/>
        <v>4653</v>
      </c>
      <c r="DT79" s="679">
        <f t="shared" si="101"/>
        <v>4663</v>
      </c>
      <c r="DU79" s="679">
        <f t="shared" si="102"/>
        <v>4663</v>
      </c>
      <c r="DV79" s="679">
        <f t="shared" si="103"/>
        <v>4663</v>
      </c>
      <c r="DW79" s="679">
        <f t="shared" si="104"/>
        <v>4663</v>
      </c>
      <c r="DX79" s="679">
        <f t="shared" si="105"/>
        <v>4663</v>
      </c>
      <c r="DY79" s="679">
        <f t="shared" si="106"/>
        <v>4663</v>
      </c>
      <c r="DZ79" s="679">
        <f t="shared" si="107"/>
        <v>4663</v>
      </c>
      <c r="EA79" s="679">
        <f t="shared" si="108"/>
        <v>4654</v>
      </c>
      <c r="EB79" s="679">
        <f t="shared" si="109"/>
        <v>4664</v>
      </c>
      <c r="EC79" s="679">
        <f t="shared" si="110"/>
        <v>4664</v>
      </c>
      <c r="ED79" s="679">
        <f t="shared" si="111"/>
        <v>4664</v>
      </c>
      <c r="EE79" s="679">
        <f t="shared" si="112"/>
        <v>4664</v>
      </c>
      <c r="EF79" s="679">
        <f t="shared" si="113"/>
        <v>4664</v>
      </c>
      <c r="EG79" s="679">
        <f t="shared" si="114"/>
        <v>4664</v>
      </c>
      <c r="EH79" s="679">
        <f t="shared" si="115"/>
        <v>4664</v>
      </c>
      <c r="EI79" s="679">
        <f t="shared" si="116"/>
        <v>4655</v>
      </c>
      <c r="EJ79" s="679">
        <f t="shared" si="117"/>
        <v>4665</v>
      </c>
      <c r="EK79" s="679">
        <f t="shared" si="118"/>
        <v>4665</v>
      </c>
      <c r="EL79" s="679">
        <f t="shared" si="119"/>
        <v>4665</v>
      </c>
      <c r="EM79" s="679">
        <f t="shared" si="120"/>
        <v>4665</v>
      </c>
      <c r="EN79" s="679">
        <f t="shared" si="121"/>
        <v>4665</v>
      </c>
      <c r="EO79" s="679">
        <f t="shared" si="122"/>
        <v>4665</v>
      </c>
      <c r="EP79" s="679">
        <f t="shared" si="123"/>
        <v>4665</v>
      </c>
      <c r="EQ79" s="679">
        <f t="shared" si="124"/>
        <v>4656</v>
      </c>
      <c r="ER79" s="679">
        <f t="shared" si="125"/>
        <v>4666</v>
      </c>
      <c r="ES79" s="679">
        <f t="shared" si="126"/>
        <v>4666</v>
      </c>
      <c r="ET79" s="679">
        <f t="shared" si="127"/>
        <v>4666</v>
      </c>
      <c r="EU79" s="679">
        <f t="shared" si="128"/>
        <v>4666</v>
      </c>
      <c r="EV79" s="679">
        <f t="shared" si="129"/>
        <v>4666</v>
      </c>
      <c r="EW79" s="679">
        <f t="shared" si="130"/>
        <v>4666</v>
      </c>
      <c r="EX79" s="679">
        <f t="shared" si="131"/>
        <v>4666</v>
      </c>
      <c r="EY79" s="679">
        <f t="shared" si="132"/>
        <v>4672</v>
      </c>
    </row>
    <row r="80" spans="2:155" ht="12.75" customHeight="1" x14ac:dyDescent="0.2">
      <c r="B80" s="700" t="str">
        <f>IF(COUNTIF($CK$10:CK80,TRUE)&gt;0,"",INDEX(C_InstallationDescription!$E$226:$E$242,ROWS($A$11:A80)))</f>
        <v/>
      </c>
      <c r="C80" s="581" t="str">
        <f>IF($E80="","",INDEX(C_InstallationDescription!F:F,MATCH($B80,C_InstallationDescription!$E:$E,0)))</f>
        <v/>
      </c>
      <c r="D80" s="581" t="str">
        <f>IF($E80="","",INDEX(C_InstallationDescription!I:I,MATCH($B80,C_InstallationDescription!$E:$E,0)))</f>
        <v/>
      </c>
      <c r="E80" s="581" t="str">
        <f>IF($B80="","",INDEX(C_InstallationDescription!F:F,MATCH($CJ80,C_InstallationDescription!$Q:$Q,0)))</f>
        <v/>
      </c>
      <c r="F80" s="706" t="str">
        <f>IF($E80="","",INDEX(C_InstallationDescription!L:L,MATCH($CJ80,C_InstallationDescription!$Q:$Q,0)))</f>
        <v/>
      </c>
      <c r="G80" s="581" t="str">
        <f>IF($E80="","",INDEX(C_InstallationDescription!M:M,MATCH($CJ80,C_InstallationDescription!$Q:$Q,0)))</f>
        <v/>
      </c>
      <c r="H80" s="581" t="str">
        <f>IF($E80="","",INDEX(C_InstallationDescription!N:N,MATCH($CJ80,C_InstallationDescription!$Q:$Q,0)))</f>
        <v/>
      </c>
      <c r="I80" s="703" t="str">
        <f>IF($E80="","",IF(INDEX(E_SourceStreams!$A:$N,CN80,I$7)="","",INDEX(E_SourceStreams!$A:$N,CN80,I$7)))</f>
        <v/>
      </c>
      <c r="J80" s="703" t="str">
        <f>IF($E80="","",IF(INDEX(E_SourceStreams!$A:$N,CO80,J$7)="","",INDEX(E_SourceStreams!$A:$N,CO80,J$7)))</f>
        <v/>
      </c>
      <c r="K80" s="703" t="str">
        <f>IF($E80="","",IF(INDEX(E_SourceStreams!$A:$N,CP80,K$7)="","",INDEX(E_SourceStreams!$A:$N,CP80,K$7)))</f>
        <v/>
      </c>
      <c r="L80" s="703" t="str">
        <f>IF($E80="","",IF(INDEX(E_SourceStreams!$A:$N,CQ80,L$7)="","",INDEX(E_SourceStreams!$A:$N,CQ80,L$7)))</f>
        <v/>
      </c>
      <c r="M80" s="703" t="str">
        <f>IF($E80="","",IF(INDEX(E_SourceStreams!$A:$N,CR80,M$7)="","",INDEX(E_SourceStreams!$A:$N,CR80,M$7)))</f>
        <v/>
      </c>
      <c r="N80" s="703" t="str">
        <f>IF($E80="","",IF(INDEX(E_SourceStreams!$A:$N,CS80,N$7)="","",INDEX(E_SourceStreams!$A:$N,CS80,N$7)))</f>
        <v/>
      </c>
      <c r="O80" s="703" t="str">
        <f>IF($E80="","",IF(INDEX(E_SourceStreams!$A:$N,CT80,O$7)="","",INDEX(E_SourceStreams!$A:$N,CT80,O$7)))</f>
        <v/>
      </c>
      <c r="P80" s="703" t="str">
        <f>IF($E80="","",IF(INDEX(E_SourceStreams!$A:$N,CU80,P$7)="","",INDEX(E_SourceStreams!$A:$N,CU80,P$7)))</f>
        <v/>
      </c>
      <c r="Q80" s="703" t="str">
        <f>IF($E80="","",IF(INDEX(E_SourceStreams!$A:$N,CV80,Q$7)="","",INDEX(E_SourceStreams!$A:$N,CV80,Q$7)))</f>
        <v/>
      </c>
      <c r="R80" s="703" t="str">
        <f>IF($E80="","",IF(INDEX(E_SourceStreams!$A:$N,CW80,R$7)="","",INDEX(E_SourceStreams!$A:$N,CW80,R$7)))</f>
        <v/>
      </c>
      <c r="S80" s="703" t="str">
        <f>IF($E80="","",IF(INDEX(E_SourceStreams!$A:$N,CX80,S$7)="","",INDEX(E_SourceStreams!$A:$N,CX80,S$7)))</f>
        <v/>
      </c>
      <c r="T80" s="703" t="str">
        <f>IF($E80="","",IF(INDEX(E_SourceStreams!$A:$N,CY80,T$7)="","",INDEX(E_SourceStreams!$A:$N,CY80,T$7)))</f>
        <v/>
      </c>
      <c r="U80" s="703" t="str">
        <f>IF($E80="","",IF(INDEX(E_SourceStreams!$A:$N,CZ80,U$7)="","",INDEX(E_SourceStreams!$A:$N,CZ80,U$7)))</f>
        <v/>
      </c>
      <c r="V80" s="703" t="str">
        <f>IF($E80="","",IF(INDEX(E_SourceStreams!$A:$N,DA80,V$7)="","",INDEX(E_SourceStreams!$A:$N,DA80,V$7)))</f>
        <v/>
      </c>
      <c r="W80" s="704" t="str">
        <f>IF($E80="","",IF(INDEX(E_SourceStreams!$A:$N,DB80,W$7)="","",INDEX(E_SourceStreams!$A:$N,DB80,W$7)))</f>
        <v/>
      </c>
      <c r="X80" s="703" t="str">
        <f>IF($E80="","",IF(INDEX(E_SourceStreams!$A:$N,DC80,X$7)="","",INDEX(E_SourceStreams!$A:$N,DC80,X$7)))</f>
        <v/>
      </c>
      <c r="Y80" s="703" t="str">
        <f>IF($E80="","",IF(INDEX(E_SourceStreams!$A:$N,DD80,Y$7)="","",INDEX(E_SourceStreams!$A:$N,DD80,Y$7)))</f>
        <v/>
      </c>
      <c r="Z80" s="703" t="str">
        <f>IF($E80="","",IF(INDEX(E_SourceStreams!$A:$N,DE80,Z$7)="","",INDEX(E_SourceStreams!$A:$N,DE80,Z$7)))</f>
        <v/>
      </c>
      <c r="AA80" s="703" t="str">
        <f>IF($E80="","",IF(INDEX(E_SourceStreams!$A:$N,DF80,AA$7)="","",INDEX(E_SourceStreams!$A:$N,DF80,AA$7)))</f>
        <v/>
      </c>
      <c r="AB80" s="703" t="str">
        <f>IF($E80="","",IF(INDEX(E_SourceStreams!$A:$N,DG80,AB$7)="","",INDEX(E_SourceStreams!$A:$N,DG80,AB$7)))</f>
        <v/>
      </c>
      <c r="AC80" s="703" t="str">
        <f>IF($E80="","",IF(INDEX(E_SourceStreams!$A:$N,DH80,AC$7)="","",INDEX(E_SourceStreams!$A:$N,DH80,AC$7)))</f>
        <v/>
      </c>
      <c r="AD80" s="703" t="str">
        <f>IF($E80="","",IF(INDEX(E_SourceStreams!$A:$N,DI80,AD$7)="","",INDEX(E_SourceStreams!$A:$N,DI80,AD$7)))</f>
        <v/>
      </c>
      <c r="AE80" s="703" t="str">
        <f>IF($E80="","",IF(INDEX(E_SourceStreams!$A:$N,DJ80,AE$7)="","",INDEX(E_SourceStreams!$A:$N,DJ80,AE$7)))</f>
        <v/>
      </c>
      <c r="AF80" s="703" t="str">
        <f>IF($E80="","",IF(INDEX(E_SourceStreams!$A:$N,DK80,AF$7)="","",INDEX(E_SourceStreams!$A:$N,DK80,AF$7)))</f>
        <v/>
      </c>
      <c r="AG80" s="703" t="str">
        <f>IF($E80="","",IF(INDEX(E_SourceStreams!$A:$N,DL80,AG$7)="","",INDEX(E_SourceStreams!$A:$N,DL80,AG$7)))</f>
        <v/>
      </c>
      <c r="AH80" s="703" t="str">
        <f>IF($E80="","",IF(INDEX(E_SourceStreams!$A:$N,DM80,AH$7)="","",INDEX(E_SourceStreams!$A:$N,DM80,AH$7)))</f>
        <v/>
      </c>
      <c r="AI80" s="703" t="str">
        <f>IF($E80="","",IF(INDEX(E_SourceStreams!$A:$N,DN80,AI$7)="","",INDEX(E_SourceStreams!$A:$N,DN80,AI$7)))</f>
        <v/>
      </c>
      <c r="AJ80" s="703" t="str">
        <f>IF($E80="","",IF(INDEX(E_SourceStreams!$A:$N,DO80,AJ$7)="","",INDEX(E_SourceStreams!$A:$N,DO80,AJ$7)))</f>
        <v/>
      </c>
      <c r="AK80" s="703" t="str">
        <f>IF($E80="","",IF(INDEX(E_SourceStreams!$A:$N,DP80,AK$7)="","",INDEX(E_SourceStreams!$A:$N,DP80,AK$7)))</f>
        <v/>
      </c>
      <c r="AL80" s="703" t="str">
        <f>IF($E80="","",IF(INDEX(E_SourceStreams!$A:$N,DQ80,AL$7)="","",INDEX(E_SourceStreams!$A:$N,DQ80,AL$7)))</f>
        <v/>
      </c>
      <c r="AM80" s="703" t="str">
        <f>IF($E80="","",IF(INDEX(E_SourceStreams!$A:$N,DR80,AM$7)="","",INDEX(E_SourceStreams!$A:$N,DR80,AM$7)))</f>
        <v/>
      </c>
      <c r="AN80" s="703" t="str">
        <f>IF($E80="","",IF(INDEX(E_SourceStreams!$A:$N,DS80,AN$7)="","",INDEX(E_SourceStreams!$A:$N,DS80,AN$7)))</f>
        <v/>
      </c>
      <c r="AO80" s="703" t="str">
        <f>IF($E80="","",IF(INDEX(E_SourceStreams!$A:$N,DT80,AO$7)="","",INDEX(E_SourceStreams!$A:$N,DT80,AO$7)))</f>
        <v/>
      </c>
      <c r="AP80" s="703" t="str">
        <f>IF($E80="","",IF(INDEX(E_SourceStreams!$A:$N,DU80,AP$7)="","",INDEX(E_SourceStreams!$A:$N,DU80,AP$7)))</f>
        <v/>
      </c>
      <c r="AQ80" s="703" t="str">
        <f>IF($E80="","",IF(INDEX(E_SourceStreams!$A:$N,DV80,AQ$7)="","",INDEX(E_SourceStreams!$A:$N,DV80,AQ$7)))</f>
        <v/>
      </c>
      <c r="AR80" s="703" t="str">
        <f>IF($E80="","",IF(INDEX(E_SourceStreams!$A:$N,DW80,AR$7)="","",INDEX(E_SourceStreams!$A:$N,DW80,AR$7)))</f>
        <v/>
      </c>
      <c r="AS80" s="703" t="str">
        <f>IF($E80="","",IF(INDEX(E_SourceStreams!$A:$N,DX80,AS$7)="","",INDEX(E_SourceStreams!$A:$N,DX80,AS$7)))</f>
        <v/>
      </c>
      <c r="AT80" s="703" t="str">
        <f>IF($E80="","",IF(INDEX(E_SourceStreams!$A:$N,DY80,AT$7)="","",INDEX(E_SourceStreams!$A:$N,DY80,AT$7)))</f>
        <v/>
      </c>
      <c r="AU80" s="703" t="str">
        <f>IF($E80="","",IF(INDEX(E_SourceStreams!$A:$N,DZ80,AU$7)="","",INDEX(E_SourceStreams!$A:$N,DZ80,AU$7)))</f>
        <v/>
      </c>
      <c r="AV80" s="703" t="str">
        <f>IF($E80="","",IF(INDEX(E_SourceStreams!$A:$N,EA80,AV$7)="","",INDEX(E_SourceStreams!$A:$N,EA80,AV$7)))</f>
        <v/>
      </c>
      <c r="AW80" s="703" t="str">
        <f>IF($E80="","",IF(INDEX(E_SourceStreams!$A:$N,EB80,AW$7)="","",INDEX(E_SourceStreams!$A:$N,EB80,AW$7)))</f>
        <v/>
      </c>
      <c r="AX80" s="703" t="str">
        <f>IF($E80="","",IF(INDEX(E_SourceStreams!$A:$N,EC80,AX$7)="","",INDEX(E_SourceStreams!$A:$N,EC80,AX$7)))</f>
        <v/>
      </c>
      <c r="AY80" s="703" t="str">
        <f>IF($E80="","",IF(INDEX(E_SourceStreams!$A:$N,ED80,AY$7)="","",INDEX(E_SourceStreams!$A:$N,ED80,AY$7)))</f>
        <v/>
      </c>
      <c r="AZ80" s="703" t="str">
        <f>IF($E80="","",IF(INDEX(E_SourceStreams!$A:$N,EE80,AZ$7)="","",INDEX(E_SourceStreams!$A:$N,EE80,AZ$7)))</f>
        <v/>
      </c>
      <c r="BA80" s="703" t="str">
        <f>IF($E80="","",IF(INDEX(E_SourceStreams!$A:$N,EF80,BA$7)="","",INDEX(E_SourceStreams!$A:$N,EF80,BA$7)))</f>
        <v/>
      </c>
      <c r="BB80" s="703" t="str">
        <f>IF($E80="","",IF(INDEX(E_SourceStreams!$A:$N,EG80,BB$7)="","",INDEX(E_SourceStreams!$A:$N,EG80,BB$7)))</f>
        <v/>
      </c>
      <c r="BC80" s="703" t="str">
        <f>IF($E80="","",IF(INDEX(E_SourceStreams!$A:$N,EH80,BC$7)="","",INDEX(E_SourceStreams!$A:$N,EH80,BC$7)))</f>
        <v/>
      </c>
      <c r="BD80" s="703" t="str">
        <f>IF($E80="","",IF(INDEX(E_SourceStreams!$A:$N,EI80,BD$7)="","",INDEX(E_SourceStreams!$A:$N,EI80,BD$7)))</f>
        <v/>
      </c>
      <c r="BE80" s="703" t="str">
        <f>IF($E80="","",IF(INDEX(E_SourceStreams!$A:$N,EJ80,BE$7)="","",INDEX(E_SourceStreams!$A:$N,EJ80,BE$7)))</f>
        <v/>
      </c>
      <c r="BF80" s="703" t="str">
        <f>IF($E80="","",IF(INDEX(E_SourceStreams!$A:$N,EK80,BF$7)="","",INDEX(E_SourceStreams!$A:$N,EK80,BF$7)))</f>
        <v/>
      </c>
      <c r="BG80" s="703" t="str">
        <f>IF($E80="","",IF(INDEX(E_SourceStreams!$A:$N,EL80,BG$7)="","",INDEX(E_SourceStreams!$A:$N,EL80,BG$7)))</f>
        <v/>
      </c>
      <c r="BH80" s="703" t="str">
        <f>IF($E80="","",IF(INDEX(E_SourceStreams!$A:$N,EM80,BH$7)="","",INDEX(E_SourceStreams!$A:$N,EM80,BH$7)))</f>
        <v/>
      </c>
      <c r="BI80" s="703" t="str">
        <f>IF($E80="","",IF(INDEX(E_SourceStreams!$A:$N,EN80,BI$7)="","",INDEX(E_SourceStreams!$A:$N,EN80,BI$7)))</f>
        <v/>
      </c>
      <c r="BJ80" s="703" t="str">
        <f>IF($E80="","",IF(INDEX(E_SourceStreams!$A:$N,EO80,BJ$7)="","",INDEX(E_SourceStreams!$A:$N,EO80,BJ$7)))</f>
        <v/>
      </c>
      <c r="BK80" s="703" t="str">
        <f>IF($E80="","",IF(INDEX(E_SourceStreams!$A:$N,EP80,BK$7)="","",INDEX(E_SourceStreams!$A:$N,EP80,BK$7)))</f>
        <v/>
      </c>
      <c r="BL80" s="703" t="str">
        <f>IF($E80="","",IF(INDEX(E_SourceStreams!$A:$N,EQ80,BL$7)="","",INDEX(E_SourceStreams!$A:$N,EQ80,BL$7)))</f>
        <v/>
      </c>
      <c r="BM80" s="703" t="str">
        <f>IF($E80="","",IF(INDEX(E_SourceStreams!$A:$N,ER80,BM$7)="","",INDEX(E_SourceStreams!$A:$N,ER80,BM$7)))</f>
        <v/>
      </c>
      <c r="BN80" s="703" t="str">
        <f>IF($E80="","",IF(INDEX(E_SourceStreams!$A:$N,ES80,BN$7)="","",INDEX(E_SourceStreams!$A:$N,ES80,BN$7)))</f>
        <v/>
      </c>
      <c r="BO80" s="703" t="str">
        <f>IF($E80="","",IF(INDEX(E_SourceStreams!$A:$N,ET80,BO$7)="","",INDEX(E_SourceStreams!$A:$N,ET80,BO$7)))</f>
        <v/>
      </c>
      <c r="BP80" s="703" t="str">
        <f>IF($E80="","",IF(INDEX(E_SourceStreams!$A:$N,EU80,BP$7)="","",INDEX(E_SourceStreams!$A:$N,EU80,BP$7)))</f>
        <v/>
      </c>
      <c r="BQ80" s="703" t="str">
        <f>IF($E80="","",IF(INDEX(E_SourceStreams!$A:$N,EV80,BQ$7)="","",INDEX(E_SourceStreams!$A:$N,EV80,BQ$7)))</f>
        <v/>
      </c>
      <c r="BR80" s="703" t="str">
        <f>IF($E80="","",IF(INDEX(E_SourceStreams!$A:$N,EW80,BR$7)="","",INDEX(E_SourceStreams!$A:$N,EW80,BR$7)))</f>
        <v/>
      </c>
      <c r="BS80" s="703" t="str">
        <f>IF($E80="","",IF(INDEX(E_SourceStreams!$A:$N,EX80,BS$7)="","",INDEX(E_SourceStreams!$A:$N,EX80,BS$7)))</f>
        <v/>
      </c>
      <c r="BT80" s="703" t="str">
        <f>IF($E80="","",IF(INDEX(E_SourceStreams!$A:$N,EY80,BT$7)="","",INDEX(E_SourceStreams!$A:$N,EY80,BT$7)))</f>
        <v/>
      </c>
      <c r="BU80" s="625"/>
      <c r="CJ80" s="679" t="str">
        <f t="shared" si="68"/>
        <v>SourceCategory_</v>
      </c>
      <c r="CK80" s="679" t="b">
        <f>INDEX(C_InstallationDescription!$A$226:$A$332,ROWS($CI$11:CI80))="ausblenden"</f>
        <v>1</v>
      </c>
      <c r="CL80" s="679" t="str">
        <f t="shared" si="69"/>
        <v>SourceStreamName_</v>
      </c>
      <c r="CN80" s="679">
        <f t="shared" si="133"/>
        <v>4689</v>
      </c>
      <c r="CO80" s="679">
        <f t="shared" si="70"/>
        <v>4691</v>
      </c>
      <c r="CP80" s="679">
        <f t="shared" si="71"/>
        <v>4693</v>
      </c>
      <c r="CQ80" s="679">
        <f t="shared" si="72"/>
        <v>4695</v>
      </c>
      <c r="CR80" s="679">
        <f t="shared" si="73"/>
        <v>4697</v>
      </c>
      <c r="CS80" s="679">
        <f t="shared" si="74"/>
        <v>4699</v>
      </c>
      <c r="CT80" s="679">
        <f t="shared" si="75"/>
        <v>4701</v>
      </c>
      <c r="CU80" s="679">
        <f t="shared" si="76"/>
        <v>4701</v>
      </c>
      <c r="CV80" s="679">
        <f t="shared" si="77"/>
        <v>4701</v>
      </c>
      <c r="CW80" s="679">
        <f t="shared" si="78"/>
        <v>4701</v>
      </c>
      <c r="CX80" s="679">
        <f t="shared" si="79"/>
        <v>4701</v>
      </c>
      <c r="CY80" s="679">
        <f t="shared" si="80"/>
        <v>4704</v>
      </c>
      <c r="CZ80" s="679">
        <f t="shared" si="81"/>
        <v>4708</v>
      </c>
      <c r="DA80" s="679">
        <f t="shared" si="82"/>
        <v>4709</v>
      </c>
      <c r="DB80" s="679">
        <f t="shared" si="83"/>
        <v>4710</v>
      </c>
      <c r="DC80" s="679">
        <f t="shared" si="84"/>
        <v>4717</v>
      </c>
      <c r="DD80" s="679">
        <f t="shared" si="85"/>
        <v>4727</v>
      </c>
      <c r="DE80" s="679">
        <f t="shared" si="86"/>
        <v>4727</v>
      </c>
      <c r="DF80" s="679">
        <f t="shared" si="87"/>
        <v>4727</v>
      </c>
      <c r="DG80" s="679">
        <f t="shared" si="88"/>
        <v>4727</v>
      </c>
      <c r="DH80" s="679">
        <f t="shared" si="89"/>
        <v>4727</v>
      </c>
      <c r="DI80" s="679">
        <f t="shared" si="90"/>
        <v>4727</v>
      </c>
      <c r="DJ80" s="679">
        <f t="shared" si="91"/>
        <v>4727</v>
      </c>
      <c r="DK80" s="679">
        <f t="shared" si="92"/>
        <v>4718</v>
      </c>
      <c r="DL80" s="679">
        <f t="shared" si="93"/>
        <v>4728</v>
      </c>
      <c r="DM80" s="679">
        <f t="shared" si="94"/>
        <v>4728</v>
      </c>
      <c r="DN80" s="679">
        <f t="shared" si="95"/>
        <v>4728</v>
      </c>
      <c r="DO80" s="679">
        <f t="shared" si="96"/>
        <v>4728</v>
      </c>
      <c r="DP80" s="679">
        <f t="shared" si="97"/>
        <v>4728</v>
      </c>
      <c r="DQ80" s="679">
        <f t="shared" si="98"/>
        <v>4728</v>
      </c>
      <c r="DR80" s="679">
        <f t="shared" si="99"/>
        <v>4728</v>
      </c>
      <c r="DS80" s="679">
        <f t="shared" si="100"/>
        <v>4719</v>
      </c>
      <c r="DT80" s="679">
        <f t="shared" si="101"/>
        <v>4729</v>
      </c>
      <c r="DU80" s="679">
        <f t="shared" si="102"/>
        <v>4729</v>
      </c>
      <c r="DV80" s="679">
        <f t="shared" si="103"/>
        <v>4729</v>
      </c>
      <c r="DW80" s="679">
        <f t="shared" si="104"/>
        <v>4729</v>
      </c>
      <c r="DX80" s="679">
        <f t="shared" si="105"/>
        <v>4729</v>
      </c>
      <c r="DY80" s="679">
        <f t="shared" si="106"/>
        <v>4729</v>
      </c>
      <c r="DZ80" s="679">
        <f t="shared" si="107"/>
        <v>4729</v>
      </c>
      <c r="EA80" s="679">
        <f t="shared" si="108"/>
        <v>4720</v>
      </c>
      <c r="EB80" s="679">
        <f t="shared" si="109"/>
        <v>4730</v>
      </c>
      <c r="EC80" s="679">
        <f t="shared" si="110"/>
        <v>4730</v>
      </c>
      <c r="ED80" s="679">
        <f t="shared" si="111"/>
        <v>4730</v>
      </c>
      <c r="EE80" s="679">
        <f t="shared" si="112"/>
        <v>4730</v>
      </c>
      <c r="EF80" s="679">
        <f t="shared" si="113"/>
        <v>4730</v>
      </c>
      <c r="EG80" s="679">
        <f t="shared" si="114"/>
        <v>4730</v>
      </c>
      <c r="EH80" s="679">
        <f t="shared" si="115"/>
        <v>4730</v>
      </c>
      <c r="EI80" s="679">
        <f t="shared" si="116"/>
        <v>4721</v>
      </c>
      <c r="EJ80" s="679">
        <f t="shared" si="117"/>
        <v>4731</v>
      </c>
      <c r="EK80" s="679">
        <f t="shared" si="118"/>
        <v>4731</v>
      </c>
      <c r="EL80" s="679">
        <f t="shared" si="119"/>
        <v>4731</v>
      </c>
      <c r="EM80" s="679">
        <f t="shared" si="120"/>
        <v>4731</v>
      </c>
      <c r="EN80" s="679">
        <f t="shared" si="121"/>
        <v>4731</v>
      </c>
      <c r="EO80" s="679">
        <f t="shared" si="122"/>
        <v>4731</v>
      </c>
      <c r="EP80" s="679">
        <f t="shared" si="123"/>
        <v>4731</v>
      </c>
      <c r="EQ80" s="679">
        <f t="shared" si="124"/>
        <v>4722</v>
      </c>
      <c r="ER80" s="679">
        <f t="shared" si="125"/>
        <v>4732</v>
      </c>
      <c r="ES80" s="679">
        <f t="shared" si="126"/>
        <v>4732</v>
      </c>
      <c r="ET80" s="679">
        <f t="shared" si="127"/>
        <v>4732</v>
      </c>
      <c r="EU80" s="679">
        <f t="shared" si="128"/>
        <v>4732</v>
      </c>
      <c r="EV80" s="679">
        <f t="shared" si="129"/>
        <v>4732</v>
      </c>
      <c r="EW80" s="679">
        <f t="shared" si="130"/>
        <v>4732</v>
      </c>
      <c r="EX80" s="679">
        <f t="shared" si="131"/>
        <v>4732</v>
      </c>
      <c r="EY80" s="679">
        <f t="shared" si="132"/>
        <v>4738</v>
      </c>
    </row>
    <row r="81" spans="1:204" ht="12.75" customHeight="1" x14ac:dyDescent="0.2">
      <c r="B81" s="700" t="str">
        <f>IF(COUNTIF($CK$10:CK81,TRUE)&gt;0,"",INDEX(C_InstallationDescription!$E$226:$E$242,ROWS($A$11:A81)))</f>
        <v/>
      </c>
      <c r="C81" s="581" t="str">
        <f>IF($E81="","",INDEX(C_InstallationDescription!F:F,MATCH($B81,C_InstallationDescription!$E:$E,0)))</f>
        <v/>
      </c>
      <c r="D81" s="581" t="str">
        <f>IF($E81="","",INDEX(C_InstallationDescription!I:I,MATCH($B81,C_InstallationDescription!$E:$E,0)))</f>
        <v/>
      </c>
      <c r="E81" s="581" t="str">
        <f>IF($B81="","",INDEX(C_InstallationDescription!F:F,MATCH($CJ81,C_InstallationDescription!$Q:$Q,0)))</f>
        <v/>
      </c>
      <c r="F81" s="706" t="str">
        <f>IF($E81="","",INDEX(C_InstallationDescription!L:L,MATCH($CJ81,C_InstallationDescription!$Q:$Q,0)))</f>
        <v/>
      </c>
      <c r="G81" s="581" t="str">
        <f>IF($E81="","",INDEX(C_InstallationDescription!M:M,MATCH($CJ81,C_InstallationDescription!$Q:$Q,0)))</f>
        <v/>
      </c>
      <c r="H81" s="581" t="str">
        <f>IF($E81="","",INDEX(C_InstallationDescription!N:N,MATCH($CJ81,C_InstallationDescription!$Q:$Q,0)))</f>
        <v/>
      </c>
      <c r="I81" s="703" t="str">
        <f>IF($E81="","",IF(INDEX(E_SourceStreams!$A:$N,CN81,I$7)="","",INDEX(E_SourceStreams!$A:$N,CN81,I$7)))</f>
        <v/>
      </c>
      <c r="J81" s="703" t="str">
        <f>IF($E81="","",IF(INDEX(E_SourceStreams!$A:$N,CO81,J$7)="","",INDEX(E_SourceStreams!$A:$N,CO81,J$7)))</f>
        <v/>
      </c>
      <c r="K81" s="703" t="str">
        <f>IF($E81="","",IF(INDEX(E_SourceStreams!$A:$N,CP81,K$7)="","",INDEX(E_SourceStreams!$A:$N,CP81,K$7)))</f>
        <v/>
      </c>
      <c r="L81" s="703" t="str">
        <f>IF($E81="","",IF(INDEX(E_SourceStreams!$A:$N,CQ81,L$7)="","",INDEX(E_SourceStreams!$A:$N,CQ81,L$7)))</f>
        <v/>
      </c>
      <c r="M81" s="703" t="str">
        <f>IF($E81="","",IF(INDEX(E_SourceStreams!$A:$N,CR81,M$7)="","",INDEX(E_SourceStreams!$A:$N,CR81,M$7)))</f>
        <v/>
      </c>
      <c r="N81" s="703" t="str">
        <f>IF($E81="","",IF(INDEX(E_SourceStreams!$A:$N,CS81,N$7)="","",INDEX(E_SourceStreams!$A:$N,CS81,N$7)))</f>
        <v/>
      </c>
      <c r="O81" s="703" t="str">
        <f>IF($E81="","",IF(INDEX(E_SourceStreams!$A:$N,CT81,O$7)="","",INDEX(E_SourceStreams!$A:$N,CT81,O$7)))</f>
        <v/>
      </c>
      <c r="P81" s="703" t="str">
        <f>IF($E81="","",IF(INDEX(E_SourceStreams!$A:$N,CU81,P$7)="","",INDEX(E_SourceStreams!$A:$N,CU81,P$7)))</f>
        <v/>
      </c>
      <c r="Q81" s="703" t="str">
        <f>IF($E81="","",IF(INDEX(E_SourceStreams!$A:$N,CV81,Q$7)="","",INDEX(E_SourceStreams!$A:$N,CV81,Q$7)))</f>
        <v/>
      </c>
      <c r="R81" s="703" t="str">
        <f>IF($E81="","",IF(INDEX(E_SourceStreams!$A:$N,CW81,R$7)="","",INDEX(E_SourceStreams!$A:$N,CW81,R$7)))</f>
        <v/>
      </c>
      <c r="S81" s="703" t="str">
        <f>IF($E81="","",IF(INDEX(E_SourceStreams!$A:$N,CX81,S$7)="","",INDEX(E_SourceStreams!$A:$N,CX81,S$7)))</f>
        <v/>
      </c>
      <c r="T81" s="703" t="str">
        <f>IF($E81="","",IF(INDEX(E_SourceStreams!$A:$N,CY81,T$7)="","",INDEX(E_SourceStreams!$A:$N,CY81,T$7)))</f>
        <v/>
      </c>
      <c r="U81" s="703" t="str">
        <f>IF($E81="","",IF(INDEX(E_SourceStreams!$A:$N,CZ81,U$7)="","",INDEX(E_SourceStreams!$A:$N,CZ81,U$7)))</f>
        <v/>
      </c>
      <c r="V81" s="703" t="str">
        <f>IF($E81="","",IF(INDEX(E_SourceStreams!$A:$N,DA81,V$7)="","",INDEX(E_SourceStreams!$A:$N,DA81,V$7)))</f>
        <v/>
      </c>
      <c r="W81" s="704" t="str">
        <f>IF($E81="","",IF(INDEX(E_SourceStreams!$A:$N,DB81,W$7)="","",INDEX(E_SourceStreams!$A:$N,DB81,W$7)))</f>
        <v/>
      </c>
      <c r="X81" s="703" t="str">
        <f>IF($E81="","",IF(INDEX(E_SourceStreams!$A:$N,DC81,X$7)="","",INDEX(E_SourceStreams!$A:$N,DC81,X$7)))</f>
        <v/>
      </c>
      <c r="Y81" s="703" t="str">
        <f>IF($E81="","",IF(INDEX(E_SourceStreams!$A:$N,DD81,Y$7)="","",INDEX(E_SourceStreams!$A:$N,DD81,Y$7)))</f>
        <v/>
      </c>
      <c r="Z81" s="703" t="str">
        <f>IF($E81="","",IF(INDEX(E_SourceStreams!$A:$N,DE81,Z$7)="","",INDEX(E_SourceStreams!$A:$N,DE81,Z$7)))</f>
        <v/>
      </c>
      <c r="AA81" s="703" t="str">
        <f>IF($E81="","",IF(INDEX(E_SourceStreams!$A:$N,DF81,AA$7)="","",INDEX(E_SourceStreams!$A:$N,DF81,AA$7)))</f>
        <v/>
      </c>
      <c r="AB81" s="703" t="str">
        <f>IF($E81="","",IF(INDEX(E_SourceStreams!$A:$N,DG81,AB$7)="","",INDEX(E_SourceStreams!$A:$N,DG81,AB$7)))</f>
        <v/>
      </c>
      <c r="AC81" s="703" t="str">
        <f>IF($E81="","",IF(INDEX(E_SourceStreams!$A:$N,DH81,AC$7)="","",INDEX(E_SourceStreams!$A:$N,DH81,AC$7)))</f>
        <v/>
      </c>
      <c r="AD81" s="703" t="str">
        <f>IF($E81="","",IF(INDEX(E_SourceStreams!$A:$N,DI81,AD$7)="","",INDEX(E_SourceStreams!$A:$N,DI81,AD$7)))</f>
        <v/>
      </c>
      <c r="AE81" s="703" t="str">
        <f>IF($E81="","",IF(INDEX(E_SourceStreams!$A:$N,DJ81,AE$7)="","",INDEX(E_SourceStreams!$A:$N,DJ81,AE$7)))</f>
        <v/>
      </c>
      <c r="AF81" s="703" t="str">
        <f>IF($E81="","",IF(INDEX(E_SourceStreams!$A:$N,DK81,AF$7)="","",INDEX(E_SourceStreams!$A:$N,DK81,AF$7)))</f>
        <v/>
      </c>
      <c r="AG81" s="703" t="str">
        <f>IF($E81="","",IF(INDEX(E_SourceStreams!$A:$N,DL81,AG$7)="","",INDEX(E_SourceStreams!$A:$N,DL81,AG$7)))</f>
        <v/>
      </c>
      <c r="AH81" s="703" t="str">
        <f>IF($E81="","",IF(INDEX(E_SourceStreams!$A:$N,DM81,AH$7)="","",INDEX(E_SourceStreams!$A:$N,DM81,AH$7)))</f>
        <v/>
      </c>
      <c r="AI81" s="703" t="str">
        <f>IF($E81="","",IF(INDEX(E_SourceStreams!$A:$N,DN81,AI$7)="","",INDEX(E_SourceStreams!$A:$N,DN81,AI$7)))</f>
        <v/>
      </c>
      <c r="AJ81" s="703" t="str">
        <f>IF($E81="","",IF(INDEX(E_SourceStreams!$A:$N,DO81,AJ$7)="","",INDEX(E_SourceStreams!$A:$N,DO81,AJ$7)))</f>
        <v/>
      </c>
      <c r="AK81" s="703" t="str">
        <f>IF($E81="","",IF(INDEX(E_SourceStreams!$A:$N,DP81,AK$7)="","",INDEX(E_SourceStreams!$A:$N,DP81,AK$7)))</f>
        <v/>
      </c>
      <c r="AL81" s="703" t="str">
        <f>IF($E81="","",IF(INDEX(E_SourceStreams!$A:$N,DQ81,AL$7)="","",INDEX(E_SourceStreams!$A:$N,DQ81,AL$7)))</f>
        <v/>
      </c>
      <c r="AM81" s="703" t="str">
        <f>IF($E81="","",IF(INDEX(E_SourceStreams!$A:$N,DR81,AM$7)="","",INDEX(E_SourceStreams!$A:$N,DR81,AM$7)))</f>
        <v/>
      </c>
      <c r="AN81" s="703" t="str">
        <f>IF($E81="","",IF(INDEX(E_SourceStreams!$A:$N,DS81,AN$7)="","",INDEX(E_SourceStreams!$A:$N,DS81,AN$7)))</f>
        <v/>
      </c>
      <c r="AO81" s="703" t="str">
        <f>IF($E81="","",IF(INDEX(E_SourceStreams!$A:$N,DT81,AO$7)="","",INDEX(E_SourceStreams!$A:$N,DT81,AO$7)))</f>
        <v/>
      </c>
      <c r="AP81" s="703" t="str">
        <f>IF($E81="","",IF(INDEX(E_SourceStreams!$A:$N,DU81,AP$7)="","",INDEX(E_SourceStreams!$A:$N,DU81,AP$7)))</f>
        <v/>
      </c>
      <c r="AQ81" s="703" t="str">
        <f>IF($E81="","",IF(INDEX(E_SourceStreams!$A:$N,DV81,AQ$7)="","",INDEX(E_SourceStreams!$A:$N,DV81,AQ$7)))</f>
        <v/>
      </c>
      <c r="AR81" s="703" t="str">
        <f>IF($E81="","",IF(INDEX(E_SourceStreams!$A:$N,DW81,AR$7)="","",INDEX(E_SourceStreams!$A:$N,DW81,AR$7)))</f>
        <v/>
      </c>
      <c r="AS81" s="703" t="str">
        <f>IF($E81="","",IF(INDEX(E_SourceStreams!$A:$N,DX81,AS$7)="","",INDEX(E_SourceStreams!$A:$N,DX81,AS$7)))</f>
        <v/>
      </c>
      <c r="AT81" s="703" t="str">
        <f>IF($E81="","",IF(INDEX(E_SourceStreams!$A:$N,DY81,AT$7)="","",INDEX(E_SourceStreams!$A:$N,DY81,AT$7)))</f>
        <v/>
      </c>
      <c r="AU81" s="703" t="str">
        <f>IF($E81="","",IF(INDEX(E_SourceStreams!$A:$N,DZ81,AU$7)="","",INDEX(E_SourceStreams!$A:$N,DZ81,AU$7)))</f>
        <v/>
      </c>
      <c r="AV81" s="703" t="str">
        <f>IF($E81="","",IF(INDEX(E_SourceStreams!$A:$N,EA81,AV$7)="","",INDEX(E_SourceStreams!$A:$N,EA81,AV$7)))</f>
        <v/>
      </c>
      <c r="AW81" s="703" t="str">
        <f>IF($E81="","",IF(INDEX(E_SourceStreams!$A:$N,EB81,AW$7)="","",INDEX(E_SourceStreams!$A:$N,EB81,AW$7)))</f>
        <v/>
      </c>
      <c r="AX81" s="703" t="str">
        <f>IF($E81="","",IF(INDEX(E_SourceStreams!$A:$N,EC81,AX$7)="","",INDEX(E_SourceStreams!$A:$N,EC81,AX$7)))</f>
        <v/>
      </c>
      <c r="AY81" s="703" t="str">
        <f>IF($E81="","",IF(INDEX(E_SourceStreams!$A:$N,ED81,AY$7)="","",INDEX(E_SourceStreams!$A:$N,ED81,AY$7)))</f>
        <v/>
      </c>
      <c r="AZ81" s="703" t="str">
        <f>IF($E81="","",IF(INDEX(E_SourceStreams!$A:$N,EE81,AZ$7)="","",INDEX(E_SourceStreams!$A:$N,EE81,AZ$7)))</f>
        <v/>
      </c>
      <c r="BA81" s="703" t="str">
        <f>IF($E81="","",IF(INDEX(E_SourceStreams!$A:$N,EF81,BA$7)="","",INDEX(E_SourceStreams!$A:$N,EF81,BA$7)))</f>
        <v/>
      </c>
      <c r="BB81" s="703" t="str">
        <f>IF($E81="","",IF(INDEX(E_SourceStreams!$A:$N,EG81,BB$7)="","",INDEX(E_SourceStreams!$A:$N,EG81,BB$7)))</f>
        <v/>
      </c>
      <c r="BC81" s="703" t="str">
        <f>IF($E81="","",IF(INDEX(E_SourceStreams!$A:$N,EH81,BC$7)="","",INDEX(E_SourceStreams!$A:$N,EH81,BC$7)))</f>
        <v/>
      </c>
      <c r="BD81" s="703" t="str">
        <f>IF($E81="","",IF(INDEX(E_SourceStreams!$A:$N,EI81,BD$7)="","",INDEX(E_SourceStreams!$A:$N,EI81,BD$7)))</f>
        <v/>
      </c>
      <c r="BE81" s="703" t="str">
        <f>IF($E81="","",IF(INDEX(E_SourceStreams!$A:$N,EJ81,BE$7)="","",INDEX(E_SourceStreams!$A:$N,EJ81,BE$7)))</f>
        <v/>
      </c>
      <c r="BF81" s="703" t="str">
        <f>IF($E81="","",IF(INDEX(E_SourceStreams!$A:$N,EK81,BF$7)="","",INDEX(E_SourceStreams!$A:$N,EK81,BF$7)))</f>
        <v/>
      </c>
      <c r="BG81" s="703" t="str">
        <f>IF($E81="","",IF(INDEX(E_SourceStreams!$A:$N,EL81,BG$7)="","",INDEX(E_SourceStreams!$A:$N,EL81,BG$7)))</f>
        <v/>
      </c>
      <c r="BH81" s="703" t="str">
        <f>IF($E81="","",IF(INDEX(E_SourceStreams!$A:$N,EM81,BH$7)="","",INDEX(E_SourceStreams!$A:$N,EM81,BH$7)))</f>
        <v/>
      </c>
      <c r="BI81" s="703" t="str">
        <f>IF($E81="","",IF(INDEX(E_SourceStreams!$A:$N,EN81,BI$7)="","",INDEX(E_SourceStreams!$A:$N,EN81,BI$7)))</f>
        <v/>
      </c>
      <c r="BJ81" s="703" t="str">
        <f>IF($E81="","",IF(INDEX(E_SourceStreams!$A:$N,EO81,BJ$7)="","",INDEX(E_SourceStreams!$A:$N,EO81,BJ$7)))</f>
        <v/>
      </c>
      <c r="BK81" s="703" t="str">
        <f>IF($E81="","",IF(INDEX(E_SourceStreams!$A:$N,EP81,BK$7)="","",INDEX(E_SourceStreams!$A:$N,EP81,BK$7)))</f>
        <v/>
      </c>
      <c r="BL81" s="703" t="str">
        <f>IF($E81="","",IF(INDEX(E_SourceStreams!$A:$N,EQ81,BL$7)="","",INDEX(E_SourceStreams!$A:$N,EQ81,BL$7)))</f>
        <v/>
      </c>
      <c r="BM81" s="703" t="str">
        <f>IF($E81="","",IF(INDEX(E_SourceStreams!$A:$N,ER81,BM$7)="","",INDEX(E_SourceStreams!$A:$N,ER81,BM$7)))</f>
        <v/>
      </c>
      <c r="BN81" s="703" t="str">
        <f>IF($E81="","",IF(INDEX(E_SourceStreams!$A:$N,ES81,BN$7)="","",INDEX(E_SourceStreams!$A:$N,ES81,BN$7)))</f>
        <v/>
      </c>
      <c r="BO81" s="703" t="str">
        <f>IF($E81="","",IF(INDEX(E_SourceStreams!$A:$N,ET81,BO$7)="","",INDEX(E_SourceStreams!$A:$N,ET81,BO$7)))</f>
        <v/>
      </c>
      <c r="BP81" s="703" t="str">
        <f>IF($E81="","",IF(INDEX(E_SourceStreams!$A:$N,EU81,BP$7)="","",INDEX(E_SourceStreams!$A:$N,EU81,BP$7)))</f>
        <v/>
      </c>
      <c r="BQ81" s="703" t="str">
        <f>IF($E81="","",IF(INDEX(E_SourceStreams!$A:$N,EV81,BQ$7)="","",INDEX(E_SourceStreams!$A:$N,EV81,BQ$7)))</f>
        <v/>
      </c>
      <c r="BR81" s="703" t="str">
        <f>IF($E81="","",IF(INDEX(E_SourceStreams!$A:$N,EW81,BR$7)="","",INDEX(E_SourceStreams!$A:$N,EW81,BR$7)))</f>
        <v/>
      </c>
      <c r="BS81" s="703" t="str">
        <f>IF($E81="","",IF(INDEX(E_SourceStreams!$A:$N,EX81,BS$7)="","",INDEX(E_SourceStreams!$A:$N,EX81,BS$7)))</f>
        <v/>
      </c>
      <c r="BT81" s="703" t="str">
        <f>IF($E81="","",IF(INDEX(E_SourceStreams!$A:$N,EY81,BT$7)="","",INDEX(E_SourceStreams!$A:$N,EY81,BT$7)))</f>
        <v/>
      </c>
      <c r="BU81" s="625"/>
      <c r="CJ81" s="679" t="str">
        <f t="shared" si="68"/>
        <v>SourceCategory_</v>
      </c>
      <c r="CK81" s="679" t="b">
        <f>INDEX(C_InstallationDescription!$A$226:$A$332,ROWS($CI$11:CI81))="ausblenden"</f>
        <v>1</v>
      </c>
      <c r="CL81" s="679" t="str">
        <f t="shared" si="69"/>
        <v>SourceStreamName_</v>
      </c>
      <c r="CN81" s="679">
        <f t="shared" si="133"/>
        <v>4755</v>
      </c>
      <c r="CO81" s="679">
        <f t="shared" si="70"/>
        <v>4757</v>
      </c>
      <c r="CP81" s="679">
        <f t="shared" si="71"/>
        <v>4759</v>
      </c>
      <c r="CQ81" s="679">
        <f t="shared" si="72"/>
        <v>4761</v>
      </c>
      <c r="CR81" s="679">
        <f t="shared" si="73"/>
        <v>4763</v>
      </c>
      <c r="CS81" s="679">
        <f t="shared" si="74"/>
        <v>4765</v>
      </c>
      <c r="CT81" s="679">
        <f t="shared" si="75"/>
        <v>4767</v>
      </c>
      <c r="CU81" s="679">
        <f t="shared" si="76"/>
        <v>4767</v>
      </c>
      <c r="CV81" s="679">
        <f t="shared" si="77"/>
        <v>4767</v>
      </c>
      <c r="CW81" s="679">
        <f t="shared" si="78"/>
        <v>4767</v>
      </c>
      <c r="CX81" s="679">
        <f t="shared" si="79"/>
        <v>4767</v>
      </c>
      <c r="CY81" s="679">
        <f t="shared" si="80"/>
        <v>4770</v>
      </c>
      <c r="CZ81" s="679">
        <f t="shared" si="81"/>
        <v>4774</v>
      </c>
      <c r="DA81" s="679">
        <f t="shared" si="82"/>
        <v>4775</v>
      </c>
      <c r="DB81" s="679">
        <f t="shared" si="83"/>
        <v>4776</v>
      </c>
      <c r="DC81" s="679">
        <f t="shared" si="84"/>
        <v>4783</v>
      </c>
      <c r="DD81" s="679">
        <f t="shared" si="85"/>
        <v>4793</v>
      </c>
      <c r="DE81" s="679">
        <f t="shared" si="86"/>
        <v>4793</v>
      </c>
      <c r="DF81" s="679">
        <f t="shared" si="87"/>
        <v>4793</v>
      </c>
      <c r="DG81" s="679">
        <f t="shared" si="88"/>
        <v>4793</v>
      </c>
      <c r="DH81" s="679">
        <f t="shared" si="89"/>
        <v>4793</v>
      </c>
      <c r="DI81" s="679">
        <f t="shared" si="90"/>
        <v>4793</v>
      </c>
      <c r="DJ81" s="679">
        <f t="shared" si="91"/>
        <v>4793</v>
      </c>
      <c r="DK81" s="679">
        <f t="shared" si="92"/>
        <v>4784</v>
      </c>
      <c r="DL81" s="679">
        <f t="shared" si="93"/>
        <v>4794</v>
      </c>
      <c r="DM81" s="679">
        <f t="shared" si="94"/>
        <v>4794</v>
      </c>
      <c r="DN81" s="679">
        <f t="shared" si="95"/>
        <v>4794</v>
      </c>
      <c r="DO81" s="679">
        <f t="shared" si="96"/>
        <v>4794</v>
      </c>
      <c r="DP81" s="679">
        <f t="shared" si="97"/>
        <v>4794</v>
      </c>
      <c r="DQ81" s="679">
        <f t="shared" si="98"/>
        <v>4794</v>
      </c>
      <c r="DR81" s="679">
        <f t="shared" si="99"/>
        <v>4794</v>
      </c>
      <c r="DS81" s="679">
        <f t="shared" si="100"/>
        <v>4785</v>
      </c>
      <c r="DT81" s="679">
        <f t="shared" si="101"/>
        <v>4795</v>
      </c>
      <c r="DU81" s="679">
        <f t="shared" si="102"/>
        <v>4795</v>
      </c>
      <c r="DV81" s="679">
        <f t="shared" si="103"/>
        <v>4795</v>
      </c>
      <c r="DW81" s="679">
        <f t="shared" si="104"/>
        <v>4795</v>
      </c>
      <c r="DX81" s="679">
        <f t="shared" si="105"/>
        <v>4795</v>
      </c>
      <c r="DY81" s="679">
        <f t="shared" si="106"/>
        <v>4795</v>
      </c>
      <c r="DZ81" s="679">
        <f t="shared" si="107"/>
        <v>4795</v>
      </c>
      <c r="EA81" s="679">
        <f t="shared" si="108"/>
        <v>4786</v>
      </c>
      <c r="EB81" s="679">
        <f t="shared" si="109"/>
        <v>4796</v>
      </c>
      <c r="EC81" s="679">
        <f t="shared" si="110"/>
        <v>4796</v>
      </c>
      <c r="ED81" s="679">
        <f t="shared" si="111"/>
        <v>4796</v>
      </c>
      <c r="EE81" s="679">
        <f t="shared" si="112"/>
        <v>4796</v>
      </c>
      <c r="EF81" s="679">
        <f t="shared" si="113"/>
        <v>4796</v>
      </c>
      <c r="EG81" s="679">
        <f t="shared" si="114"/>
        <v>4796</v>
      </c>
      <c r="EH81" s="679">
        <f t="shared" si="115"/>
        <v>4796</v>
      </c>
      <c r="EI81" s="679">
        <f t="shared" si="116"/>
        <v>4787</v>
      </c>
      <c r="EJ81" s="679">
        <f t="shared" si="117"/>
        <v>4797</v>
      </c>
      <c r="EK81" s="679">
        <f t="shared" si="118"/>
        <v>4797</v>
      </c>
      <c r="EL81" s="679">
        <f t="shared" si="119"/>
        <v>4797</v>
      </c>
      <c r="EM81" s="679">
        <f t="shared" si="120"/>
        <v>4797</v>
      </c>
      <c r="EN81" s="679">
        <f t="shared" si="121"/>
        <v>4797</v>
      </c>
      <c r="EO81" s="679">
        <f t="shared" si="122"/>
        <v>4797</v>
      </c>
      <c r="EP81" s="679">
        <f t="shared" si="123"/>
        <v>4797</v>
      </c>
      <c r="EQ81" s="679">
        <f t="shared" si="124"/>
        <v>4788</v>
      </c>
      <c r="ER81" s="679">
        <f t="shared" si="125"/>
        <v>4798</v>
      </c>
      <c r="ES81" s="679">
        <f t="shared" si="126"/>
        <v>4798</v>
      </c>
      <c r="ET81" s="679">
        <f t="shared" si="127"/>
        <v>4798</v>
      </c>
      <c r="EU81" s="679">
        <f t="shared" si="128"/>
        <v>4798</v>
      </c>
      <c r="EV81" s="679">
        <f t="shared" si="129"/>
        <v>4798</v>
      </c>
      <c r="EW81" s="679">
        <f t="shared" si="130"/>
        <v>4798</v>
      </c>
      <c r="EX81" s="679">
        <f t="shared" si="131"/>
        <v>4798</v>
      </c>
      <c r="EY81" s="679">
        <f t="shared" si="132"/>
        <v>4804</v>
      </c>
    </row>
    <row r="82" spans="1:204" ht="12.75" customHeight="1" x14ac:dyDescent="0.2">
      <c r="B82" s="700" t="str">
        <f>IF(COUNTIF($CK$10:CK82,TRUE)&gt;0,"",INDEX(C_InstallationDescription!$E$226:$E$242,ROWS($A$11:A82)))</f>
        <v/>
      </c>
      <c r="C82" s="581" t="str">
        <f>IF($E82="","",INDEX(C_InstallationDescription!F:F,MATCH($B82,C_InstallationDescription!$E:$E,0)))</f>
        <v/>
      </c>
      <c r="D82" s="581" t="str">
        <f>IF($E82="","",INDEX(C_InstallationDescription!I:I,MATCH($B82,C_InstallationDescription!$E:$E,0)))</f>
        <v/>
      </c>
      <c r="E82" s="581" t="str">
        <f>IF($B82="","",INDEX(C_InstallationDescription!F:F,MATCH($CJ82,C_InstallationDescription!$Q:$Q,0)))</f>
        <v/>
      </c>
      <c r="F82" s="706" t="str">
        <f>IF($E82="","",INDEX(C_InstallationDescription!L:L,MATCH($CJ82,C_InstallationDescription!$Q:$Q,0)))</f>
        <v/>
      </c>
      <c r="G82" s="581" t="str">
        <f>IF($E82="","",INDEX(C_InstallationDescription!M:M,MATCH($CJ82,C_InstallationDescription!$Q:$Q,0)))</f>
        <v/>
      </c>
      <c r="H82" s="581" t="str">
        <f>IF($E82="","",INDEX(C_InstallationDescription!N:N,MATCH($CJ82,C_InstallationDescription!$Q:$Q,0)))</f>
        <v/>
      </c>
      <c r="I82" s="703" t="str">
        <f>IF($E82="","",IF(INDEX(E_SourceStreams!$A:$N,CN82,I$7)="","",INDEX(E_SourceStreams!$A:$N,CN82,I$7)))</f>
        <v/>
      </c>
      <c r="J82" s="703" t="str">
        <f>IF($E82="","",IF(INDEX(E_SourceStreams!$A:$N,CO82,J$7)="","",INDEX(E_SourceStreams!$A:$N,CO82,J$7)))</f>
        <v/>
      </c>
      <c r="K82" s="703" t="str">
        <f>IF($E82="","",IF(INDEX(E_SourceStreams!$A:$N,CP82,K$7)="","",INDEX(E_SourceStreams!$A:$N,CP82,K$7)))</f>
        <v/>
      </c>
      <c r="L82" s="703" t="str">
        <f>IF($E82="","",IF(INDEX(E_SourceStreams!$A:$N,CQ82,L$7)="","",INDEX(E_SourceStreams!$A:$N,CQ82,L$7)))</f>
        <v/>
      </c>
      <c r="M82" s="703" t="str">
        <f>IF($E82="","",IF(INDEX(E_SourceStreams!$A:$N,CR82,M$7)="","",INDEX(E_SourceStreams!$A:$N,CR82,M$7)))</f>
        <v/>
      </c>
      <c r="N82" s="703" t="str">
        <f>IF($E82="","",IF(INDEX(E_SourceStreams!$A:$N,CS82,N$7)="","",INDEX(E_SourceStreams!$A:$N,CS82,N$7)))</f>
        <v/>
      </c>
      <c r="O82" s="703" t="str">
        <f>IF($E82="","",IF(INDEX(E_SourceStreams!$A:$N,CT82,O$7)="","",INDEX(E_SourceStreams!$A:$N,CT82,O$7)))</f>
        <v/>
      </c>
      <c r="P82" s="703" t="str">
        <f>IF($E82="","",IF(INDEX(E_SourceStreams!$A:$N,CU82,P$7)="","",INDEX(E_SourceStreams!$A:$N,CU82,P$7)))</f>
        <v/>
      </c>
      <c r="Q82" s="703" t="str">
        <f>IF($E82="","",IF(INDEX(E_SourceStreams!$A:$N,CV82,Q$7)="","",INDEX(E_SourceStreams!$A:$N,CV82,Q$7)))</f>
        <v/>
      </c>
      <c r="R82" s="703" t="str">
        <f>IF($E82="","",IF(INDEX(E_SourceStreams!$A:$N,CW82,R$7)="","",INDEX(E_SourceStreams!$A:$N,CW82,R$7)))</f>
        <v/>
      </c>
      <c r="S82" s="703" t="str">
        <f>IF($E82="","",IF(INDEX(E_SourceStreams!$A:$N,CX82,S$7)="","",INDEX(E_SourceStreams!$A:$N,CX82,S$7)))</f>
        <v/>
      </c>
      <c r="T82" s="703" t="str">
        <f>IF($E82="","",IF(INDEX(E_SourceStreams!$A:$N,CY82,T$7)="","",INDEX(E_SourceStreams!$A:$N,CY82,T$7)))</f>
        <v/>
      </c>
      <c r="U82" s="703" t="str">
        <f>IF($E82="","",IF(INDEX(E_SourceStreams!$A:$N,CZ82,U$7)="","",INDEX(E_SourceStreams!$A:$N,CZ82,U$7)))</f>
        <v/>
      </c>
      <c r="V82" s="703" t="str">
        <f>IF($E82="","",IF(INDEX(E_SourceStreams!$A:$N,DA82,V$7)="","",INDEX(E_SourceStreams!$A:$N,DA82,V$7)))</f>
        <v/>
      </c>
      <c r="W82" s="704" t="str">
        <f>IF($E82="","",IF(INDEX(E_SourceStreams!$A:$N,DB82,W$7)="","",INDEX(E_SourceStreams!$A:$N,DB82,W$7)))</f>
        <v/>
      </c>
      <c r="X82" s="703" t="str">
        <f>IF($E82="","",IF(INDEX(E_SourceStreams!$A:$N,DC82,X$7)="","",INDEX(E_SourceStreams!$A:$N,DC82,X$7)))</f>
        <v/>
      </c>
      <c r="Y82" s="703" t="str">
        <f>IF($E82="","",IF(INDEX(E_SourceStreams!$A:$N,DD82,Y$7)="","",INDEX(E_SourceStreams!$A:$N,DD82,Y$7)))</f>
        <v/>
      </c>
      <c r="Z82" s="703" t="str">
        <f>IF($E82="","",IF(INDEX(E_SourceStreams!$A:$N,DE82,Z$7)="","",INDEX(E_SourceStreams!$A:$N,DE82,Z$7)))</f>
        <v/>
      </c>
      <c r="AA82" s="703" t="str">
        <f>IF($E82="","",IF(INDEX(E_SourceStreams!$A:$N,DF82,AA$7)="","",INDEX(E_SourceStreams!$A:$N,DF82,AA$7)))</f>
        <v/>
      </c>
      <c r="AB82" s="703" t="str">
        <f>IF($E82="","",IF(INDEX(E_SourceStreams!$A:$N,DG82,AB$7)="","",INDEX(E_SourceStreams!$A:$N,DG82,AB$7)))</f>
        <v/>
      </c>
      <c r="AC82" s="703" t="str">
        <f>IF($E82="","",IF(INDEX(E_SourceStreams!$A:$N,DH82,AC$7)="","",INDEX(E_SourceStreams!$A:$N,DH82,AC$7)))</f>
        <v/>
      </c>
      <c r="AD82" s="703" t="str">
        <f>IF($E82="","",IF(INDEX(E_SourceStreams!$A:$N,DI82,AD$7)="","",INDEX(E_SourceStreams!$A:$N,DI82,AD$7)))</f>
        <v/>
      </c>
      <c r="AE82" s="703" t="str">
        <f>IF($E82="","",IF(INDEX(E_SourceStreams!$A:$N,DJ82,AE$7)="","",INDEX(E_SourceStreams!$A:$N,DJ82,AE$7)))</f>
        <v/>
      </c>
      <c r="AF82" s="703" t="str">
        <f>IF($E82="","",IF(INDEX(E_SourceStreams!$A:$N,DK82,AF$7)="","",INDEX(E_SourceStreams!$A:$N,DK82,AF$7)))</f>
        <v/>
      </c>
      <c r="AG82" s="703" t="str">
        <f>IF($E82="","",IF(INDEX(E_SourceStreams!$A:$N,DL82,AG$7)="","",INDEX(E_SourceStreams!$A:$N,DL82,AG$7)))</f>
        <v/>
      </c>
      <c r="AH82" s="703" t="str">
        <f>IF($E82="","",IF(INDEX(E_SourceStreams!$A:$N,DM82,AH$7)="","",INDEX(E_SourceStreams!$A:$N,DM82,AH$7)))</f>
        <v/>
      </c>
      <c r="AI82" s="703" t="str">
        <f>IF($E82="","",IF(INDEX(E_SourceStreams!$A:$N,DN82,AI$7)="","",INDEX(E_SourceStreams!$A:$N,DN82,AI$7)))</f>
        <v/>
      </c>
      <c r="AJ82" s="703" t="str">
        <f>IF($E82="","",IF(INDEX(E_SourceStreams!$A:$N,DO82,AJ$7)="","",INDEX(E_SourceStreams!$A:$N,DO82,AJ$7)))</f>
        <v/>
      </c>
      <c r="AK82" s="703" t="str">
        <f>IF($E82="","",IF(INDEX(E_SourceStreams!$A:$N,DP82,AK$7)="","",INDEX(E_SourceStreams!$A:$N,DP82,AK$7)))</f>
        <v/>
      </c>
      <c r="AL82" s="703" t="str">
        <f>IF($E82="","",IF(INDEX(E_SourceStreams!$A:$N,DQ82,AL$7)="","",INDEX(E_SourceStreams!$A:$N,DQ82,AL$7)))</f>
        <v/>
      </c>
      <c r="AM82" s="703" t="str">
        <f>IF($E82="","",IF(INDEX(E_SourceStreams!$A:$N,DR82,AM$7)="","",INDEX(E_SourceStreams!$A:$N,DR82,AM$7)))</f>
        <v/>
      </c>
      <c r="AN82" s="703" t="str">
        <f>IF($E82="","",IF(INDEX(E_SourceStreams!$A:$N,DS82,AN$7)="","",INDEX(E_SourceStreams!$A:$N,DS82,AN$7)))</f>
        <v/>
      </c>
      <c r="AO82" s="703" t="str">
        <f>IF($E82="","",IF(INDEX(E_SourceStreams!$A:$N,DT82,AO$7)="","",INDEX(E_SourceStreams!$A:$N,DT82,AO$7)))</f>
        <v/>
      </c>
      <c r="AP82" s="703" t="str">
        <f>IF($E82="","",IF(INDEX(E_SourceStreams!$A:$N,DU82,AP$7)="","",INDEX(E_SourceStreams!$A:$N,DU82,AP$7)))</f>
        <v/>
      </c>
      <c r="AQ82" s="703" t="str">
        <f>IF($E82="","",IF(INDEX(E_SourceStreams!$A:$N,DV82,AQ$7)="","",INDEX(E_SourceStreams!$A:$N,DV82,AQ$7)))</f>
        <v/>
      </c>
      <c r="AR82" s="703" t="str">
        <f>IF($E82="","",IF(INDEX(E_SourceStreams!$A:$N,DW82,AR$7)="","",INDEX(E_SourceStreams!$A:$N,DW82,AR$7)))</f>
        <v/>
      </c>
      <c r="AS82" s="703" t="str">
        <f>IF($E82="","",IF(INDEX(E_SourceStreams!$A:$N,DX82,AS$7)="","",INDEX(E_SourceStreams!$A:$N,DX82,AS$7)))</f>
        <v/>
      </c>
      <c r="AT82" s="703" t="str">
        <f>IF($E82="","",IF(INDEX(E_SourceStreams!$A:$N,DY82,AT$7)="","",INDEX(E_SourceStreams!$A:$N,DY82,AT$7)))</f>
        <v/>
      </c>
      <c r="AU82" s="703" t="str">
        <f>IF($E82="","",IF(INDEX(E_SourceStreams!$A:$N,DZ82,AU$7)="","",INDEX(E_SourceStreams!$A:$N,DZ82,AU$7)))</f>
        <v/>
      </c>
      <c r="AV82" s="703" t="str">
        <f>IF($E82="","",IF(INDEX(E_SourceStreams!$A:$N,EA82,AV$7)="","",INDEX(E_SourceStreams!$A:$N,EA82,AV$7)))</f>
        <v/>
      </c>
      <c r="AW82" s="703" t="str">
        <f>IF($E82="","",IF(INDEX(E_SourceStreams!$A:$N,EB82,AW$7)="","",INDEX(E_SourceStreams!$A:$N,EB82,AW$7)))</f>
        <v/>
      </c>
      <c r="AX82" s="703" t="str">
        <f>IF($E82="","",IF(INDEX(E_SourceStreams!$A:$N,EC82,AX$7)="","",INDEX(E_SourceStreams!$A:$N,EC82,AX$7)))</f>
        <v/>
      </c>
      <c r="AY82" s="703" t="str">
        <f>IF($E82="","",IF(INDEX(E_SourceStreams!$A:$N,ED82,AY$7)="","",INDEX(E_SourceStreams!$A:$N,ED82,AY$7)))</f>
        <v/>
      </c>
      <c r="AZ82" s="703" t="str">
        <f>IF($E82="","",IF(INDEX(E_SourceStreams!$A:$N,EE82,AZ$7)="","",INDEX(E_SourceStreams!$A:$N,EE82,AZ$7)))</f>
        <v/>
      </c>
      <c r="BA82" s="703" t="str">
        <f>IF($E82="","",IF(INDEX(E_SourceStreams!$A:$N,EF82,BA$7)="","",INDEX(E_SourceStreams!$A:$N,EF82,BA$7)))</f>
        <v/>
      </c>
      <c r="BB82" s="703" t="str">
        <f>IF($E82="","",IF(INDEX(E_SourceStreams!$A:$N,EG82,BB$7)="","",INDEX(E_SourceStreams!$A:$N,EG82,BB$7)))</f>
        <v/>
      </c>
      <c r="BC82" s="703" t="str">
        <f>IF($E82="","",IF(INDEX(E_SourceStreams!$A:$N,EH82,BC$7)="","",INDEX(E_SourceStreams!$A:$N,EH82,BC$7)))</f>
        <v/>
      </c>
      <c r="BD82" s="703" t="str">
        <f>IF($E82="","",IF(INDEX(E_SourceStreams!$A:$N,EI82,BD$7)="","",INDEX(E_SourceStreams!$A:$N,EI82,BD$7)))</f>
        <v/>
      </c>
      <c r="BE82" s="703" t="str">
        <f>IF($E82="","",IF(INDEX(E_SourceStreams!$A:$N,EJ82,BE$7)="","",INDEX(E_SourceStreams!$A:$N,EJ82,BE$7)))</f>
        <v/>
      </c>
      <c r="BF82" s="703" t="str">
        <f>IF($E82="","",IF(INDEX(E_SourceStreams!$A:$N,EK82,BF$7)="","",INDEX(E_SourceStreams!$A:$N,EK82,BF$7)))</f>
        <v/>
      </c>
      <c r="BG82" s="703" t="str">
        <f>IF($E82="","",IF(INDEX(E_SourceStreams!$A:$N,EL82,BG$7)="","",INDEX(E_SourceStreams!$A:$N,EL82,BG$7)))</f>
        <v/>
      </c>
      <c r="BH82" s="703" t="str">
        <f>IF($E82="","",IF(INDEX(E_SourceStreams!$A:$N,EM82,BH$7)="","",INDEX(E_SourceStreams!$A:$N,EM82,BH$7)))</f>
        <v/>
      </c>
      <c r="BI82" s="703" t="str">
        <f>IF($E82="","",IF(INDEX(E_SourceStreams!$A:$N,EN82,BI$7)="","",INDEX(E_SourceStreams!$A:$N,EN82,BI$7)))</f>
        <v/>
      </c>
      <c r="BJ82" s="703" t="str">
        <f>IF($E82="","",IF(INDEX(E_SourceStreams!$A:$N,EO82,BJ$7)="","",INDEX(E_SourceStreams!$A:$N,EO82,BJ$7)))</f>
        <v/>
      </c>
      <c r="BK82" s="703" t="str">
        <f>IF($E82="","",IF(INDEX(E_SourceStreams!$A:$N,EP82,BK$7)="","",INDEX(E_SourceStreams!$A:$N,EP82,BK$7)))</f>
        <v/>
      </c>
      <c r="BL82" s="703" t="str">
        <f>IF($E82="","",IF(INDEX(E_SourceStreams!$A:$N,EQ82,BL$7)="","",INDEX(E_SourceStreams!$A:$N,EQ82,BL$7)))</f>
        <v/>
      </c>
      <c r="BM82" s="703" t="str">
        <f>IF($E82="","",IF(INDEX(E_SourceStreams!$A:$N,ER82,BM$7)="","",INDEX(E_SourceStreams!$A:$N,ER82,BM$7)))</f>
        <v/>
      </c>
      <c r="BN82" s="703" t="str">
        <f>IF($E82="","",IF(INDEX(E_SourceStreams!$A:$N,ES82,BN$7)="","",INDEX(E_SourceStreams!$A:$N,ES82,BN$7)))</f>
        <v/>
      </c>
      <c r="BO82" s="703" t="str">
        <f>IF($E82="","",IF(INDEX(E_SourceStreams!$A:$N,ET82,BO$7)="","",INDEX(E_SourceStreams!$A:$N,ET82,BO$7)))</f>
        <v/>
      </c>
      <c r="BP82" s="703" t="str">
        <f>IF($E82="","",IF(INDEX(E_SourceStreams!$A:$N,EU82,BP$7)="","",INDEX(E_SourceStreams!$A:$N,EU82,BP$7)))</f>
        <v/>
      </c>
      <c r="BQ82" s="703" t="str">
        <f>IF($E82="","",IF(INDEX(E_SourceStreams!$A:$N,EV82,BQ$7)="","",INDEX(E_SourceStreams!$A:$N,EV82,BQ$7)))</f>
        <v/>
      </c>
      <c r="BR82" s="703" t="str">
        <f>IF($E82="","",IF(INDEX(E_SourceStreams!$A:$N,EW82,BR$7)="","",INDEX(E_SourceStreams!$A:$N,EW82,BR$7)))</f>
        <v/>
      </c>
      <c r="BS82" s="703" t="str">
        <f>IF($E82="","",IF(INDEX(E_SourceStreams!$A:$N,EX82,BS$7)="","",INDEX(E_SourceStreams!$A:$N,EX82,BS$7)))</f>
        <v/>
      </c>
      <c r="BT82" s="703" t="str">
        <f>IF($E82="","",IF(INDEX(E_SourceStreams!$A:$N,EY82,BT$7)="","",INDEX(E_SourceStreams!$A:$N,EY82,BT$7)))</f>
        <v/>
      </c>
      <c r="BU82" s="625"/>
      <c r="CJ82" s="679" t="str">
        <f t="shared" si="68"/>
        <v>SourceCategory_</v>
      </c>
      <c r="CK82" s="679" t="b">
        <f>INDEX(C_InstallationDescription!$A$226:$A$332,ROWS($CI$11:CI82))="ausblenden"</f>
        <v>1</v>
      </c>
      <c r="CL82" s="679" t="str">
        <f t="shared" si="69"/>
        <v>SourceStreamName_</v>
      </c>
      <c r="CN82" s="679">
        <f t="shared" si="133"/>
        <v>4821</v>
      </c>
      <c r="CO82" s="679">
        <f t="shared" si="70"/>
        <v>4823</v>
      </c>
      <c r="CP82" s="679">
        <f t="shared" si="71"/>
        <v>4825</v>
      </c>
      <c r="CQ82" s="679">
        <f t="shared" si="72"/>
        <v>4827</v>
      </c>
      <c r="CR82" s="679">
        <f t="shared" si="73"/>
        <v>4829</v>
      </c>
      <c r="CS82" s="679">
        <f t="shared" si="74"/>
        <v>4831</v>
      </c>
      <c r="CT82" s="679">
        <f t="shared" si="75"/>
        <v>4833</v>
      </c>
      <c r="CU82" s="679">
        <f t="shared" si="76"/>
        <v>4833</v>
      </c>
      <c r="CV82" s="679">
        <f t="shared" si="77"/>
        <v>4833</v>
      </c>
      <c r="CW82" s="679">
        <f t="shared" si="78"/>
        <v>4833</v>
      </c>
      <c r="CX82" s="679">
        <f t="shared" si="79"/>
        <v>4833</v>
      </c>
      <c r="CY82" s="679">
        <f t="shared" si="80"/>
        <v>4836</v>
      </c>
      <c r="CZ82" s="679">
        <f t="shared" si="81"/>
        <v>4840</v>
      </c>
      <c r="DA82" s="679">
        <f t="shared" si="82"/>
        <v>4841</v>
      </c>
      <c r="DB82" s="679">
        <f t="shared" si="83"/>
        <v>4842</v>
      </c>
      <c r="DC82" s="679">
        <f t="shared" si="84"/>
        <v>4849</v>
      </c>
      <c r="DD82" s="679">
        <f t="shared" si="85"/>
        <v>4859</v>
      </c>
      <c r="DE82" s="679">
        <f t="shared" si="86"/>
        <v>4859</v>
      </c>
      <c r="DF82" s="679">
        <f t="shared" si="87"/>
        <v>4859</v>
      </c>
      <c r="DG82" s="679">
        <f t="shared" si="88"/>
        <v>4859</v>
      </c>
      <c r="DH82" s="679">
        <f t="shared" si="89"/>
        <v>4859</v>
      </c>
      <c r="DI82" s="679">
        <f t="shared" si="90"/>
        <v>4859</v>
      </c>
      <c r="DJ82" s="679">
        <f t="shared" si="91"/>
        <v>4859</v>
      </c>
      <c r="DK82" s="679">
        <f t="shared" si="92"/>
        <v>4850</v>
      </c>
      <c r="DL82" s="679">
        <f t="shared" si="93"/>
        <v>4860</v>
      </c>
      <c r="DM82" s="679">
        <f t="shared" si="94"/>
        <v>4860</v>
      </c>
      <c r="DN82" s="679">
        <f t="shared" si="95"/>
        <v>4860</v>
      </c>
      <c r="DO82" s="679">
        <f t="shared" si="96"/>
        <v>4860</v>
      </c>
      <c r="DP82" s="679">
        <f t="shared" si="97"/>
        <v>4860</v>
      </c>
      <c r="DQ82" s="679">
        <f t="shared" si="98"/>
        <v>4860</v>
      </c>
      <c r="DR82" s="679">
        <f t="shared" si="99"/>
        <v>4860</v>
      </c>
      <c r="DS82" s="679">
        <f t="shared" si="100"/>
        <v>4851</v>
      </c>
      <c r="DT82" s="679">
        <f t="shared" si="101"/>
        <v>4861</v>
      </c>
      <c r="DU82" s="679">
        <f t="shared" si="102"/>
        <v>4861</v>
      </c>
      <c r="DV82" s="679">
        <f t="shared" si="103"/>
        <v>4861</v>
      </c>
      <c r="DW82" s="679">
        <f t="shared" si="104"/>
        <v>4861</v>
      </c>
      <c r="DX82" s="679">
        <f t="shared" si="105"/>
        <v>4861</v>
      </c>
      <c r="DY82" s="679">
        <f t="shared" si="106"/>
        <v>4861</v>
      </c>
      <c r="DZ82" s="679">
        <f t="shared" si="107"/>
        <v>4861</v>
      </c>
      <c r="EA82" s="679">
        <f t="shared" si="108"/>
        <v>4852</v>
      </c>
      <c r="EB82" s="679">
        <f t="shared" si="109"/>
        <v>4862</v>
      </c>
      <c r="EC82" s="679">
        <f t="shared" si="110"/>
        <v>4862</v>
      </c>
      <c r="ED82" s="679">
        <f t="shared" si="111"/>
        <v>4862</v>
      </c>
      <c r="EE82" s="679">
        <f t="shared" si="112"/>
        <v>4862</v>
      </c>
      <c r="EF82" s="679">
        <f t="shared" si="113"/>
        <v>4862</v>
      </c>
      <c r="EG82" s="679">
        <f t="shared" si="114"/>
        <v>4862</v>
      </c>
      <c r="EH82" s="679">
        <f t="shared" si="115"/>
        <v>4862</v>
      </c>
      <c r="EI82" s="679">
        <f t="shared" si="116"/>
        <v>4853</v>
      </c>
      <c r="EJ82" s="679">
        <f t="shared" si="117"/>
        <v>4863</v>
      </c>
      <c r="EK82" s="679">
        <f t="shared" si="118"/>
        <v>4863</v>
      </c>
      <c r="EL82" s="679">
        <f t="shared" si="119"/>
        <v>4863</v>
      </c>
      <c r="EM82" s="679">
        <f t="shared" si="120"/>
        <v>4863</v>
      </c>
      <c r="EN82" s="679">
        <f t="shared" si="121"/>
        <v>4863</v>
      </c>
      <c r="EO82" s="679">
        <f t="shared" si="122"/>
        <v>4863</v>
      </c>
      <c r="EP82" s="679">
        <f t="shared" si="123"/>
        <v>4863</v>
      </c>
      <c r="EQ82" s="679">
        <f t="shared" si="124"/>
        <v>4854</v>
      </c>
      <c r="ER82" s="679">
        <f t="shared" si="125"/>
        <v>4864</v>
      </c>
      <c r="ES82" s="679">
        <f t="shared" si="126"/>
        <v>4864</v>
      </c>
      <c r="ET82" s="679">
        <f t="shared" si="127"/>
        <v>4864</v>
      </c>
      <c r="EU82" s="679">
        <f t="shared" si="128"/>
        <v>4864</v>
      </c>
      <c r="EV82" s="679">
        <f t="shared" si="129"/>
        <v>4864</v>
      </c>
      <c r="EW82" s="679">
        <f t="shared" si="130"/>
        <v>4864</v>
      </c>
      <c r="EX82" s="679">
        <f t="shared" si="131"/>
        <v>4864</v>
      </c>
      <c r="EY82" s="679">
        <f t="shared" si="132"/>
        <v>4870</v>
      </c>
    </row>
    <row r="83" spans="1:204" ht="12.75" customHeight="1" x14ac:dyDescent="0.2">
      <c r="B83" s="700" t="str">
        <f>IF(COUNTIF($CK$10:CK83,TRUE)&gt;0,"",INDEX(C_InstallationDescription!$E$226:$E$242,ROWS($A$11:A83)))</f>
        <v/>
      </c>
      <c r="C83" s="581" t="str">
        <f>IF($E83="","",INDEX(C_InstallationDescription!F:F,MATCH($B83,C_InstallationDescription!$E:$E,0)))</f>
        <v/>
      </c>
      <c r="D83" s="581" t="str">
        <f>IF($E83="","",INDEX(C_InstallationDescription!I:I,MATCH($B83,C_InstallationDescription!$E:$E,0)))</f>
        <v/>
      </c>
      <c r="E83" s="581" t="str">
        <f>IF($B83="","",INDEX(C_InstallationDescription!F:F,MATCH($CJ83,C_InstallationDescription!$Q:$Q,0)))</f>
        <v/>
      </c>
      <c r="F83" s="706" t="str">
        <f>IF($E83="","",INDEX(C_InstallationDescription!L:L,MATCH($CJ83,C_InstallationDescription!$Q:$Q,0)))</f>
        <v/>
      </c>
      <c r="G83" s="581" t="str">
        <f>IF($E83="","",INDEX(C_InstallationDescription!M:M,MATCH($CJ83,C_InstallationDescription!$Q:$Q,0)))</f>
        <v/>
      </c>
      <c r="H83" s="581" t="str">
        <f>IF($E83="","",INDEX(C_InstallationDescription!N:N,MATCH($CJ83,C_InstallationDescription!$Q:$Q,0)))</f>
        <v/>
      </c>
      <c r="I83" s="703" t="str">
        <f>IF($E83="","",IF(INDEX(E_SourceStreams!$A:$N,CN83,I$7)="","",INDEX(E_SourceStreams!$A:$N,CN83,I$7)))</f>
        <v/>
      </c>
      <c r="J83" s="703" t="str">
        <f>IF($E83="","",IF(INDEX(E_SourceStreams!$A:$N,CO83,J$7)="","",INDEX(E_SourceStreams!$A:$N,CO83,J$7)))</f>
        <v/>
      </c>
      <c r="K83" s="703" t="str">
        <f>IF($E83="","",IF(INDEX(E_SourceStreams!$A:$N,CP83,K$7)="","",INDEX(E_SourceStreams!$A:$N,CP83,K$7)))</f>
        <v/>
      </c>
      <c r="L83" s="703" t="str">
        <f>IF($E83="","",IF(INDEX(E_SourceStreams!$A:$N,CQ83,L$7)="","",INDEX(E_SourceStreams!$A:$N,CQ83,L$7)))</f>
        <v/>
      </c>
      <c r="M83" s="703" t="str">
        <f>IF($E83="","",IF(INDEX(E_SourceStreams!$A:$N,CR83,M$7)="","",INDEX(E_SourceStreams!$A:$N,CR83,M$7)))</f>
        <v/>
      </c>
      <c r="N83" s="703" t="str">
        <f>IF($E83="","",IF(INDEX(E_SourceStreams!$A:$N,CS83,N$7)="","",INDEX(E_SourceStreams!$A:$N,CS83,N$7)))</f>
        <v/>
      </c>
      <c r="O83" s="703" t="str">
        <f>IF($E83="","",IF(INDEX(E_SourceStreams!$A:$N,CT83,O$7)="","",INDEX(E_SourceStreams!$A:$N,CT83,O$7)))</f>
        <v/>
      </c>
      <c r="P83" s="703" t="str">
        <f>IF($E83="","",IF(INDEX(E_SourceStreams!$A:$N,CU83,P$7)="","",INDEX(E_SourceStreams!$A:$N,CU83,P$7)))</f>
        <v/>
      </c>
      <c r="Q83" s="703" t="str">
        <f>IF($E83="","",IF(INDEX(E_SourceStreams!$A:$N,CV83,Q$7)="","",INDEX(E_SourceStreams!$A:$N,CV83,Q$7)))</f>
        <v/>
      </c>
      <c r="R83" s="703" t="str">
        <f>IF($E83="","",IF(INDEX(E_SourceStreams!$A:$N,CW83,R$7)="","",INDEX(E_SourceStreams!$A:$N,CW83,R$7)))</f>
        <v/>
      </c>
      <c r="S83" s="703" t="str">
        <f>IF($E83="","",IF(INDEX(E_SourceStreams!$A:$N,CX83,S$7)="","",INDEX(E_SourceStreams!$A:$N,CX83,S$7)))</f>
        <v/>
      </c>
      <c r="T83" s="703" t="str">
        <f>IF($E83="","",IF(INDEX(E_SourceStreams!$A:$N,CY83,T$7)="","",INDEX(E_SourceStreams!$A:$N,CY83,T$7)))</f>
        <v/>
      </c>
      <c r="U83" s="703" t="str">
        <f>IF($E83="","",IF(INDEX(E_SourceStreams!$A:$N,CZ83,U$7)="","",INDEX(E_SourceStreams!$A:$N,CZ83,U$7)))</f>
        <v/>
      </c>
      <c r="V83" s="703" t="str">
        <f>IF($E83="","",IF(INDEX(E_SourceStreams!$A:$N,DA83,V$7)="","",INDEX(E_SourceStreams!$A:$N,DA83,V$7)))</f>
        <v/>
      </c>
      <c r="W83" s="704" t="str">
        <f>IF($E83="","",IF(INDEX(E_SourceStreams!$A:$N,DB83,W$7)="","",INDEX(E_SourceStreams!$A:$N,DB83,W$7)))</f>
        <v/>
      </c>
      <c r="X83" s="703" t="str">
        <f>IF($E83="","",IF(INDEX(E_SourceStreams!$A:$N,DC83,X$7)="","",INDEX(E_SourceStreams!$A:$N,DC83,X$7)))</f>
        <v/>
      </c>
      <c r="Y83" s="703" t="str">
        <f>IF($E83="","",IF(INDEX(E_SourceStreams!$A:$N,DD83,Y$7)="","",INDEX(E_SourceStreams!$A:$N,DD83,Y$7)))</f>
        <v/>
      </c>
      <c r="Z83" s="703" t="str">
        <f>IF($E83="","",IF(INDEX(E_SourceStreams!$A:$N,DE83,Z$7)="","",INDEX(E_SourceStreams!$A:$N,DE83,Z$7)))</f>
        <v/>
      </c>
      <c r="AA83" s="703" t="str">
        <f>IF($E83="","",IF(INDEX(E_SourceStreams!$A:$N,DF83,AA$7)="","",INDEX(E_SourceStreams!$A:$N,DF83,AA$7)))</f>
        <v/>
      </c>
      <c r="AB83" s="703" t="str">
        <f>IF($E83="","",IF(INDEX(E_SourceStreams!$A:$N,DG83,AB$7)="","",INDEX(E_SourceStreams!$A:$N,DG83,AB$7)))</f>
        <v/>
      </c>
      <c r="AC83" s="703" t="str">
        <f>IF($E83="","",IF(INDEX(E_SourceStreams!$A:$N,DH83,AC$7)="","",INDEX(E_SourceStreams!$A:$N,DH83,AC$7)))</f>
        <v/>
      </c>
      <c r="AD83" s="703" t="str">
        <f>IF($E83="","",IF(INDEX(E_SourceStreams!$A:$N,DI83,AD$7)="","",INDEX(E_SourceStreams!$A:$N,DI83,AD$7)))</f>
        <v/>
      </c>
      <c r="AE83" s="703" t="str">
        <f>IF($E83="","",IF(INDEX(E_SourceStreams!$A:$N,DJ83,AE$7)="","",INDEX(E_SourceStreams!$A:$N,DJ83,AE$7)))</f>
        <v/>
      </c>
      <c r="AF83" s="703" t="str">
        <f>IF($E83="","",IF(INDEX(E_SourceStreams!$A:$N,DK83,AF$7)="","",INDEX(E_SourceStreams!$A:$N,DK83,AF$7)))</f>
        <v/>
      </c>
      <c r="AG83" s="703" t="str">
        <f>IF($E83="","",IF(INDEX(E_SourceStreams!$A:$N,DL83,AG$7)="","",INDEX(E_SourceStreams!$A:$N,DL83,AG$7)))</f>
        <v/>
      </c>
      <c r="AH83" s="703" t="str">
        <f>IF($E83="","",IF(INDEX(E_SourceStreams!$A:$N,DM83,AH$7)="","",INDEX(E_SourceStreams!$A:$N,DM83,AH$7)))</f>
        <v/>
      </c>
      <c r="AI83" s="703" t="str">
        <f>IF($E83="","",IF(INDEX(E_SourceStreams!$A:$N,DN83,AI$7)="","",INDEX(E_SourceStreams!$A:$N,DN83,AI$7)))</f>
        <v/>
      </c>
      <c r="AJ83" s="703" t="str">
        <f>IF($E83="","",IF(INDEX(E_SourceStreams!$A:$N,DO83,AJ$7)="","",INDEX(E_SourceStreams!$A:$N,DO83,AJ$7)))</f>
        <v/>
      </c>
      <c r="AK83" s="703" t="str">
        <f>IF($E83="","",IF(INDEX(E_SourceStreams!$A:$N,DP83,AK$7)="","",INDEX(E_SourceStreams!$A:$N,DP83,AK$7)))</f>
        <v/>
      </c>
      <c r="AL83" s="703" t="str">
        <f>IF($E83="","",IF(INDEX(E_SourceStreams!$A:$N,DQ83,AL$7)="","",INDEX(E_SourceStreams!$A:$N,DQ83,AL$7)))</f>
        <v/>
      </c>
      <c r="AM83" s="703" t="str">
        <f>IF($E83="","",IF(INDEX(E_SourceStreams!$A:$N,DR83,AM$7)="","",INDEX(E_SourceStreams!$A:$N,DR83,AM$7)))</f>
        <v/>
      </c>
      <c r="AN83" s="703" t="str">
        <f>IF($E83="","",IF(INDEX(E_SourceStreams!$A:$N,DS83,AN$7)="","",INDEX(E_SourceStreams!$A:$N,DS83,AN$7)))</f>
        <v/>
      </c>
      <c r="AO83" s="703" t="str">
        <f>IF($E83="","",IF(INDEX(E_SourceStreams!$A:$N,DT83,AO$7)="","",INDEX(E_SourceStreams!$A:$N,DT83,AO$7)))</f>
        <v/>
      </c>
      <c r="AP83" s="703" t="str">
        <f>IF($E83="","",IF(INDEX(E_SourceStreams!$A:$N,DU83,AP$7)="","",INDEX(E_SourceStreams!$A:$N,DU83,AP$7)))</f>
        <v/>
      </c>
      <c r="AQ83" s="703" t="str">
        <f>IF($E83="","",IF(INDEX(E_SourceStreams!$A:$N,DV83,AQ$7)="","",INDEX(E_SourceStreams!$A:$N,DV83,AQ$7)))</f>
        <v/>
      </c>
      <c r="AR83" s="703" t="str">
        <f>IF($E83="","",IF(INDEX(E_SourceStreams!$A:$N,DW83,AR$7)="","",INDEX(E_SourceStreams!$A:$N,DW83,AR$7)))</f>
        <v/>
      </c>
      <c r="AS83" s="703" t="str">
        <f>IF($E83="","",IF(INDEX(E_SourceStreams!$A:$N,DX83,AS$7)="","",INDEX(E_SourceStreams!$A:$N,DX83,AS$7)))</f>
        <v/>
      </c>
      <c r="AT83" s="703" t="str">
        <f>IF($E83="","",IF(INDEX(E_SourceStreams!$A:$N,DY83,AT$7)="","",INDEX(E_SourceStreams!$A:$N,DY83,AT$7)))</f>
        <v/>
      </c>
      <c r="AU83" s="703" t="str">
        <f>IF($E83="","",IF(INDEX(E_SourceStreams!$A:$N,DZ83,AU$7)="","",INDEX(E_SourceStreams!$A:$N,DZ83,AU$7)))</f>
        <v/>
      </c>
      <c r="AV83" s="703" t="str">
        <f>IF($E83="","",IF(INDEX(E_SourceStreams!$A:$N,EA83,AV$7)="","",INDEX(E_SourceStreams!$A:$N,EA83,AV$7)))</f>
        <v/>
      </c>
      <c r="AW83" s="703" t="str">
        <f>IF($E83="","",IF(INDEX(E_SourceStreams!$A:$N,EB83,AW$7)="","",INDEX(E_SourceStreams!$A:$N,EB83,AW$7)))</f>
        <v/>
      </c>
      <c r="AX83" s="703" t="str">
        <f>IF($E83="","",IF(INDEX(E_SourceStreams!$A:$N,EC83,AX$7)="","",INDEX(E_SourceStreams!$A:$N,EC83,AX$7)))</f>
        <v/>
      </c>
      <c r="AY83" s="703" t="str">
        <f>IF($E83="","",IF(INDEX(E_SourceStreams!$A:$N,ED83,AY$7)="","",INDEX(E_SourceStreams!$A:$N,ED83,AY$7)))</f>
        <v/>
      </c>
      <c r="AZ83" s="703" t="str">
        <f>IF($E83="","",IF(INDEX(E_SourceStreams!$A:$N,EE83,AZ$7)="","",INDEX(E_SourceStreams!$A:$N,EE83,AZ$7)))</f>
        <v/>
      </c>
      <c r="BA83" s="703" t="str">
        <f>IF($E83="","",IF(INDEX(E_SourceStreams!$A:$N,EF83,BA$7)="","",INDEX(E_SourceStreams!$A:$N,EF83,BA$7)))</f>
        <v/>
      </c>
      <c r="BB83" s="703" t="str">
        <f>IF($E83="","",IF(INDEX(E_SourceStreams!$A:$N,EG83,BB$7)="","",INDEX(E_SourceStreams!$A:$N,EG83,BB$7)))</f>
        <v/>
      </c>
      <c r="BC83" s="703" t="str">
        <f>IF($E83="","",IF(INDEX(E_SourceStreams!$A:$N,EH83,BC$7)="","",INDEX(E_SourceStreams!$A:$N,EH83,BC$7)))</f>
        <v/>
      </c>
      <c r="BD83" s="703" t="str">
        <f>IF($E83="","",IF(INDEX(E_SourceStreams!$A:$N,EI83,BD$7)="","",INDEX(E_SourceStreams!$A:$N,EI83,BD$7)))</f>
        <v/>
      </c>
      <c r="BE83" s="703" t="str">
        <f>IF($E83="","",IF(INDEX(E_SourceStreams!$A:$N,EJ83,BE$7)="","",INDEX(E_SourceStreams!$A:$N,EJ83,BE$7)))</f>
        <v/>
      </c>
      <c r="BF83" s="703" t="str">
        <f>IF($E83="","",IF(INDEX(E_SourceStreams!$A:$N,EK83,BF$7)="","",INDEX(E_SourceStreams!$A:$N,EK83,BF$7)))</f>
        <v/>
      </c>
      <c r="BG83" s="703" t="str">
        <f>IF($E83="","",IF(INDEX(E_SourceStreams!$A:$N,EL83,BG$7)="","",INDEX(E_SourceStreams!$A:$N,EL83,BG$7)))</f>
        <v/>
      </c>
      <c r="BH83" s="703" t="str">
        <f>IF($E83="","",IF(INDEX(E_SourceStreams!$A:$N,EM83,BH$7)="","",INDEX(E_SourceStreams!$A:$N,EM83,BH$7)))</f>
        <v/>
      </c>
      <c r="BI83" s="703" t="str">
        <f>IF($E83="","",IF(INDEX(E_SourceStreams!$A:$N,EN83,BI$7)="","",INDEX(E_SourceStreams!$A:$N,EN83,BI$7)))</f>
        <v/>
      </c>
      <c r="BJ83" s="703" t="str">
        <f>IF($E83="","",IF(INDEX(E_SourceStreams!$A:$N,EO83,BJ$7)="","",INDEX(E_SourceStreams!$A:$N,EO83,BJ$7)))</f>
        <v/>
      </c>
      <c r="BK83" s="703" t="str">
        <f>IF($E83="","",IF(INDEX(E_SourceStreams!$A:$N,EP83,BK$7)="","",INDEX(E_SourceStreams!$A:$N,EP83,BK$7)))</f>
        <v/>
      </c>
      <c r="BL83" s="703" t="str">
        <f>IF($E83="","",IF(INDEX(E_SourceStreams!$A:$N,EQ83,BL$7)="","",INDEX(E_SourceStreams!$A:$N,EQ83,BL$7)))</f>
        <v/>
      </c>
      <c r="BM83" s="703" t="str">
        <f>IF($E83="","",IF(INDEX(E_SourceStreams!$A:$N,ER83,BM$7)="","",INDEX(E_SourceStreams!$A:$N,ER83,BM$7)))</f>
        <v/>
      </c>
      <c r="BN83" s="703" t="str">
        <f>IF($E83="","",IF(INDEX(E_SourceStreams!$A:$N,ES83,BN$7)="","",INDEX(E_SourceStreams!$A:$N,ES83,BN$7)))</f>
        <v/>
      </c>
      <c r="BO83" s="703" t="str">
        <f>IF($E83="","",IF(INDEX(E_SourceStreams!$A:$N,ET83,BO$7)="","",INDEX(E_SourceStreams!$A:$N,ET83,BO$7)))</f>
        <v/>
      </c>
      <c r="BP83" s="703" t="str">
        <f>IF($E83="","",IF(INDEX(E_SourceStreams!$A:$N,EU83,BP$7)="","",INDEX(E_SourceStreams!$A:$N,EU83,BP$7)))</f>
        <v/>
      </c>
      <c r="BQ83" s="703" t="str">
        <f>IF($E83="","",IF(INDEX(E_SourceStreams!$A:$N,EV83,BQ$7)="","",INDEX(E_SourceStreams!$A:$N,EV83,BQ$7)))</f>
        <v/>
      </c>
      <c r="BR83" s="703" t="str">
        <f>IF($E83="","",IF(INDEX(E_SourceStreams!$A:$N,EW83,BR$7)="","",INDEX(E_SourceStreams!$A:$N,EW83,BR$7)))</f>
        <v/>
      </c>
      <c r="BS83" s="703" t="str">
        <f>IF($E83="","",IF(INDEX(E_SourceStreams!$A:$N,EX83,BS$7)="","",INDEX(E_SourceStreams!$A:$N,EX83,BS$7)))</f>
        <v/>
      </c>
      <c r="BT83" s="703" t="str">
        <f>IF($E83="","",IF(INDEX(E_SourceStreams!$A:$N,EY83,BT$7)="","",INDEX(E_SourceStreams!$A:$N,EY83,BT$7)))</f>
        <v/>
      </c>
      <c r="BU83" s="625"/>
      <c r="CJ83" s="679" t="str">
        <f t="shared" si="68"/>
        <v>SourceCategory_</v>
      </c>
      <c r="CK83" s="679" t="b">
        <f>INDEX(C_InstallationDescription!$A$226:$A$332,ROWS($CI$11:CI83))="ausblenden"</f>
        <v>1</v>
      </c>
      <c r="CL83" s="679" t="str">
        <f t="shared" si="69"/>
        <v>SourceStreamName_</v>
      </c>
      <c r="CN83" s="679">
        <f t="shared" si="133"/>
        <v>4887</v>
      </c>
      <c r="CO83" s="679">
        <f t="shared" si="70"/>
        <v>4889</v>
      </c>
      <c r="CP83" s="679">
        <f t="shared" si="71"/>
        <v>4891</v>
      </c>
      <c r="CQ83" s="679">
        <f t="shared" si="72"/>
        <v>4893</v>
      </c>
      <c r="CR83" s="679">
        <f t="shared" si="73"/>
        <v>4895</v>
      </c>
      <c r="CS83" s="679">
        <f t="shared" si="74"/>
        <v>4897</v>
      </c>
      <c r="CT83" s="679">
        <f t="shared" si="75"/>
        <v>4899</v>
      </c>
      <c r="CU83" s="679">
        <f t="shared" si="76"/>
        <v>4899</v>
      </c>
      <c r="CV83" s="679">
        <f t="shared" si="77"/>
        <v>4899</v>
      </c>
      <c r="CW83" s="679">
        <f t="shared" si="78"/>
        <v>4899</v>
      </c>
      <c r="CX83" s="679">
        <f t="shared" si="79"/>
        <v>4899</v>
      </c>
      <c r="CY83" s="679">
        <f t="shared" si="80"/>
        <v>4902</v>
      </c>
      <c r="CZ83" s="679">
        <f t="shared" si="81"/>
        <v>4906</v>
      </c>
      <c r="DA83" s="679">
        <f t="shared" si="82"/>
        <v>4907</v>
      </c>
      <c r="DB83" s="679">
        <f t="shared" si="83"/>
        <v>4908</v>
      </c>
      <c r="DC83" s="679">
        <f t="shared" si="84"/>
        <v>4915</v>
      </c>
      <c r="DD83" s="679">
        <f t="shared" si="85"/>
        <v>4925</v>
      </c>
      <c r="DE83" s="679">
        <f t="shared" si="86"/>
        <v>4925</v>
      </c>
      <c r="DF83" s="679">
        <f t="shared" si="87"/>
        <v>4925</v>
      </c>
      <c r="DG83" s="679">
        <f t="shared" si="88"/>
        <v>4925</v>
      </c>
      <c r="DH83" s="679">
        <f t="shared" si="89"/>
        <v>4925</v>
      </c>
      <c r="DI83" s="679">
        <f t="shared" si="90"/>
        <v>4925</v>
      </c>
      <c r="DJ83" s="679">
        <f t="shared" si="91"/>
        <v>4925</v>
      </c>
      <c r="DK83" s="679">
        <f t="shared" si="92"/>
        <v>4916</v>
      </c>
      <c r="DL83" s="679">
        <f t="shared" si="93"/>
        <v>4926</v>
      </c>
      <c r="DM83" s="679">
        <f t="shared" si="94"/>
        <v>4926</v>
      </c>
      <c r="DN83" s="679">
        <f t="shared" si="95"/>
        <v>4926</v>
      </c>
      <c r="DO83" s="679">
        <f t="shared" si="96"/>
        <v>4926</v>
      </c>
      <c r="DP83" s="679">
        <f t="shared" si="97"/>
        <v>4926</v>
      </c>
      <c r="DQ83" s="679">
        <f t="shared" si="98"/>
        <v>4926</v>
      </c>
      <c r="DR83" s="679">
        <f t="shared" si="99"/>
        <v>4926</v>
      </c>
      <c r="DS83" s="679">
        <f t="shared" si="100"/>
        <v>4917</v>
      </c>
      <c r="DT83" s="679">
        <f t="shared" si="101"/>
        <v>4927</v>
      </c>
      <c r="DU83" s="679">
        <f t="shared" si="102"/>
        <v>4927</v>
      </c>
      <c r="DV83" s="679">
        <f t="shared" si="103"/>
        <v>4927</v>
      </c>
      <c r="DW83" s="679">
        <f t="shared" si="104"/>
        <v>4927</v>
      </c>
      <c r="DX83" s="679">
        <f t="shared" si="105"/>
        <v>4927</v>
      </c>
      <c r="DY83" s="679">
        <f t="shared" si="106"/>
        <v>4927</v>
      </c>
      <c r="DZ83" s="679">
        <f t="shared" si="107"/>
        <v>4927</v>
      </c>
      <c r="EA83" s="679">
        <f t="shared" si="108"/>
        <v>4918</v>
      </c>
      <c r="EB83" s="679">
        <f t="shared" si="109"/>
        <v>4928</v>
      </c>
      <c r="EC83" s="679">
        <f t="shared" si="110"/>
        <v>4928</v>
      </c>
      <c r="ED83" s="679">
        <f t="shared" si="111"/>
        <v>4928</v>
      </c>
      <c r="EE83" s="679">
        <f t="shared" si="112"/>
        <v>4928</v>
      </c>
      <c r="EF83" s="679">
        <f t="shared" si="113"/>
        <v>4928</v>
      </c>
      <c r="EG83" s="679">
        <f t="shared" si="114"/>
        <v>4928</v>
      </c>
      <c r="EH83" s="679">
        <f t="shared" si="115"/>
        <v>4928</v>
      </c>
      <c r="EI83" s="679">
        <f t="shared" si="116"/>
        <v>4919</v>
      </c>
      <c r="EJ83" s="679">
        <f t="shared" si="117"/>
        <v>4929</v>
      </c>
      <c r="EK83" s="679">
        <f t="shared" si="118"/>
        <v>4929</v>
      </c>
      <c r="EL83" s="679">
        <f t="shared" si="119"/>
        <v>4929</v>
      </c>
      <c r="EM83" s="679">
        <f t="shared" si="120"/>
        <v>4929</v>
      </c>
      <c r="EN83" s="679">
        <f t="shared" si="121"/>
        <v>4929</v>
      </c>
      <c r="EO83" s="679">
        <f t="shared" si="122"/>
        <v>4929</v>
      </c>
      <c r="EP83" s="679">
        <f t="shared" si="123"/>
        <v>4929</v>
      </c>
      <c r="EQ83" s="679">
        <f t="shared" si="124"/>
        <v>4920</v>
      </c>
      <c r="ER83" s="679">
        <f t="shared" si="125"/>
        <v>4930</v>
      </c>
      <c r="ES83" s="679">
        <f t="shared" si="126"/>
        <v>4930</v>
      </c>
      <c r="ET83" s="679">
        <f t="shared" si="127"/>
        <v>4930</v>
      </c>
      <c r="EU83" s="679">
        <f t="shared" si="128"/>
        <v>4930</v>
      </c>
      <c r="EV83" s="679">
        <f t="shared" si="129"/>
        <v>4930</v>
      </c>
      <c r="EW83" s="679">
        <f t="shared" si="130"/>
        <v>4930</v>
      </c>
      <c r="EX83" s="679">
        <f t="shared" si="131"/>
        <v>4930</v>
      </c>
      <c r="EY83" s="679">
        <f t="shared" si="132"/>
        <v>4936</v>
      </c>
    </row>
    <row r="84" spans="1:204" ht="12.75" customHeight="1" x14ac:dyDescent="0.2">
      <c r="B84" s="700" t="str">
        <f>IF(COUNTIF($CK$10:CK84,TRUE)&gt;0,"",INDEX(C_InstallationDescription!$E$226:$E$242,ROWS($A$11:A84)))</f>
        <v/>
      </c>
      <c r="C84" s="581" t="str">
        <f>IF($E84="","",INDEX(C_InstallationDescription!F:F,MATCH($B84,C_InstallationDescription!$E:$E,0)))</f>
        <v/>
      </c>
      <c r="D84" s="581" t="str">
        <f>IF($E84="","",INDEX(C_InstallationDescription!I:I,MATCH($B84,C_InstallationDescription!$E:$E,0)))</f>
        <v/>
      </c>
      <c r="E84" s="581" t="str">
        <f>IF($B84="","",INDEX(C_InstallationDescription!F:F,MATCH($CJ84,C_InstallationDescription!$Q:$Q,0)))</f>
        <v/>
      </c>
      <c r="F84" s="706" t="str">
        <f>IF($E84="","",INDEX(C_InstallationDescription!L:L,MATCH($CJ84,C_InstallationDescription!$Q:$Q,0)))</f>
        <v/>
      </c>
      <c r="G84" s="581" t="str">
        <f>IF($E84="","",INDEX(C_InstallationDescription!M:M,MATCH($CJ84,C_InstallationDescription!$Q:$Q,0)))</f>
        <v/>
      </c>
      <c r="H84" s="581" t="str">
        <f>IF($E84="","",INDEX(C_InstallationDescription!N:N,MATCH($CJ84,C_InstallationDescription!$Q:$Q,0)))</f>
        <v/>
      </c>
      <c r="I84" s="703" t="str">
        <f>IF($E84="","",IF(INDEX(E_SourceStreams!$A:$N,CN84,I$7)="","",INDEX(E_SourceStreams!$A:$N,CN84,I$7)))</f>
        <v/>
      </c>
      <c r="J84" s="703" t="str">
        <f>IF($E84="","",IF(INDEX(E_SourceStreams!$A:$N,CO84,J$7)="","",INDEX(E_SourceStreams!$A:$N,CO84,J$7)))</f>
        <v/>
      </c>
      <c r="K84" s="703" t="str">
        <f>IF($E84="","",IF(INDEX(E_SourceStreams!$A:$N,CP84,K$7)="","",INDEX(E_SourceStreams!$A:$N,CP84,K$7)))</f>
        <v/>
      </c>
      <c r="L84" s="703" t="str">
        <f>IF($E84="","",IF(INDEX(E_SourceStreams!$A:$N,CQ84,L$7)="","",INDEX(E_SourceStreams!$A:$N,CQ84,L$7)))</f>
        <v/>
      </c>
      <c r="M84" s="703" t="str">
        <f>IF($E84="","",IF(INDEX(E_SourceStreams!$A:$N,CR84,M$7)="","",INDEX(E_SourceStreams!$A:$N,CR84,M$7)))</f>
        <v/>
      </c>
      <c r="N84" s="703" t="str">
        <f>IF($E84="","",IF(INDEX(E_SourceStreams!$A:$N,CS84,N$7)="","",INDEX(E_SourceStreams!$A:$N,CS84,N$7)))</f>
        <v/>
      </c>
      <c r="O84" s="703" t="str">
        <f>IF($E84="","",IF(INDEX(E_SourceStreams!$A:$N,CT84,O$7)="","",INDEX(E_SourceStreams!$A:$N,CT84,O$7)))</f>
        <v/>
      </c>
      <c r="P84" s="703" t="str">
        <f>IF($E84="","",IF(INDEX(E_SourceStreams!$A:$N,CU84,P$7)="","",INDEX(E_SourceStreams!$A:$N,CU84,P$7)))</f>
        <v/>
      </c>
      <c r="Q84" s="703" t="str">
        <f>IF($E84="","",IF(INDEX(E_SourceStreams!$A:$N,CV84,Q$7)="","",INDEX(E_SourceStreams!$A:$N,CV84,Q$7)))</f>
        <v/>
      </c>
      <c r="R84" s="703" t="str">
        <f>IF($E84="","",IF(INDEX(E_SourceStreams!$A:$N,CW84,R$7)="","",INDEX(E_SourceStreams!$A:$N,CW84,R$7)))</f>
        <v/>
      </c>
      <c r="S84" s="703" t="str">
        <f>IF($E84="","",IF(INDEX(E_SourceStreams!$A:$N,CX84,S$7)="","",INDEX(E_SourceStreams!$A:$N,CX84,S$7)))</f>
        <v/>
      </c>
      <c r="T84" s="703" t="str">
        <f>IF($E84="","",IF(INDEX(E_SourceStreams!$A:$N,CY84,T$7)="","",INDEX(E_SourceStreams!$A:$N,CY84,T$7)))</f>
        <v/>
      </c>
      <c r="U84" s="703" t="str">
        <f>IF($E84="","",IF(INDEX(E_SourceStreams!$A:$N,CZ84,U$7)="","",INDEX(E_SourceStreams!$A:$N,CZ84,U$7)))</f>
        <v/>
      </c>
      <c r="V84" s="703" t="str">
        <f>IF($E84="","",IF(INDEX(E_SourceStreams!$A:$N,DA84,V$7)="","",INDEX(E_SourceStreams!$A:$N,DA84,V$7)))</f>
        <v/>
      </c>
      <c r="W84" s="704" t="str">
        <f>IF($E84="","",IF(INDEX(E_SourceStreams!$A:$N,DB84,W$7)="","",INDEX(E_SourceStreams!$A:$N,DB84,W$7)))</f>
        <v/>
      </c>
      <c r="X84" s="703" t="str">
        <f>IF($E84="","",IF(INDEX(E_SourceStreams!$A:$N,DC84,X$7)="","",INDEX(E_SourceStreams!$A:$N,DC84,X$7)))</f>
        <v/>
      </c>
      <c r="Y84" s="703" t="str">
        <f>IF($E84="","",IF(INDEX(E_SourceStreams!$A:$N,DD84,Y$7)="","",INDEX(E_SourceStreams!$A:$N,DD84,Y$7)))</f>
        <v/>
      </c>
      <c r="Z84" s="703" t="str">
        <f>IF($E84="","",IF(INDEX(E_SourceStreams!$A:$N,DE84,Z$7)="","",INDEX(E_SourceStreams!$A:$N,DE84,Z$7)))</f>
        <v/>
      </c>
      <c r="AA84" s="703" t="str">
        <f>IF($E84="","",IF(INDEX(E_SourceStreams!$A:$N,DF84,AA$7)="","",INDEX(E_SourceStreams!$A:$N,DF84,AA$7)))</f>
        <v/>
      </c>
      <c r="AB84" s="703" t="str">
        <f>IF($E84="","",IF(INDEX(E_SourceStreams!$A:$N,DG84,AB$7)="","",INDEX(E_SourceStreams!$A:$N,DG84,AB$7)))</f>
        <v/>
      </c>
      <c r="AC84" s="703" t="str">
        <f>IF($E84="","",IF(INDEX(E_SourceStreams!$A:$N,DH84,AC$7)="","",INDEX(E_SourceStreams!$A:$N,DH84,AC$7)))</f>
        <v/>
      </c>
      <c r="AD84" s="703" t="str">
        <f>IF($E84="","",IF(INDEX(E_SourceStreams!$A:$N,DI84,AD$7)="","",INDEX(E_SourceStreams!$A:$N,DI84,AD$7)))</f>
        <v/>
      </c>
      <c r="AE84" s="703" t="str">
        <f>IF($E84="","",IF(INDEX(E_SourceStreams!$A:$N,DJ84,AE$7)="","",INDEX(E_SourceStreams!$A:$N,DJ84,AE$7)))</f>
        <v/>
      </c>
      <c r="AF84" s="703" t="str">
        <f>IF($E84="","",IF(INDEX(E_SourceStreams!$A:$N,DK84,AF$7)="","",INDEX(E_SourceStreams!$A:$N,DK84,AF$7)))</f>
        <v/>
      </c>
      <c r="AG84" s="703" t="str">
        <f>IF($E84="","",IF(INDEX(E_SourceStreams!$A:$N,DL84,AG$7)="","",INDEX(E_SourceStreams!$A:$N,DL84,AG$7)))</f>
        <v/>
      </c>
      <c r="AH84" s="703" t="str">
        <f>IF($E84="","",IF(INDEX(E_SourceStreams!$A:$N,DM84,AH$7)="","",INDEX(E_SourceStreams!$A:$N,DM84,AH$7)))</f>
        <v/>
      </c>
      <c r="AI84" s="703" t="str">
        <f>IF($E84="","",IF(INDEX(E_SourceStreams!$A:$N,DN84,AI$7)="","",INDEX(E_SourceStreams!$A:$N,DN84,AI$7)))</f>
        <v/>
      </c>
      <c r="AJ84" s="703" t="str">
        <f>IF($E84="","",IF(INDEX(E_SourceStreams!$A:$N,DO84,AJ$7)="","",INDEX(E_SourceStreams!$A:$N,DO84,AJ$7)))</f>
        <v/>
      </c>
      <c r="AK84" s="703" t="str">
        <f>IF($E84="","",IF(INDEX(E_SourceStreams!$A:$N,DP84,AK$7)="","",INDEX(E_SourceStreams!$A:$N,DP84,AK$7)))</f>
        <v/>
      </c>
      <c r="AL84" s="703" t="str">
        <f>IF($E84="","",IF(INDEX(E_SourceStreams!$A:$N,DQ84,AL$7)="","",INDEX(E_SourceStreams!$A:$N,DQ84,AL$7)))</f>
        <v/>
      </c>
      <c r="AM84" s="703" t="str">
        <f>IF($E84="","",IF(INDEX(E_SourceStreams!$A:$N,DR84,AM$7)="","",INDEX(E_SourceStreams!$A:$N,DR84,AM$7)))</f>
        <v/>
      </c>
      <c r="AN84" s="703" t="str">
        <f>IF($E84="","",IF(INDEX(E_SourceStreams!$A:$N,DS84,AN$7)="","",INDEX(E_SourceStreams!$A:$N,DS84,AN$7)))</f>
        <v/>
      </c>
      <c r="AO84" s="703" t="str">
        <f>IF($E84="","",IF(INDEX(E_SourceStreams!$A:$N,DT84,AO$7)="","",INDEX(E_SourceStreams!$A:$N,DT84,AO$7)))</f>
        <v/>
      </c>
      <c r="AP84" s="703" t="str">
        <f>IF($E84="","",IF(INDEX(E_SourceStreams!$A:$N,DU84,AP$7)="","",INDEX(E_SourceStreams!$A:$N,DU84,AP$7)))</f>
        <v/>
      </c>
      <c r="AQ84" s="703" t="str">
        <f>IF($E84="","",IF(INDEX(E_SourceStreams!$A:$N,DV84,AQ$7)="","",INDEX(E_SourceStreams!$A:$N,DV84,AQ$7)))</f>
        <v/>
      </c>
      <c r="AR84" s="703" t="str">
        <f>IF($E84="","",IF(INDEX(E_SourceStreams!$A:$N,DW84,AR$7)="","",INDEX(E_SourceStreams!$A:$N,DW84,AR$7)))</f>
        <v/>
      </c>
      <c r="AS84" s="703" t="str">
        <f>IF($E84="","",IF(INDEX(E_SourceStreams!$A:$N,DX84,AS$7)="","",INDEX(E_SourceStreams!$A:$N,DX84,AS$7)))</f>
        <v/>
      </c>
      <c r="AT84" s="703" t="str">
        <f>IF($E84="","",IF(INDEX(E_SourceStreams!$A:$N,DY84,AT$7)="","",INDEX(E_SourceStreams!$A:$N,DY84,AT$7)))</f>
        <v/>
      </c>
      <c r="AU84" s="703" t="str">
        <f>IF($E84="","",IF(INDEX(E_SourceStreams!$A:$N,DZ84,AU$7)="","",INDEX(E_SourceStreams!$A:$N,DZ84,AU$7)))</f>
        <v/>
      </c>
      <c r="AV84" s="703" t="str">
        <f>IF($E84="","",IF(INDEX(E_SourceStreams!$A:$N,EA84,AV$7)="","",INDEX(E_SourceStreams!$A:$N,EA84,AV$7)))</f>
        <v/>
      </c>
      <c r="AW84" s="703" t="str">
        <f>IF($E84="","",IF(INDEX(E_SourceStreams!$A:$N,EB84,AW$7)="","",INDEX(E_SourceStreams!$A:$N,EB84,AW$7)))</f>
        <v/>
      </c>
      <c r="AX84" s="703" t="str">
        <f>IF($E84="","",IF(INDEX(E_SourceStreams!$A:$N,EC84,AX$7)="","",INDEX(E_SourceStreams!$A:$N,EC84,AX$7)))</f>
        <v/>
      </c>
      <c r="AY84" s="703" t="str">
        <f>IF($E84="","",IF(INDEX(E_SourceStreams!$A:$N,ED84,AY$7)="","",INDEX(E_SourceStreams!$A:$N,ED84,AY$7)))</f>
        <v/>
      </c>
      <c r="AZ84" s="703" t="str">
        <f>IF($E84="","",IF(INDEX(E_SourceStreams!$A:$N,EE84,AZ$7)="","",INDEX(E_SourceStreams!$A:$N,EE84,AZ$7)))</f>
        <v/>
      </c>
      <c r="BA84" s="703" t="str">
        <f>IF($E84="","",IF(INDEX(E_SourceStreams!$A:$N,EF84,BA$7)="","",INDEX(E_SourceStreams!$A:$N,EF84,BA$7)))</f>
        <v/>
      </c>
      <c r="BB84" s="703" t="str">
        <f>IF($E84="","",IF(INDEX(E_SourceStreams!$A:$N,EG84,BB$7)="","",INDEX(E_SourceStreams!$A:$N,EG84,BB$7)))</f>
        <v/>
      </c>
      <c r="BC84" s="703" t="str">
        <f>IF($E84="","",IF(INDEX(E_SourceStreams!$A:$N,EH84,BC$7)="","",INDEX(E_SourceStreams!$A:$N,EH84,BC$7)))</f>
        <v/>
      </c>
      <c r="BD84" s="703" t="str">
        <f>IF($E84="","",IF(INDEX(E_SourceStreams!$A:$N,EI84,BD$7)="","",INDEX(E_SourceStreams!$A:$N,EI84,BD$7)))</f>
        <v/>
      </c>
      <c r="BE84" s="703" t="str">
        <f>IF($E84="","",IF(INDEX(E_SourceStreams!$A:$N,EJ84,BE$7)="","",INDEX(E_SourceStreams!$A:$N,EJ84,BE$7)))</f>
        <v/>
      </c>
      <c r="BF84" s="703" t="str">
        <f>IF($E84="","",IF(INDEX(E_SourceStreams!$A:$N,EK84,BF$7)="","",INDEX(E_SourceStreams!$A:$N,EK84,BF$7)))</f>
        <v/>
      </c>
      <c r="BG84" s="703" t="str">
        <f>IF($E84="","",IF(INDEX(E_SourceStreams!$A:$N,EL84,BG$7)="","",INDEX(E_SourceStreams!$A:$N,EL84,BG$7)))</f>
        <v/>
      </c>
      <c r="BH84" s="703" t="str">
        <f>IF($E84="","",IF(INDEX(E_SourceStreams!$A:$N,EM84,BH$7)="","",INDEX(E_SourceStreams!$A:$N,EM84,BH$7)))</f>
        <v/>
      </c>
      <c r="BI84" s="703" t="str">
        <f>IF($E84="","",IF(INDEX(E_SourceStreams!$A:$N,EN84,BI$7)="","",INDEX(E_SourceStreams!$A:$N,EN84,BI$7)))</f>
        <v/>
      </c>
      <c r="BJ84" s="703" t="str">
        <f>IF($E84="","",IF(INDEX(E_SourceStreams!$A:$N,EO84,BJ$7)="","",INDEX(E_SourceStreams!$A:$N,EO84,BJ$7)))</f>
        <v/>
      </c>
      <c r="BK84" s="703" t="str">
        <f>IF($E84="","",IF(INDEX(E_SourceStreams!$A:$N,EP84,BK$7)="","",INDEX(E_SourceStreams!$A:$N,EP84,BK$7)))</f>
        <v/>
      </c>
      <c r="BL84" s="703" t="str">
        <f>IF($E84="","",IF(INDEX(E_SourceStreams!$A:$N,EQ84,BL$7)="","",INDEX(E_SourceStreams!$A:$N,EQ84,BL$7)))</f>
        <v/>
      </c>
      <c r="BM84" s="703" t="str">
        <f>IF($E84="","",IF(INDEX(E_SourceStreams!$A:$N,ER84,BM$7)="","",INDEX(E_SourceStreams!$A:$N,ER84,BM$7)))</f>
        <v/>
      </c>
      <c r="BN84" s="703" t="str">
        <f>IF($E84="","",IF(INDEX(E_SourceStreams!$A:$N,ES84,BN$7)="","",INDEX(E_SourceStreams!$A:$N,ES84,BN$7)))</f>
        <v/>
      </c>
      <c r="BO84" s="703" t="str">
        <f>IF($E84="","",IF(INDEX(E_SourceStreams!$A:$N,ET84,BO$7)="","",INDEX(E_SourceStreams!$A:$N,ET84,BO$7)))</f>
        <v/>
      </c>
      <c r="BP84" s="703" t="str">
        <f>IF($E84="","",IF(INDEX(E_SourceStreams!$A:$N,EU84,BP$7)="","",INDEX(E_SourceStreams!$A:$N,EU84,BP$7)))</f>
        <v/>
      </c>
      <c r="BQ84" s="703" t="str">
        <f>IF($E84="","",IF(INDEX(E_SourceStreams!$A:$N,EV84,BQ$7)="","",INDEX(E_SourceStreams!$A:$N,EV84,BQ$7)))</f>
        <v/>
      </c>
      <c r="BR84" s="703" t="str">
        <f>IF($E84="","",IF(INDEX(E_SourceStreams!$A:$N,EW84,BR$7)="","",INDEX(E_SourceStreams!$A:$N,EW84,BR$7)))</f>
        <v/>
      </c>
      <c r="BS84" s="703" t="str">
        <f>IF($E84="","",IF(INDEX(E_SourceStreams!$A:$N,EX84,BS$7)="","",INDEX(E_SourceStreams!$A:$N,EX84,BS$7)))</f>
        <v/>
      </c>
      <c r="BT84" s="703" t="str">
        <f>IF($E84="","",IF(INDEX(E_SourceStreams!$A:$N,EY84,BT$7)="","",INDEX(E_SourceStreams!$A:$N,EY84,BT$7)))</f>
        <v/>
      </c>
      <c r="BU84" s="625"/>
      <c r="CJ84" s="679" t="str">
        <f t="shared" si="68"/>
        <v>SourceCategory_</v>
      </c>
      <c r="CK84" s="679" t="b">
        <f>INDEX(C_InstallationDescription!$A$226:$A$332,ROWS($CI$11:CI84))="ausblenden"</f>
        <v>1</v>
      </c>
      <c r="CL84" s="679" t="str">
        <f t="shared" si="69"/>
        <v>SourceStreamName_</v>
      </c>
      <c r="CN84" s="679">
        <f t="shared" si="133"/>
        <v>4953</v>
      </c>
      <c r="CO84" s="679">
        <f t="shared" si="70"/>
        <v>4955</v>
      </c>
      <c r="CP84" s="679">
        <f t="shared" si="71"/>
        <v>4957</v>
      </c>
      <c r="CQ84" s="679">
        <f t="shared" si="72"/>
        <v>4959</v>
      </c>
      <c r="CR84" s="679">
        <f t="shared" si="73"/>
        <v>4961</v>
      </c>
      <c r="CS84" s="679">
        <f t="shared" si="74"/>
        <v>4963</v>
      </c>
      <c r="CT84" s="679">
        <f t="shared" si="75"/>
        <v>4965</v>
      </c>
      <c r="CU84" s="679">
        <f t="shared" si="76"/>
        <v>4965</v>
      </c>
      <c r="CV84" s="679">
        <f t="shared" si="77"/>
        <v>4965</v>
      </c>
      <c r="CW84" s="679">
        <f t="shared" si="78"/>
        <v>4965</v>
      </c>
      <c r="CX84" s="679">
        <f t="shared" si="79"/>
        <v>4965</v>
      </c>
      <c r="CY84" s="679">
        <f t="shared" si="80"/>
        <v>4968</v>
      </c>
      <c r="CZ84" s="679">
        <f t="shared" si="81"/>
        <v>4972</v>
      </c>
      <c r="DA84" s="679">
        <f t="shared" si="82"/>
        <v>4973</v>
      </c>
      <c r="DB84" s="679">
        <f t="shared" si="83"/>
        <v>4974</v>
      </c>
      <c r="DC84" s="679">
        <f t="shared" si="84"/>
        <v>4981</v>
      </c>
      <c r="DD84" s="679">
        <f t="shared" si="85"/>
        <v>4991</v>
      </c>
      <c r="DE84" s="679">
        <f t="shared" si="86"/>
        <v>4991</v>
      </c>
      <c r="DF84" s="679">
        <f t="shared" si="87"/>
        <v>4991</v>
      </c>
      <c r="DG84" s="679">
        <f t="shared" si="88"/>
        <v>4991</v>
      </c>
      <c r="DH84" s="679">
        <f t="shared" si="89"/>
        <v>4991</v>
      </c>
      <c r="DI84" s="679">
        <f t="shared" si="90"/>
        <v>4991</v>
      </c>
      <c r="DJ84" s="679">
        <f t="shared" si="91"/>
        <v>4991</v>
      </c>
      <c r="DK84" s="679">
        <f t="shared" si="92"/>
        <v>4982</v>
      </c>
      <c r="DL84" s="679">
        <f t="shared" si="93"/>
        <v>4992</v>
      </c>
      <c r="DM84" s="679">
        <f t="shared" si="94"/>
        <v>4992</v>
      </c>
      <c r="DN84" s="679">
        <f t="shared" si="95"/>
        <v>4992</v>
      </c>
      <c r="DO84" s="679">
        <f t="shared" si="96"/>
        <v>4992</v>
      </c>
      <c r="DP84" s="679">
        <f t="shared" si="97"/>
        <v>4992</v>
      </c>
      <c r="DQ84" s="679">
        <f t="shared" si="98"/>
        <v>4992</v>
      </c>
      <c r="DR84" s="679">
        <f t="shared" si="99"/>
        <v>4992</v>
      </c>
      <c r="DS84" s="679">
        <f t="shared" si="100"/>
        <v>4983</v>
      </c>
      <c r="DT84" s="679">
        <f t="shared" si="101"/>
        <v>4993</v>
      </c>
      <c r="DU84" s="679">
        <f t="shared" si="102"/>
        <v>4993</v>
      </c>
      <c r="DV84" s="679">
        <f t="shared" si="103"/>
        <v>4993</v>
      </c>
      <c r="DW84" s="679">
        <f t="shared" si="104"/>
        <v>4993</v>
      </c>
      <c r="DX84" s="679">
        <f t="shared" si="105"/>
        <v>4993</v>
      </c>
      <c r="DY84" s="679">
        <f t="shared" si="106"/>
        <v>4993</v>
      </c>
      <c r="DZ84" s="679">
        <f t="shared" si="107"/>
        <v>4993</v>
      </c>
      <c r="EA84" s="679">
        <f t="shared" si="108"/>
        <v>4984</v>
      </c>
      <c r="EB84" s="679">
        <f t="shared" si="109"/>
        <v>4994</v>
      </c>
      <c r="EC84" s="679">
        <f t="shared" si="110"/>
        <v>4994</v>
      </c>
      <c r="ED84" s="679">
        <f t="shared" si="111"/>
        <v>4994</v>
      </c>
      <c r="EE84" s="679">
        <f t="shared" si="112"/>
        <v>4994</v>
      </c>
      <c r="EF84" s="679">
        <f t="shared" si="113"/>
        <v>4994</v>
      </c>
      <c r="EG84" s="679">
        <f t="shared" si="114"/>
        <v>4994</v>
      </c>
      <c r="EH84" s="679">
        <f t="shared" si="115"/>
        <v>4994</v>
      </c>
      <c r="EI84" s="679">
        <f t="shared" si="116"/>
        <v>4985</v>
      </c>
      <c r="EJ84" s="679">
        <f t="shared" si="117"/>
        <v>4995</v>
      </c>
      <c r="EK84" s="679">
        <f t="shared" si="118"/>
        <v>4995</v>
      </c>
      <c r="EL84" s="679">
        <f t="shared" si="119"/>
        <v>4995</v>
      </c>
      <c r="EM84" s="679">
        <f t="shared" si="120"/>
        <v>4995</v>
      </c>
      <c r="EN84" s="679">
        <f t="shared" si="121"/>
        <v>4995</v>
      </c>
      <c r="EO84" s="679">
        <f t="shared" si="122"/>
        <v>4995</v>
      </c>
      <c r="EP84" s="679">
        <f t="shared" si="123"/>
        <v>4995</v>
      </c>
      <c r="EQ84" s="679">
        <f t="shared" si="124"/>
        <v>4986</v>
      </c>
      <c r="ER84" s="679">
        <f t="shared" si="125"/>
        <v>4996</v>
      </c>
      <c r="ES84" s="679">
        <f t="shared" si="126"/>
        <v>4996</v>
      </c>
      <c r="ET84" s="679">
        <f t="shared" si="127"/>
        <v>4996</v>
      </c>
      <c r="EU84" s="679">
        <f t="shared" si="128"/>
        <v>4996</v>
      </c>
      <c r="EV84" s="679">
        <f t="shared" si="129"/>
        <v>4996</v>
      </c>
      <c r="EW84" s="679">
        <f t="shared" si="130"/>
        <v>4996</v>
      </c>
      <c r="EX84" s="679">
        <f t="shared" si="131"/>
        <v>4996</v>
      </c>
      <c r="EY84" s="679">
        <f t="shared" si="132"/>
        <v>5002</v>
      </c>
    </row>
    <row r="85" spans="1:204" ht="12.75" customHeight="1" x14ac:dyDescent="0.2">
      <c r="B85" s="700" t="str">
        <f>IF(COUNTIF($CK$10:CK85,TRUE)&gt;0,"",INDEX(C_InstallationDescription!$E$226:$E$242,ROWS($A$11:A85)))</f>
        <v/>
      </c>
      <c r="C85" s="581" t="str">
        <f>IF($E85="","",INDEX(C_InstallationDescription!F:F,MATCH($B85,C_InstallationDescription!$E:$E,0)))</f>
        <v/>
      </c>
      <c r="D85" s="581" t="str">
        <f>IF($E85="","",INDEX(C_InstallationDescription!I:I,MATCH($B85,C_InstallationDescription!$E:$E,0)))</f>
        <v/>
      </c>
      <c r="E85" s="581" t="str">
        <f>IF($B85="","",INDEX(C_InstallationDescription!F:F,MATCH($CJ85,C_InstallationDescription!$Q:$Q,0)))</f>
        <v/>
      </c>
      <c r="F85" s="706" t="str">
        <f>IF($E85="","",INDEX(C_InstallationDescription!L:L,MATCH($CJ85,C_InstallationDescription!$Q:$Q,0)))</f>
        <v/>
      </c>
      <c r="G85" s="581" t="str">
        <f>IF($E85="","",INDEX(C_InstallationDescription!M:M,MATCH($CJ85,C_InstallationDescription!$Q:$Q,0)))</f>
        <v/>
      </c>
      <c r="H85" s="581" t="str">
        <f>IF($E85="","",INDEX(C_InstallationDescription!N:N,MATCH($CJ85,C_InstallationDescription!$Q:$Q,0)))</f>
        <v/>
      </c>
      <c r="I85" s="703" t="str">
        <f>IF($E85="","",IF(INDEX(E_SourceStreams!$A:$N,CN85,I$7)="","",INDEX(E_SourceStreams!$A:$N,CN85,I$7)))</f>
        <v/>
      </c>
      <c r="J85" s="703" t="str">
        <f>IF($E85="","",IF(INDEX(E_SourceStreams!$A:$N,CO85,J$7)="","",INDEX(E_SourceStreams!$A:$N,CO85,J$7)))</f>
        <v/>
      </c>
      <c r="K85" s="703" t="str">
        <f>IF($E85="","",IF(INDEX(E_SourceStreams!$A:$N,CP85,K$7)="","",INDEX(E_SourceStreams!$A:$N,CP85,K$7)))</f>
        <v/>
      </c>
      <c r="L85" s="703" t="str">
        <f>IF($E85="","",IF(INDEX(E_SourceStreams!$A:$N,CQ85,L$7)="","",INDEX(E_SourceStreams!$A:$N,CQ85,L$7)))</f>
        <v/>
      </c>
      <c r="M85" s="703" t="str">
        <f>IF($E85="","",IF(INDEX(E_SourceStreams!$A:$N,CR85,M$7)="","",INDEX(E_SourceStreams!$A:$N,CR85,M$7)))</f>
        <v/>
      </c>
      <c r="N85" s="703" t="str">
        <f>IF($E85="","",IF(INDEX(E_SourceStreams!$A:$N,CS85,N$7)="","",INDEX(E_SourceStreams!$A:$N,CS85,N$7)))</f>
        <v/>
      </c>
      <c r="O85" s="703" t="str">
        <f>IF($E85="","",IF(INDEX(E_SourceStreams!$A:$N,CT85,O$7)="","",INDEX(E_SourceStreams!$A:$N,CT85,O$7)))</f>
        <v/>
      </c>
      <c r="P85" s="703" t="str">
        <f>IF($E85="","",IF(INDEX(E_SourceStreams!$A:$N,CU85,P$7)="","",INDEX(E_SourceStreams!$A:$N,CU85,P$7)))</f>
        <v/>
      </c>
      <c r="Q85" s="703" t="str">
        <f>IF($E85="","",IF(INDEX(E_SourceStreams!$A:$N,CV85,Q$7)="","",INDEX(E_SourceStreams!$A:$N,CV85,Q$7)))</f>
        <v/>
      </c>
      <c r="R85" s="703" t="str">
        <f>IF($E85="","",IF(INDEX(E_SourceStreams!$A:$N,CW85,R$7)="","",INDEX(E_SourceStreams!$A:$N,CW85,R$7)))</f>
        <v/>
      </c>
      <c r="S85" s="703" t="str">
        <f>IF($E85="","",IF(INDEX(E_SourceStreams!$A:$N,CX85,S$7)="","",INDEX(E_SourceStreams!$A:$N,CX85,S$7)))</f>
        <v/>
      </c>
      <c r="T85" s="703" t="str">
        <f>IF($E85="","",IF(INDEX(E_SourceStreams!$A:$N,CY85,T$7)="","",INDEX(E_SourceStreams!$A:$N,CY85,T$7)))</f>
        <v/>
      </c>
      <c r="U85" s="703" t="str">
        <f>IF($E85="","",IF(INDEX(E_SourceStreams!$A:$N,CZ85,U$7)="","",INDEX(E_SourceStreams!$A:$N,CZ85,U$7)))</f>
        <v/>
      </c>
      <c r="V85" s="703" t="str">
        <f>IF($E85="","",IF(INDEX(E_SourceStreams!$A:$N,DA85,V$7)="","",INDEX(E_SourceStreams!$A:$N,DA85,V$7)))</f>
        <v/>
      </c>
      <c r="W85" s="704" t="str">
        <f>IF($E85="","",IF(INDEX(E_SourceStreams!$A:$N,DB85,W$7)="","",INDEX(E_SourceStreams!$A:$N,DB85,W$7)))</f>
        <v/>
      </c>
      <c r="X85" s="703" t="str">
        <f>IF($E85="","",IF(INDEX(E_SourceStreams!$A:$N,DC85,X$7)="","",INDEX(E_SourceStreams!$A:$N,DC85,X$7)))</f>
        <v/>
      </c>
      <c r="Y85" s="703" t="str">
        <f>IF($E85="","",IF(INDEX(E_SourceStreams!$A:$N,DD85,Y$7)="","",INDEX(E_SourceStreams!$A:$N,DD85,Y$7)))</f>
        <v/>
      </c>
      <c r="Z85" s="703" t="str">
        <f>IF($E85="","",IF(INDEX(E_SourceStreams!$A:$N,DE85,Z$7)="","",INDEX(E_SourceStreams!$A:$N,DE85,Z$7)))</f>
        <v/>
      </c>
      <c r="AA85" s="703" t="str">
        <f>IF($E85="","",IF(INDEX(E_SourceStreams!$A:$N,DF85,AA$7)="","",INDEX(E_SourceStreams!$A:$N,DF85,AA$7)))</f>
        <v/>
      </c>
      <c r="AB85" s="703" t="str">
        <f>IF($E85="","",IF(INDEX(E_SourceStreams!$A:$N,DG85,AB$7)="","",INDEX(E_SourceStreams!$A:$N,DG85,AB$7)))</f>
        <v/>
      </c>
      <c r="AC85" s="703" t="str">
        <f>IF($E85="","",IF(INDEX(E_SourceStreams!$A:$N,DH85,AC$7)="","",INDEX(E_SourceStreams!$A:$N,DH85,AC$7)))</f>
        <v/>
      </c>
      <c r="AD85" s="703" t="str">
        <f>IF($E85="","",IF(INDEX(E_SourceStreams!$A:$N,DI85,AD$7)="","",INDEX(E_SourceStreams!$A:$N,DI85,AD$7)))</f>
        <v/>
      </c>
      <c r="AE85" s="703" t="str">
        <f>IF($E85="","",IF(INDEX(E_SourceStreams!$A:$N,DJ85,AE$7)="","",INDEX(E_SourceStreams!$A:$N,DJ85,AE$7)))</f>
        <v/>
      </c>
      <c r="AF85" s="703" t="str">
        <f>IF($E85="","",IF(INDEX(E_SourceStreams!$A:$N,DK85,AF$7)="","",INDEX(E_SourceStreams!$A:$N,DK85,AF$7)))</f>
        <v/>
      </c>
      <c r="AG85" s="703" t="str">
        <f>IF($E85="","",IF(INDEX(E_SourceStreams!$A:$N,DL85,AG$7)="","",INDEX(E_SourceStreams!$A:$N,DL85,AG$7)))</f>
        <v/>
      </c>
      <c r="AH85" s="703" t="str">
        <f>IF($E85="","",IF(INDEX(E_SourceStreams!$A:$N,DM85,AH$7)="","",INDEX(E_SourceStreams!$A:$N,DM85,AH$7)))</f>
        <v/>
      </c>
      <c r="AI85" s="703" t="str">
        <f>IF($E85="","",IF(INDEX(E_SourceStreams!$A:$N,DN85,AI$7)="","",INDEX(E_SourceStreams!$A:$N,DN85,AI$7)))</f>
        <v/>
      </c>
      <c r="AJ85" s="703" t="str">
        <f>IF($E85="","",IF(INDEX(E_SourceStreams!$A:$N,DO85,AJ$7)="","",INDEX(E_SourceStreams!$A:$N,DO85,AJ$7)))</f>
        <v/>
      </c>
      <c r="AK85" s="703" t="str">
        <f>IF($E85="","",IF(INDEX(E_SourceStreams!$A:$N,DP85,AK$7)="","",INDEX(E_SourceStreams!$A:$N,DP85,AK$7)))</f>
        <v/>
      </c>
      <c r="AL85" s="703" t="str">
        <f>IF($E85="","",IF(INDEX(E_SourceStreams!$A:$N,DQ85,AL$7)="","",INDEX(E_SourceStreams!$A:$N,DQ85,AL$7)))</f>
        <v/>
      </c>
      <c r="AM85" s="703" t="str">
        <f>IF($E85="","",IF(INDEX(E_SourceStreams!$A:$N,DR85,AM$7)="","",INDEX(E_SourceStreams!$A:$N,DR85,AM$7)))</f>
        <v/>
      </c>
      <c r="AN85" s="703" t="str">
        <f>IF($E85="","",IF(INDEX(E_SourceStreams!$A:$N,DS85,AN$7)="","",INDEX(E_SourceStreams!$A:$N,DS85,AN$7)))</f>
        <v/>
      </c>
      <c r="AO85" s="703" t="str">
        <f>IF($E85="","",IF(INDEX(E_SourceStreams!$A:$N,DT85,AO$7)="","",INDEX(E_SourceStreams!$A:$N,DT85,AO$7)))</f>
        <v/>
      </c>
      <c r="AP85" s="703" t="str">
        <f>IF($E85="","",IF(INDEX(E_SourceStreams!$A:$N,DU85,AP$7)="","",INDEX(E_SourceStreams!$A:$N,DU85,AP$7)))</f>
        <v/>
      </c>
      <c r="AQ85" s="703" t="str">
        <f>IF($E85="","",IF(INDEX(E_SourceStreams!$A:$N,DV85,AQ$7)="","",INDEX(E_SourceStreams!$A:$N,DV85,AQ$7)))</f>
        <v/>
      </c>
      <c r="AR85" s="703" t="str">
        <f>IF($E85="","",IF(INDEX(E_SourceStreams!$A:$N,DW85,AR$7)="","",INDEX(E_SourceStreams!$A:$N,DW85,AR$7)))</f>
        <v/>
      </c>
      <c r="AS85" s="703" t="str">
        <f>IF($E85="","",IF(INDEX(E_SourceStreams!$A:$N,DX85,AS$7)="","",INDEX(E_SourceStreams!$A:$N,DX85,AS$7)))</f>
        <v/>
      </c>
      <c r="AT85" s="703" t="str">
        <f>IF($E85="","",IF(INDEX(E_SourceStreams!$A:$N,DY85,AT$7)="","",INDEX(E_SourceStreams!$A:$N,DY85,AT$7)))</f>
        <v/>
      </c>
      <c r="AU85" s="703" t="str">
        <f>IF($E85="","",IF(INDEX(E_SourceStreams!$A:$N,DZ85,AU$7)="","",INDEX(E_SourceStreams!$A:$N,DZ85,AU$7)))</f>
        <v/>
      </c>
      <c r="AV85" s="703" t="str">
        <f>IF($E85="","",IF(INDEX(E_SourceStreams!$A:$N,EA85,AV$7)="","",INDEX(E_SourceStreams!$A:$N,EA85,AV$7)))</f>
        <v/>
      </c>
      <c r="AW85" s="703" t="str">
        <f>IF($E85="","",IF(INDEX(E_SourceStreams!$A:$N,EB85,AW$7)="","",INDEX(E_SourceStreams!$A:$N,EB85,AW$7)))</f>
        <v/>
      </c>
      <c r="AX85" s="703" t="str">
        <f>IF($E85="","",IF(INDEX(E_SourceStreams!$A:$N,EC85,AX$7)="","",INDEX(E_SourceStreams!$A:$N,EC85,AX$7)))</f>
        <v/>
      </c>
      <c r="AY85" s="703" t="str">
        <f>IF($E85="","",IF(INDEX(E_SourceStreams!$A:$N,ED85,AY$7)="","",INDEX(E_SourceStreams!$A:$N,ED85,AY$7)))</f>
        <v/>
      </c>
      <c r="AZ85" s="703" t="str">
        <f>IF($E85="","",IF(INDEX(E_SourceStreams!$A:$N,EE85,AZ$7)="","",INDEX(E_SourceStreams!$A:$N,EE85,AZ$7)))</f>
        <v/>
      </c>
      <c r="BA85" s="703" t="str">
        <f>IF($E85="","",IF(INDEX(E_SourceStreams!$A:$N,EF85,BA$7)="","",INDEX(E_SourceStreams!$A:$N,EF85,BA$7)))</f>
        <v/>
      </c>
      <c r="BB85" s="703" t="str">
        <f>IF($E85="","",IF(INDEX(E_SourceStreams!$A:$N,EG85,BB$7)="","",INDEX(E_SourceStreams!$A:$N,EG85,BB$7)))</f>
        <v/>
      </c>
      <c r="BC85" s="703" t="str">
        <f>IF($E85="","",IF(INDEX(E_SourceStreams!$A:$N,EH85,BC$7)="","",INDEX(E_SourceStreams!$A:$N,EH85,BC$7)))</f>
        <v/>
      </c>
      <c r="BD85" s="703" t="str">
        <f>IF($E85="","",IF(INDEX(E_SourceStreams!$A:$N,EI85,BD$7)="","",INDEX(E_SourceStreams!$A:$N,EI85,BD$7)))</f>
        <v/>
      </c>
      <c r="BE85" s="703" t="str">
        <f>IF($E85="","",IF(INDEX(E_SourceStreams!$A:$N,EJ85,BE$7)="","",INDEX(E_SourceStreams!$A:$N,EJ85,BE$7)))</f>
        <v/>
      </c>
      <c r="BF85" s="703" t="str">
        <f>IF($E85="","",IF(INDEX(E_SourceStreams!$A:$N,EK85,BF$7)="","",INDEX(E_SourceStreams!$A:$N,EK85,BF$7)))</f>
        <v/>
      </c>
      <c r="BG85" s="703" t="str">
        <f>IF($E85="","",IF(INDEX(E_SourceStreams!$A:$N,EL85,BG$7)="","",INDEX(E_SourceStreams!$A:$N,EL85,BG$7)))</f>
        <v/>
      </c>
      <c r="BH85" s="703" t="str">
        <f>IF($E85="","",IF(INDEX(E_SourceStreams!$A:$N,EM85,BH$7)="","",INDEX(E_SourceStreams!$A:$N,EM85,BH$7)))</f>
        <v/>
      </c>
      <c r="BI85" s="703" t="str">
        <f>IF($E85="","",IF(INDEX(E_SourceStreams!$A:$N,EN85,BI$7)="","",INDEX(E_SourceStreams!$A:$N,EN85,BI$7)))</f>
        <v/>
      </c>
      <c r="BJ85" s="703" t="str">
        <f>IF($E85="","",IF(INDEX(E_SourceStreams!$A:$N,EO85,BJ$7)="","",INDEX(E_SourceStreams!$A:$N,EO85,BJ$7)))</f>
        <v/>
      </c>
      <c r="BK85" s="703" t="str">
        <f>IF($E85="","",IF(INDEX(E_SourceStreams!$A:$N,EP85,BK$7)="","",INDEX(E_SourceStreams!$A:$N,EP85,BK$7)))</f>
        <v/>
      </c>
      <c r="BL85" s="703" t="str">
        <f>IF($E85="","",IF(INDEX(E_SourceStreams!$A:$N,EQ85,BL$7)="","",INDEX(E_SourceStreams!$A:$N,EQ85,BL$7)))</f>
        <v/>
      </c>
      <c r="BM85" s="703" t="str">
        <f>IF($E85="","",IF(INDEX(E_SourceStreams!$A:$N,ER85,BM$7)="","",INDEX(E_SourceStreams!$A:$N,ER85,BM$7)))</f>
        <v/>
      </c>
      <c r="BN85" s="703" t="str">
        <f>IF($E85="","",IF(INDEX(E_SourceStreams!$A:$N,ES85,BN$7)="","",INDEX(E_SourceStreams!$A:$N,ES85,BN$7)))</f>
        <v/>
      </c>
      <c r="BO85" s="703" t="str">
        <f>IF($E85="","",IF(INDEX(E_SourceStreams!$A:$N,ET85,BO$7)="","",INDEX(E_SourceStreams!$A:$N,ET85,BO$7)))</f>
        <v/>
      </c>
      <c r="BP85" s="703" t="str">
        <f>IF($E85="","",IF(INDEX(E_SourceStreams!$A:$N,EU85,BP$7)="","",INDEX(E_SourceStreams!$A:$N,EU85,BP$7)))</f>
        <v/>
      </c>
      <c r="BQ85" s="703" t="str">
        <f>IF($E85="","",IF(INDEX(E_SourceStreams!$A:$N,EV85,BQ$7)="","",INDEX(E_SourceStreams!$A:$N,EV85,BQ$7)))</f>
        <v/>
      </c>
      <c r="BR85" s="703" t="str">
        <f>IF($E85="","",IF(INDEX(E_SourceStreams!$A:$N,EW85,BR$7)="","",INDEX(E_SourceStreams!$A:$N,EW85,BR$7)))</f>
        <v/>
      </c>
      <c r="BS85" s="703" t="str">
        <f>IF($E85="","",IF(INDEX(E_SourceStreams!$A:$N,EX85,BS$7)="","",INDEX(E_SourceStreams!$A:$N,EX85,BS$7)))</f>
        <v/>
      </c>
      <c r="BT85" s="703" t="str">
        <f>IF($E85="","",IF(INDEX(E_SourceStreams!$A:$N,EY85,BT$7)="","",INDEX(E_SourceStreams!$A:$N,EY85,BT$7)))</f>
        <v/>
      </c>
      <c r="BU85" s="625"/>
      <c r="CJ85" s="679" t="str">
        <f t="shared" si="68"/>
        <v>SourceCategory_</v>
      </c>
      <c r="CK85" s="679" t="b">
        <f>INDEX(C_InstallationDescription!$A$226:$A$332,ROWS($CI$11:CI85))="ausblenden"</f>
        <v>1</v>
      </c>
      <c r="CL85" s="679" t="str">
        <f t="shared" si="69"/>
        <v>SourceStreamName_</v>
      </c>
      <c r="CN85" s="679">
        <f t="shared" si="133"/>
        <v>5019</v>
      </c>
      <c r="CO85" s="679">
        <f t="shared" si="70"/>
        <v>5021</v>
      </c>
      <c r="CP85" s="679">
        <f t="shared" si="71"/>
        <v>5023</v>
      </c>
      <c r="CQ85" s="679">
        <f t="shared" si="72"/>
        <v>5025</v>
      </c>
      <c r="CR85" s="679">
        <f t="shared" si="73"/>
        <v>5027</v>
      </c>
      <c r="CS85" s="679">
        <f t="shared" si="74"/>
        <v>5029</v>
      </c>
      <c r="CT85" s="679">
        <f t="shared" si="75"/>
        <v>5031</v>
      </c>
      <c r="CU85" s="679">
        <f t="shared" si="76"/>
        <v>5031</v>
      </c>
      <c r="CV85" s="679">
        <f t="shared" si="77"/>
        <v>5031</v>
      </c>
      <c r="CW85" s="679">
        <f t="shared" si="78"/>
        <v>5031</v>
      </c>
      <c r="CX85" s="679">
        <f t="shared" si="79"/>
        <v>5031</v>
      </c>
      <c r="CY85" s="679">
        <f t="shared" si="80"/>
        <v>5034</v>
      </c>
      <c r="CZ85" s="679">
        <f t="shared" si="81"/>
        <v>5038</v>
      </c>
      <c r="DA85" s="679">
        <f t="shared" si="82"/>
        <v>5039</v>
      </c>
      <c r="DB85" s="679">
        <f t="shared" si="83"/>
        <v>5040</v>
      </c>
      <c r="DC85" s="679">
        <f t="shared" si="84"/>
        <v>5047</v>
      </c>
      <c r="DD85" s="679">
        <f t="shared" si="85"/>
        <v>5057</v>
      </c>
      <c r="DE85" s="679">
        <f t="shared" si="86"/>
        <v>5057</v>
      </c>
      <c r="DF85" s="679">
        <f t="shared" si="87"/>
        <v>5057</v>
      </c>
      <c r="DG85" s="679">
        <f t="shared" si="88"/>
        <v>5057</v>
      </c>
      <c r="DH85" s="679">
        <f t="shared" si="89"/>
        <v>5057</v>
      </c>
      <c r="DI85" s="679">
        <f t="shared" si="90"/>
        <v>5057</v>
      </c>
      <c r="DJ85" s="679">
        <f t="shared" si="91"/>
        <v>5057</v>
      </c>
      <c r="DK85" s="679">
        <f t="shared" si="92"/>
        <v>5048</v>
      </c>
      <c r="DL85" s="679">
        <f t="shared" si="93"/>
        <v>5058</v>
      </c>
      <c r="DM85" s="679">
        <f t="shared" si="94"/>
        <v>5058</v>
      </c>
      <c r="DN85" s="679">
        <f t="shared" si="95"/>
        <v>5058</v>
      </c>
      <c r="DO85" s="679">
        <f t="shared" si="96"/>
        <v>5058</v>
      </c>
      <c r="DP85" s="679">
        <f t="shared" si="97"/>
        <v>5058</v>
      </c>
      <c r="DQ85" s="679">
        <f t="shared" si="98"/>
        <v>5058</v>
      </c>
      <c r="DR85" s="679">
        <f t="shared" si="99"/>
        <v>5058</v>
      </c>
      <c r="DS85" s="679">
        <f t="shared" si="100"/>
        <v>5049</v>
      </c>
      <c r="DT85" s="679">
        <f t="shared" si="101"/>
        <v>5059</v>
      </c>
      <c r="DU85" s="679">
        <f t="shared" si="102"/>
        <v>5059</v>
      </c>
      <c r="DV85" s="679">
        <f t="shared" si="103"/>
        <v>5059</v>
      </c>
      <c r="DW85" s="679">
        <f t="shared" si="104"/>
        <v>5059</v>
      </c>
      <c r="DX85" s="679">
        <f t="shared" si="105"/>
        <v>5059</v>
      </c>
      <c r="DY85" s="679">
        <f t="shared" si="106"/>
        <v>5059</v>
      </c>
      <c r="DZ85" s="679">
        <f t="shared" si="107"/>
        <v>5059</v>
      </c>
      <c r="EA85" s="679">
        <f t="shared" si="108"/>
        <v>5050</v>
      </c>
      <c r="EB85" s="679">
        <f t="shared" si="109"/>
        <v>5060</v>
      </c>
      <c r="EC85" s="679">
        <f t="shared" si="110"/>
        <v>5060</v>
      </c>
      <c r="ED85" s="679">
        <f t="shared" si="111"/>
        <v>5060</v>
      </c>
      <c r="EE85" s="679">
        <f t="shared" si="112"/>
        <v>5060</v>
      </c>
      <c r="EF85" s="679">
        <f t="shared" si="113"/>
        <v>5060</v>
      </c>
      <c r="EG85" s="679">
        <f t="shared" si="114"/>
        <v>5060</v>
      </c>
      <c r="EH85" s="679">
        <f t="shared" si="115"/>
        <v>5060</v>
      </c>
      <c r="EI85" s="679">
        <f t="shared" si="116"/>
        <v>5051</v>
      </c>
      <c r="EJ85" s="679">
        <f t="shared" si="117"/>
        <v>5061</v>
      </c>
      <c r="EK85" s="679">
        <f t="shared" si="118"/>
        <v>5061</v>
      </c>
      <c r="EL85" s="679">
        <f t="shared" si="119"/>
        <v>5061</v>
      </c>
      <c r="EM85" s="679">
        <f t="shared" si="120"/>
        <v>5061</v>
      </c>
      <c r="EN85" s="679">
        <f t="shared" si="121"/>
        <v>5061</v>
      </c>
      <c r="EO85" s="679">
        <f t="shared" si="122"/>
        <v>5061</v>
      </c>
      <c r="EP85" s="679">
        <f t="shared" si="123"/>
        <v>5061</v>
      </c>
      <c r="EQ85" s="679">
        <f t="shared" si="124"/>
        <v>5052</v>
      </c>
      <c r="ER85" s="679">
        <f t="shared" si="125"/>
        <v>5062</v>
      </c>
      <c r="ES85" s="679">
        <f t="shared" si="126"/>
        <v>5062</v>
      </c>
      <c r="ET85" s="679">
        <f t="shared" si="127"/>
        <v>5062</v>
      </c>
      <c r="EU85" s="679">
        <f t="shared" si="128"/>
        <v>5062</v>
      </c>
      <c r="EV85" s="679">
        <f t="shared" si="129"/>
        <v>5062</v>
      </c>
      <c r="EW85" s="679">
        <f t="shared" si="130"/>
        <v>5062</v>
      </c>
      <c r="EX85" s="679">
        <f t="shared" si="131"/>
        <v>5062</v>
      </c>
      <c r="EY85" s="679">
        <f t="shared" si="132"/>
        <v>5068</v>
      </c>
    </row>
    <row r="86" spans="1:204" ht="12.75" customHeight="1" x14ac:dyDescent="0.2">
      <c r="T86" s="694"/>
      <c r="U86" s="694"/>
    </row>
    <row r="87" spans="1:204" s="698" customFormat="1" hidden="1" x14ac:dyDescent="0.2">
      <c r="A87" s="683" t="s">
        <v>1090</v>
      </c>
      <c r="H87" s="698">
        <v>8</v>
      </c>
      <c r="I87" s="698">
        <v>8</v>
      </c>
      <c r="J87" s="698">
        <v>9</v>
      </c>
      <c r="K87" s="698">
        <v>10</v>
      </c>
      <c r="L87" s="698">
        <v>11</v>
      </c>
      <c r="M87" s="698">
        <v>12</v>
      </c>
      <c r="N87" s="698">
        <v>8</v>
      </c>
      <c r="O87" s="698">
        <v>8</v>
      </c>
      <c r="P87" s="698">
        <v>8</v>
      </c>
      <c r="Q87" s="698">
        <v>5</v>
      </c>
      <c r="R87" s="698">
        <v>6</v>
      </c>
      <c r="S87" s="698">
        <v>6</v>
      </c>
      <c r="T87" s="698">
        <v>6</v>
      </c>
      <c r="U87" s="698">
        <v>6</v>
      </c>
      <c r="V87" s="698">
        <v>6</v>
      </c>
      <c r="W87" s="698">
        <v>5</v>
      </c>
      <c r="X87" s="698">
        <v>5</v>
      </c>
      <c r="FA87" s="693"/>
      <c r="FB87" s="693"/>
      <c r="FC87" s="693"/>
      <c r="FD87" s="693"/>
      <c r="FE87" s="693"/>
      <c r="FF87" s="693"/>
      <c r="FG87" s="693"/>
      <c r="FH87" s="693"/>
      <c r="FI87" s="693"/>
      <c r="FJ87" s="693"/>
      <c r="FK87" s="693"/>
      <c r="FL87" s="693"/>
      <c r="FM87" s="693"/>
      <c r="FN87" s="693"/>
      <c r="FO87" s="693"/>
      <c r="FP87" s="693"/>
      <c r="FQ87" s="693"/>
      <c r="FR87" s="693"/>
      <c r="FS87" s="693"/>
      <c r="FT87" s="693"/>
      <c r="FU87" s="693"/>
      <c r="FV87" s="693"/>
      <c r="FW87" s="693"/>
      <c r="FX87" s="693"/>
      <c r="FY87" s="693"/>
      <c r="FZ87" s="693"/>
      <c r="GA87" s="693"/>
      <c r="GB87" s="693"/>
      <c r="GC87" s="693"/>
      <c r="GD87" s="693"/>
      <c r="GE87" s="693"/>
      <c r="GF87" s="693"/>
      <c r="GG87" s="693"/>
      <c r="GH87" s="693"/>
      <c r="GI87" s="693"/>
      <c r="GJ87" s="693"/>
      <c r="GK87" s="693"/>
      <c r="GL87" s="693"/>
      <c r="GM87" s="693"/>
      <c r="GN87" s="693"/>
      <c r="GO87" s="693"/>
      <c r="GP87" s="693"/>
      <c r="GQ87" s="693"/>
      <c r="GR87" s="693"/>
      <c r="GS87" s="693"/>
      <c r="GT87" s="693"/>
      <c r="GU87" s="693"/>
      <c r="GV87" s="693"/>
    </row>
    <row r="88" spans="1:204" ht="35.1" customHeight="1" thickBot="1" x14ac:dyDescent="0.45">
      <c r="B88" s="595" t="str">
        <f>Translations!$B$323</f>
        <v>Emission sources</v>
      </c>
      <c r="C88" s="693"/>
      <c r="D88" s="693"/>
      <c r="E88" s="693"/>
      <c r="T88" s="694"/>
      <c r="U88" s="694"/>
    </row>
    <row r="89" spans="1:204" x14ac:dyDescent="0.2">
      <c r="B89" s="625"/>
      <c r="C89" s="625"/>
      <c r="D89" s="625"/>
      <c r="E89" s="625"/>
      <c r="I89" s="1256" t="str">
        <f>Translations!$B$472</f>
        <v>Measurement instruments used:</v>
      </c>
      <c r="J89" s="1257"/>
      <c r="K89" s="1257"/>
      <c r="L89" s="1257"/>
      <c r="M89" s="1258"/>
      <c r="T89" s="694"/>
      <c r="U89" s="694"/>
    </row>
    <row r="90" spans="1:204" ht="80.099999999999994" customHeight="1" x14ac:dyDescent="0.2">
      <c r="B90" s="596" t="str">
        <f>C_InstallationDescription!$E$169</f>
        <v>measurement point ref. M1, M2,...</v>
      </c>
      <c r="C90" s="596" t="str">
        <f>C_InstallationDescription!F169</f>
        <v>Description</v>
      </c>
      <c r="D90" s="596" t="str">
        <f>C_InstallationDescription!K169</f>
        <v>Emission point ref.</v>
      </c>
      <c r="E90" s="596"/>
      <c r="F90" s="596" t="str">
        <f>C_InstallationDescription!L169</f>
        <v>Estimated emissions [t CO2e / year]</v>
      </c>
      <c r="G90" s="596" t="str">
        <f>C_InstallationDescription!M169</f>
        <v>Possible category</v>
      </c>
      <c r="H90" s="596" t="str">
        <f>C_InstallationDescription!N169</f>
        <v>GHG measured</v>
      </c>
      <c r="I90" s="596">
        <v>1</v>
      </c>
      <c r="J90" s="596">
        <v>2</v>
      </c>
      <c r="K90" s="596">
        <v>3</v>
      </c>
      <c r="L90" s="596">
        <v>4</v>
      </c>
      <c r="M90" s="596">
        <v>5</v>
      </c>
      <c r="N90" s="596" t="str">
        <f>F_MeasurementBasedApproaches!$E$137</f>
        <v>Operation type:</v>
      </c>
      <c r="O90" s="596" t="str">
        <f>F_MeasurementBasedApproaches!$E$168</f>
        <v>Tier level required:</v>
      </c>
      <c r="P90" s="596" t="str">
        <f>F_MeasurementBasedApproaches!$E$169</f>
        <v>Tier used:</v>
      </c>
      <c r="Q90" s="596" t="str">
        <f>F_MeasurementBasedApproaches!$E$170</f>
        <v>Uncertainty achieved:</v>
      </c>
      <c r="R90" s="596" t="str">
        <f>F_MeasurementBasedApproaches!$E$182</f>
        <v>Applied standards and of any deviations from those standards</v>
      </c>
      <c r="S90" s="596" t="str">
        <f>F_MeasurementBasedApproaches!F192</f>
        <v>Any calculation formulae used for data aggregation and used to determine the annual emissions</v>
      </c>
      <c r="T90" s="596" t="str">
        <f>F_MeasurementBasedApproaches!F195</f>
        <v>Method for determining whether valid hours or shorter reference periods for each parameter can be calculated (using the threshold given in Article 44(2)), and for substitution of missing data in accordance with Article 45</v>
      </c>
      <c r="U90" s="596" t="str">
        <f>F_MeasurementBasedApproaches!F198</f>
        <v>Calculation of the flue gas flow, if applicable</v>
      </c>
      <c r="V90" s="596" t="str">
        <f>F_MeasurementBasedApproaches!F201</f>
        <v>Determination of CO2 stemming from biomass or from any other zero-rated fraction, if applicable</v>
      </c>
      <c r="W90" s="596" t="str">
        <f>F_MeasurementBasedApproaches!F204</f>
        <v>Corroborating calculations in accordance with Article 46 that are carried out, if applicable</v>
      </c>
      <c r="X90" s="596" t="str">
        <f>Translations!$B$1202</f>
        <v>Comments and justification if required tier is not applied:</v>
      </c>
    </row>
    <row r="91" spans="1:204" ht="12.75" customHeight="1" x14ac:dyDescent="0.2">
      <c r="B91" s="700" t="str">
        <f>IF(COUNTIF($CK$90:CK91,TRUE)&gt;0,"",INDEX(C_InstallationDescription!$E$171:$E$188,ROWS($A$91:A91)))</f>
        <v>M1</v>
      </c>
      <c r="C91" s="701" t="str">
        <f>IF(INDEX(C_InstallationDescription!F:F,MATCH($B91,C_InstallationDescription!$E:$E,0))="","",INDEX(C_InstallationDescription!F:F,MATCH($B91,C_InstallationDescription!$E:$E,0)))</f>
        <v/>
      </c>
      <c r="D91" s="701" t="str">
        <f>IF($C91="","",INDEX(C_InstallationDescription!K:K,MATCH($B91,C_InstallationDescription!$E:$E,0)))</f>
        <v/>
      </c>
      <c r="E91" s="707"/>
      <c r="F91" s="702" t="str">
        <f>IF($C91="","",INDEX(C_InstallationDescription!L:L,MATCH($B91,C_InstallationDescription!$E:$E,0)))</f>
        <v/>
      </c>
      <c r="G91" s="700" t="str">
        <f>IF($C91="","",INDEX(C_InstallationDescription!M:M,MATCH($B91,C_InstallationDescription!$E:$E,0)))</f>
        <v/>
      </c>
      <c r="H91" s="700" t="str">
        <f>IF($C91="","",INDEX(C_InstallationDescription!N:N,MATCH($B91,C_InstallationDescription!$E:$E,0)))</f>
        <v/>
      </c>
      <c r="I91" s="703" t="str">
        <f>IF($C91="","",IF($C91="","",INDEX(F_MeasurementBasedApproaches!$A:$N,CM91,I$87)))</f>
        <v/>
      </c>
      <c r="J91" s="703" t="str">
        <f>IF($C91="","",IF($C91="","",INDEX(F_MeasurementBasedApproaches!$A:$N,CN91,J$87)))</f>
        <v/>
      </c>
      <c r="K91" s="703" t="str">
        <f>IF($C91="","",IF($C91="","",INDEX(F_MeasurementBasedApproaches!$A:$N,CO91,K$87)))</f>
        <v/>
      </c>
      <c r="L91" s="703" t="str">
        <f>IF($C91="","",IF($C91="","",INDEX(F_MeasurementBasedApproaches!$A:$N,CP91,L$87)))</f>
        <v/>
      </c>
      <c r="M91" s="703" t="str">
        <f>IF($C91="","",IF($C91="","",INDEX(F_MeasurementBasedApproaches!$A:$N,CQ91,M$87)))</f>
        <v/>
      </c>
      <c r="N91" s="703" t="str">
        <f>IF($C91="","",IF($C91="","",INDEX(F_MeasurementBasedApproaches!$A:$N,CL91,N$87)))</f>
        <v/>
      </c>
      <c r="O91" s="703" t="str">
        <f>IF($C91="","",IF($C91="","",INDEX(F_MeasurementBasedApproaches!$A:$N,CR91,N$87)))</f>
        <v/>
      </c>
      <c r="P91" s="703" t="str">
        <f>IF($C91="","",IF($C91="","",INDEX(F_MeasurementBasedApproaches!$A:$N,CS91,O$87)))</f>
        <v/>
      </c>
      <c r="Q91" s="703" t="str">
        <f>IF($C91="","",IF($C91="","",INDEX(F_MeasurementBasedApproaches!$A:$N,CT91,P$87)))</f>
        <v/>
      </c>
      <c r="R91" s="703" t="str">
        <f>IF($C91="","",IF($C91="","",INDEX(F_MeasurementBasedApproaches!$A:$N,CU91,Q$87)))</f>
        <v/>
      </c>
      <c r="S91" s="703" t="str">
        <f>IF($C91="","",IF($C91="","",INDEX(F_MeasurementBasedApproaches!$A:$N,CV91,R$87)))</f>
        <v/>
      </c>
      <c r="T91" s="703" t="str">
        <f>IF($C91="","",IF($C91="","",INDEX(F_MeasurementBasedApproaches!$A:$N,CW91,S$87)))</f>
        <v/>
      </c>
      <c r="U91" s="703" t="str">
        <f>IF($C91="","",IF($C91="","",INDEX(F_MeasurementBasedApproaches!$A:$N,CX91,T$87)))</f>
        <v/>
      </c>
      <c r="V91" s="703" t="str">
        <f>IF($C91="","",IF($C91="","",INDEX(F_MeasurementBasedApproaches!$A:$N,CY91,U$87)))</f>
        <v/>
      </c>
      <c r="W91" s="703" t="str">
        <f>IF($C91="","",IF($C91="","",INDEX(F_MeasurementBasedApproaches!$A:$N,CZ91,V$87)))</f>
        <v/>
      </c>
      <c r="X91" s="703" t="str">
        <f>IF($C91="","",IF($C91="","",INDEX(F_MeasurementBasedApproaches!$A:$N,DA91,W$87)))</f>
        <v/>
      </c>
      <c r="CJ91" s="679" t="str">
        <f t="shared" ref="CJ91:CJ105" si="134">EUconst_CNTR_SourceCategory&amp;B91</f>
        <v>SourceCategory_M1</v>
      </c>
      <c r="CK91" s="679" t="b">
        <f>INDEX(C_InstallationDescription!$A$171:$A$188,ROWS($CI$91:CI91))="ausblenden"</f>
        <v>0</v>
      </c>
      <c r="CL91" s="705">
        <v>137</v>
      </c>
      <c r="CM91" s="705">
        <v>156</v>
      </c>
      <c r="CN91" s="705">
        <v>156</v>
      </c>
      <c r="CO91" s="705">
        <v>156</v>
      </c>
      <c r="CP91" s="705">
        <v>156</v>
      </c>
      <c r="CQ91" s="705">
        <v>156</v>
      </c>
      <c r="CR91" s="705">
        <v>164</v>
      </c>
      <c r="CS91" s="705">
        <v>168</v>
      </c>
      <c r="CT91" s="705">
        <v>169</v>
      </c>
      <c r="CU91" s="705">
        <v>170</v>
      </c>
      <c r="CV91" s="705">
        <v>185</v>
      </c>
      <c r="CW91" s="705">
        <v>193</v>
      </c>
      <c r="CX91" s="705">
        <v>196</v>
      </c>
      <c r="CY91" s="705">
        <v>199</v>
      </c>
      <c r="CZ91" s="705">
        <v>202</v>
      </c>
      <c r="DA91" s="705">
        <v>205</v>
      </c>
      <c r="DB91" s="705">
        <v>213</v>
      </c>
    </row>
    <row r="92" spans="1:204" ht="12.75" customHeight="1" x14ac:dyDescent="0.2">
      <c r="B92" s="700" t="str">
        <f>IF(COUNTIF($CK$90:CK92,TRUE)&gt;0,"",INDEX(C_InstallationDescription!$E$171:$E$188,ROWS($A$91:A92)))</f>
        <v>M2</v>
      </c>
      <c r="C92" s="701" t="str">
        <f>IF(INDEX(C_InstallationDescription!F:F,MATCH($B92,C_InstallationDescription!$E:$E,0))="","",INDEX(C_InstallationDescription!F:F,MATCH($B92,C_InstallationDescription!$E:$E,0)))</f>
        <v/>
      </c>
      <c r="D92" s="701" t="str">
        <f>IF($C92="","",INDEX(C_InstallationDescription!K:K,MATCH($B92,C_InstallationDescription!$E:$E,0)))</f>
        <v/>
      </c>
      <c r="E92" s="707"/>
      <c r="F92" s="702" t="str">
        <f>IF($C92="","",INDEX(C_InstallationDescription!L:L,MATCH($B92,C_InstallationDescription!$E:$E,0)))</f>
        <v/>
      </c>
      <c r="G92" s="700" t="str">
        <f>IF($C92="","",INDEX(C_InstallationDescription!M:M,MATCH($B92,C_InstallationDescription!$E:$E,0)))</f>
        <v/>
      </c>
      <c r="H92" s="700" t="str">
        <f>IF($C92="","",INDEX(C_InstallationDescription!N:N,MATCH($B92,C_InstallationDescription!$E:$E,0)))</f>
        <v/>
      </c>
      <c r="I92" s="703" t="str">
        <f>IF($C92="","",IF($C92="","",INDEX(F_MeasurementBasedApproaches!$A:$N,CM92,I$87)))</f>
        <v/>
      </c>
      <c r="J92" s="703" t="str">
        <f>IF($C92="","",IF($C92="","",INDEX(F_MeasurementBasedApproaches!$A:$N,CN92,J$87)))</f>
        <v/>
      </c>
      <c r="K92" s="703" t="str">
        <f>IF($C92="","",IF($C92="","",INDEX(F_MeasurementBasedApproaches!$A:$N,CO92,K$87)))</f>
        <v/>
      </c>
      <c r="L92" s="703" t="str">
        <f>IF($C92="","",IF($C92="","",INDEX(F_MeasurementBasedApproaches!$A:$N,CP92,L$87)))</f>
        <v/>
      </c>
      <c r="M92" s="703" t="str">
        <f>IF($C92="","",IF($C92="","",INDEX(F_MeasurementBasedApproaches!$A:$N,CQ92,M$87)))</f>
        <v/>
      </c>
      <c r="N92" s="703" t="str">
        <f>IF($C92="","",IF($C92="","",INDEX(F_MeasurementBasedApproaches!$A:$N,CL92,H$87)))</f>
        <v/>
      </c>
      <c r="O92" s="703" t="str">
        <f>IF($C92="","",IF($C92="","",INDEX(F_MeasurementBasedApproaches!$A:$N,CR92,N$87)))</f>
        <v/>
      </c>
      <c r="P92" s="703" t="str">
        <f>IF($C92="","",IF($C92="","",INDEX(F_MeasurementBasedApproaches!$A:$N,CS92,O$87)))</f>
        <v/>
      </c>
      <c r="Q92" s="703" t="str">
        <f>IF($C92="","",IF($C92="","",INDEX(F_MeasurementBasedApproaches!$A:$N,CT92,P$87)))</f>
        <v/>
      </c>
      <c r="R92" s="703" t="str">
        <f>IF($C92="","",IF($C92="","",INDEX(F_MeasurementBasedApproaches!$A:$N,CU92,Q$87)))</f>
        <v/>
      </c>
      <c r="S92" s="703" t="str">
        <f>IF($C92="","",IF($C92="","",INDEX(F_MeasurementBasedApproaches!$A:$N,CV92,R$87)))</f>
        <v/>
      </c>
      <c r="T92" s="703" t="str">
        <f>IF($C92="","",IF($C92="","",INDEX(F_MeasurementBasedApproaches!$A:$N,CW92,S$87)))</f>
        <v/>
      </c>
      <c r="U92" s="703" t="str">
        <f>IF($C92="","",IF($C92="","",INDEX(F_MeasurementBasedApproaches!$A:$N,CX92,T$87)))</f>
        <v/>
      </c>
      <c r="V92" s="703" t="str">
        <f>IF($C92="","",IF($C92="","",INDEX(F_MeasurementBasedApproaches!$A:$N,CY92,U$87)))</f>
        <v/>
      </c>
      <c r="W92" s="703" t="str">
        <f>IF($C92="","",IF($C92="","",INDEX(F_MeasurementBasedApproaches!$A:$N,CZ92,V$87)))</f>
        <v/>
      </c>
      <c r="X92" s="703" t="str">
        <f>IF($C92="","",IF($C92="","",INDEX(F_MeasurementBasedApproaches!$A:$N,DA92,W$87)))</f>
        <v/>
      </c>
      <c r="CJ92" s="679" t="str">
        <f t="shared" si="134"/>
        <v>SourceCategory_M2</v>
      </c>
      <c r="CK92" s="679" t="b">
        <f>INDEX(C_InstallationDescription!$A$171:$A$188,ROWS($CI$91:CI92))="ausblenden"</f>
        <v>0</v>
      </c>
      <c r="CL92" s="705">
        <v>220</v>
      </c>
      <c r="CM92" s="705">
        <v>229</v>
      </c>
      <c r="CN92" s="705">
        <v>229</v>
      </c>
      <c r="CO92" s="705">
        <v>229</v>
      </c>
      <c r="CP92" s="705">
        <v>229</v>
      </c>
      <c r="CQ92" s="705">
        <v>229</v>
      </c>
      <c r="CR92" s="705">
        <v>233</v>
      </c>
      <c r="CS92" s="705">
        <v>237</v>
      </c>
      <c r="CT92" s="705">
        <v>238</v>
      </c>
      <c r="CU92" s="705">
        <v>239</v>
      </c>
      <c r="CV92" s="705">
        <v>246</v>
      </c>
      <c r="CW92" s="705">
        <v>253</v>
      </c>
      <c r="CX92" s="705">
        <v>256</v>
      </c>
      <c r="CY92" s="705">
        <v>259</v>
      </c>
      <c r="CZ92" s="705">
        <v>262</v>
      </c>
      <c r="DA92" s="705">
        <v>265</v>
      </c>
      <c r="DB92" s="705">
        <v>271</v>
      </c>
    </row>
    <row r="93" spans="1:204" ht="12.75" customHeight="1" x14ac:dyDescent="0.2">
      <c r="B93" s="700" t="str">
        <f>IF(COUNTIF($CK$90:CK93,TRUE)&gt;0,"",INDEX(C_InstallationDescription!$E$171:$E$188,ROWS($A$91:A93)))</f>
        <v>M3</v>
      </c>
      <c r="C93" s="701" t="str">
        <f>IF(INDEX(C_InstallationDescription!F:F,MATCH($B93,C_InstallationDescription!$E:$E,0))="","",INDEX(C_InstallationDescription!F:F,MATCH($B93,C_InstallationDescription!$E:$E,0)))</f>
        <v/>
      </c>
      <c r="D93" s="701" t="str">
        <f>IF($C93="","",INDEX(C_InstallationDescription!K:K,MATCH($B93,C_InstallationDescription!$E:$E,0)))</f>
        <v/>
      </c>
      <c r="E93" s="707"/>
      <c r="F93" s="702" t="str">
        <f>IF($C93="","",INDEX(C_InstallationDescription!L:L,MATCH($B93,C_InstallationDescription!$E:$E,0)))</f>
        <v/>
      </c>
      <c r="G93" s="700" t="str">
        <f>IF($C93="","",INDEX(C_InstallationDescription!M:M,MATCH($B93,C_InstallationDescription!$E:$E,0)))</f>
        <v/>
      </c>
      <c r="H93" s="700" t="str">
        <f>IF($C93="","",INDEX(C_InstallationDescription!N:N,MATCH($B93,C_InstallationDescription!$E:$E,0)))</f>
        <v/>
      </c>
      <c r="I93" s="703" t="str">
        <f>IF($C93="","",IF($C93="","",INDEX(F_MeasurementBasedApproaches!$A:$N,CM93,I$87)))</f>
        <v/>
      </c>
      <c r="J93" s="703" t="str">
        <f>IF($C93="","",IF($C93="","",INDEX(F_MeasurementBasedApproaches!$A:$N,CN93,J$87)))</f>
        <v/>
      </c>
      <c r="K93" s="703" t="str">
        <f>IF($C93="","",IF($C93="","",INDEX(F_MeasurementBasedApproaches!$A:$N,CO93,K$87)))</f>
        <v/>
      </c>
      <c r="L93" s="703" t="str">
        <f>IF($C93="","",IF($C93="","",INDEX(F_MeasurementBasedApproaches!$A:$N,CP93,L$87)))</f>
        <v/>
      </c>
      <c r="M93" s="703" t="str">
        <f>IF($C93="","",IF($C93="","",INDEX(F_MeasurementBasedApproaches!$A:$N,CQ93,M$87)))</f>
        <v/>
      </c>
      <c r="N93" s="703" t="str">
        <f>IF($C93="","",IF($C93="","",INDEX(F_MeasurementBasedApproaches!$A:$N,CL93,H$87)))</f>
        <v/>
      </c>
      <c r="O93" s="703" t="str">
        <f>IF($C93="","",IF($C93="","",INDEX(F_MeasurementBasedApproaches!$A:$N,CR93,N$87)))</f>
        <v/>
      </c>
      <c r="P93" s="703" t="str">
        <f>IF($C93="","",IF($C93="","",INDEX(F_MeasurementBasedApproaches!$A:$N,CS93,O$87)))</f>
        <v/>
      </c>
      <c r="Q93" s="703" t="str">
        <f>IF($C93="","",IF($C93="","",INDEX(F_MeasurementBasedApproaches!$A:$N,CT93,P$87)))</f>
        <v/>
      </c>
      <c r="R93" s="703" t="str">
        <f>IF($C93="","",IF($C93="","",INDEX(F_MeasurementBasedApproaches!$A:$N,CU93,Q$87)))</f>
        <v/>
      </c>
      <c r="S93" s="703" t="str">
        <f>IF($C93="","",IF($C93="","",INDEX(F_MeasurementBasedApproaches!$A:$N,CV93,R$87)))</f>
        <v/>
      </c>
      <c r="T93" s="703" t="str">
        <f>IF($C93="","",IF($C93="","",INDEX(F_MeasurementBasedApproaches!$A:$N,CW93,S$87)))</f>
        <v/>
      </c>
      <c r="U93" s="703" t="str">
        <f>IF($C93="","",IF($C93="","",INDEX(F_MeasurementBasedApproaches!$A:$N,CX93,T$87)))</f>
        <v/>
      </c>
      <c r="V93" s="703" t="str">
        <f>IF($C93="","",IF($C93="","",INDEX(F_MeasurementBasedApproaches!$A:$N,CY93,U$87)))</f>
        <v/>
      </c>
      <c r="W93" s="703" t="str">
        <f>IF($C93="","",IF($C93="","",INDEX(F_MeasurementBasedApproaches!$A:$N,CZ93,V$87)))</f>
        <v/>
      </c>
      <c r="X93" s="703" t="str">
        <f>IF($C93="","",IF($C93="","",INDEX(F_MeasurementBasedApproaches!$A:$N,DA93,W$87)))</f>
        <v/>
      </c>
      <c r="CJ93" s="679" t="str">
        <f t="shared" si="134"/>
        <v>SourceCategory_M3</v>
      </c>
      <c r="CK93" s="679" t="b">
        <f>INDEX(C_InstallationDescription!$A$171:$A$188,ROWS($CI$91:CI93))="ausblenden"</f>
        <v>0</v>
      </c>
      <c r="CL93" s="679">
        <f>CL92+58</f>
        <v>278</v>
      </c>
      <c r="CM93" s="679">
        <f t="shared" ref="CM93:CM105" si="135">CM92+58</f>
        <v>287</v>
      </c>
      <c r="CN93" s="679">
        <f t="shared" ref="CN93:CN105" si="136">CN92+58</f>
        <v>287</v>
      </c>
      <c r="CO93" s="679">
        <f t="shared" ref="CO93:CO105" si="137">CO92+58</f>
        <v>287</v>
      </c>
      <c r="CP93" s="679">
        <f t="shared" ref="CP93:CP105" si="138">CP92+58</f>
        <v>287</v>
      </c>
      <c r="CQ93" s="679">
        <f t="shared" ref="CQ93:CQ105" si="139">CQ92+58</f>
        <v>287</v>
      </c>
      <c r="CR93" s="679">
        <f t="shared" ref="CR93:CR105" si="140">CR92+58</f>
        <v>291</v>
      </c>
      <c r="CS93" s="679">
        <f t="shared" ref="CS93:CS105" si="141">CS92+58</f>
        <v>295</v>
      </c>
      <c r="CT93" s="679">
        <f t="shared" ref="CT93:CT105" si="142">CT92+58</f>
        <v>296</v>
      </c>
      <c r="CU93" s="679">
        <f t="shared" ref="CU93:CU105" si="143">CU92+58</f>
        <v>297</v>
      </c>
      <c r="CV93" s="679">
        <f t="shared" ref="CV93:CV105" si="144">CV92+58</f>
        <v>304</v>
      </c>
      <c r="CW93" s="679">
        <f t="shared" ref="CW93:CW105" si="145">CW92+58</f>
        <v>311</v>
      </c>
      <c r="CX93" s="679">
        <f t="shared" ref="CX93:CX105" si="146">CX92+58</f>
        <v>314</v>
      </c>
      <c r="CY93" s="679">
        <f t="shared" ref="CY93:CY105" si="147">CY92+58</f>
        <v>317</v>
      </c>
      <c r="CZ93" s="679">
        <f t="shared" ref="CZ93:CZ105" si="148">CZ92+58</f>
        <v>320</v>
      </c>
      <c r="DA93" s="679">
        <f t="shared" ref="DA93:DA105" si="149">DA92+58</f>
        <v>323</v>
      </c>
      <c r="DB93" s="679">
        <f t="shared" ref="DB93:DB105" si="150">DB92+58</f>
        <v>329</v>
      </c>
    </row>
    <row r="94" spans="1:204" ht="12.75" customHeight="1" x14ac:dyDescent="0.2">
      <c r="B94" s="700" t="str">
        <f>IF(COUNTIF($CK$90:CK94,TRUE)&gt;0,"",INDEX(C_InstallationDescription!$E$171:$E$188,ROWS($A$91:A94)))</f>
        <v>M4</v>
      </c>
      <c r="C94" s="701" t="str">
        <f>IF(INDEX(C_InstallationDescription!F:F,MATCH($B94,C_InstallationDescription!$E:$E,0))="","",INDEX(C_InstallationDescription!F:F,MATCH($B94,C_InstallationDescription!$E:$E,0)))</f>
        <v/>
      </c>
      <c r="D94" s="701" t="str">
        <f>IF($C94="","",INDEX(C_InstallationDescription!K:K,MATCH($B94,C_InstallationDescription!$E:$E,0)))</f>
        <v/>
      </c>
      <c r="E94" s="707"/>
      <c r="F94" s="702" t="str">
        <f>IF($C94="","",INDEX(C_InstallationDescription!L:L,MATCH($B94,C_InstallationDescription!$E:$E,0)))</f>
        <v/>
      </c>
      <c r="G94" s="700" t="str">
        <f>IF($C94="","",INDEX(C_InstallationDescription!M:M,MATCH($B94,C_InstallationDescription!$E:$E,0)))</f>
        <v/>
      </c>
      <c r="H94" s="700" t="str">
        <f>IF($C94="","",INDEX(C_InstallationDescription!N:N,MATCH($B94,C_InstallationDescription!$E:$E,0)))</f>
        <v/>
      </c>
      <c r="I94" s="703" t="str">
        <f>IF($C94="","",IF($C94="","",INDEX(F_MeasurementBasedApproaches!$A:$N,CM94,I$87)))</f>
        <v/>
      </c>
      <c r="J94" s="703" t="str">
        <f>IF($C94="","",IF($C94="","",INDEX(F_MeasurementBasedApproaches!$A:$N,CN94,J$87)))</f>
        <v/>
      </c>
      <c r="K94" s="703" t="str">
        <f>IF($C94="","",IF($C94="","",INDEX(F_MeasurementBasedApproaches!$A:$N,CO94,K$87)))</f>
        <v/>
      </c>
      <c r="L94" s="703" t="str">
        <f>IF($C94="","",IF($C94="","",INDEX(F_MeasurementBasedApproaches!$A:$N,CP94,L$87)))</f>
        <v/>
      </c>
      <c r="M94" s="703" t="str">
        <f>IF($C94="","",IF($C94="","",INDEX(F_MeasurementBasedApproaches!$A:$N,CQ94,M$87)))</f>
        <v/>
      </c>
      <c r="N94" s="703" t="str">
        <f>IF($C94="","",IF($C94="","",INDEX(F_MeasurementBasedApproaches!$A:$N,CL94,H$87)))</f>
        <v/>
      </c>
      <c r="O94" s="703" t="str">
        <f>IF($C94="","",IF($C94="","",INDEX(F_MeasurementBasedApproaches!$A:$N,CR94,N$87)))</f>
        <v/>
      </c>
      <c r="P94" s="703" t="str">
        <f>IF($C94="","",IF($C94="","",INDEX(F_MeasurementBasedApproaches!$A:$N,CS94,O$87)))</f>
        <v/>
      </c>
      <c r="Q94" s="703" t="str">
        <f>IF($C94="","",IF($C94="","",INDEX(F_MeasurementBasedApproaches!$A:$N,CT94,P$87)))</f>
        <v/>
      </c>
      <c r="R94" s="703" t="str">
        <f>IF($C94="","",IF($C94="","",INDEX(F_MeasurementBasedApproaches!$A:$N,CU94,Q$87)))</f>
        <v/>
      </c>
      <c r="S94" s="703" t="str">
        <f>IF($C94="","",IF($C94="","",INDEX(F_MeasurementBasedApproaches!$A:$N,CV94,R$87)))</f>
        <v/>
      </c>
      <c r="T94" s="703" t="str">
        <f>IF($C94="","",IF($C94="","",INDEX(F_MeasurementBasedApproaches!$A:$N,CW94,S$87)))</f>
        <v/>
      </c>
      <c r="U94" s="703" t="str">
        <f>IF($C94="","",IF($C94="","",INDEX(F_MeasurementBasedApproaches!$A:$N,CX94,T$87)))</f>
        <v/>
      </c>
      <c r="V94" s="703" t="str">
        <f>IF($C94="","",IF($C94="","",INDEX(F_MeasurementBasedApproaches!$A:$N,CY94,U$87)))</f>
        <v/>
      </c>
      <c r="W94" s="703" t="str">
        <f>IF($C94="","",IF($C94="","",INDEX(F_MeasurementBasedApproaches!$A:$N,CZ94,V$87)))</f>
        <v/>
      </c>
      <c r="X94" s="703" t="str">
        <f>IF($C94="","",IF($C94="","",INDEX(F_MeasurementBasedApproaches!$A:$N,DA94,W$87)))</f>
        <v/>
      </c>
      <c r="CJ94" s="679" t="str">
        <f t="shared" si="134"/>
        <v>SourceCategory_M4</v>
      </c>
      <c r="CK94" s="679" t="b">
        <f>INDEX(C_InstallationDescription!$A$171:$A$188,ROWS($CI$91:CI94))="ausblenden"</f>
        <v>0</v>
      </c>
      <c r="CL94" s="679">
        <f t="shared" ref="CL94:CL105" si="151">CL93+58</f>
        <v>336</v>
      </c>
      <c r="CM94" s="679">
        <f t="shared" si="135"/>
        <v>345</v>
      </c>
      <c r="CN94" s="679">
        <f t="shared" si="136"/>
        <v>345</v>
      </c>
      <c r="CO94" s="679">
        <f t="shared" si="137"/>
        <v>345</v>
      </c>
      <c r="CP94" s="679">
        <f t="shared" si="138"/>
        <v>345</v>
      </c>
      <c r="CQ94" s="679">
        <f t="shared" si="139"/>
        <v>345</v>
      </c>
      <c r="CR94" s="679">
        <f t="shared" si="140"/>
        <v>349</v>
      </c>
      <c r="CS94" s="679">
        <f t="shared" si="141"/>
        <v>353</v>
      </c>
      <c r="CT94" s="679">
        <f t="shared" si="142"/>
        <v>354</v>
      </c>
      <c r="CU94" s="679">
        <f t="shared" si="143"/>
        <v>355</v>
      </c>
      <c r="CV94" s="679">
        <f t="shared" si="144"/>
        <v>362</v>
      </c>
      <c r="CW94" s="679">
        <f t="shared" si="145"/>
        <v>369</v>
      </c>
      <c r="CX94" s="679">
        <f t="shared" si="146"/>
        <v>372</v>
      </c>
      <c r="CY94" s="679">
        <f t="shared" si="147"/>
        <v>375</v>
      </c>
      <c r="CZ94" s="679">
        <f t="shared" si="148"/>
        <v>378</v>
      </c>
      <c r="DA94" s="679">
        <f t="shared" si="149"/>
        <v>381</v>
      </c>
      <c r="DB94" s="679">
        <f t="shared" si="150"/>
        <v>387</v>
      </c>
    </row>
    <row r="95" spans="1:204" ht="12.75" customHeight="1" x14ac:dyDescent="0.2">
      <c r="B95" s="700" t="str">
        <f>IF(COUNTIF($CK$90:CK95,TRUE)&gt;0,"",INDEX(C_InstallationDescription!$E$171:$E$188,ROWS($A$91:A95)))</f>
        <v>M5</v>
      </c>
      <c r="C95" s="701" t="str">
        <f>IF(INDEX(C_InstallationDescription!F:F,MATCH($B95,C_InstallationDescription!$E:$E,0))="","",INDEX(C_InstallationDescription!F:F,MATCH($B95,C_InstallationDescription!$E:$E,0)))</f>
        <v/>
      </c>
      <c r="D95" s="701" t="str">
        <f>IF($C95="","",INDEX(C_InstallationDescription!K:K,MATCH($B95,C_InstallationDescription!$E:$E,0)))</f>
        <v/>
      </c>
      <c r="E95" s="707"/>
      <c r="F95" s="702" t="str">
        <f>IF($C95="","",INDEX(C_InstallationDescription!L:L,MATCH($B95,C_InstallationDescription!$E:$E,0)))</f>
        <v/>
      </c>
      <c r="G95" s="700" t="str">
        <f>IF($C95="","",INDEX(C_InstallationDescription!M:M,MATCH($B95,C_InstallationDescription!$E:$E,0)))</f>
        <v/>
      </c>
      <c r="H95" s="700" t="str">
        <f>IF($C95="","",INDEX(C_InstallationDescription!N:N,MATCH($B95,C_InstallationDescription!$E:$E,0)))</f>
        <v/>
      </c>
      <c r="I95" s="703" t="str">
        <f>IF($C95="","",IF($C95="","",INDEX(F_MeasurementBasedApproaches!$A:$N,CM95,I$87)))</f>
        <v/>
      </c>
      <c r="J95" s="703" t="str">
        <f>IF($C95="","",IF($C95="","",INDEX(F_MeasurementBasedApproaches!$A:$N,CN95,J$87)))</f>
        <v/>
      </c>
      <c r="K95" s="703" t="str">
        <f>IF($C95="","",IF($C95="","",INDEX(F_MeasurementBasedApproaches!$A:$N,CO95,K$87)))</f>
        <v/>
      </c>
      <c r="L95" s="703" t="str">
        <f>IF($C95="","",IF($C95="","",INDEX(F_MeasurementBasedApproaches!$A:$N,CP95,L$87)))</f>
        <v/>
      </c>
      <c r="M95" s="703" t="str">
        <f>IF($C95="","",IF($C95="","",INDEX(F_MeasurementBasedApproaches!$A:$N,CQ95,M$87)))</f>
        <v/>
      </c>
      <c r="N95" s="703" t="str">
        <f>IF($C95="","",IF($C95="","",INDEX(F_MeasurementBasedApproaches!$A:$N,CL95,H$87)))</f>
        <v/>
      </c>
      <c r="O95" s="703" t="str">
        <f>IF($C95="","",IF($C95="","",INDEX(F_MeasurementBasedApproaches!$A:$N,CR95,N$87)))</f>
        <v/>
      </c>
      <c r="P95" s="703" t="str">
        <f>IF($C95="","",IF($C95="","",INDEX(F_MeasurementBasedApproaches!$A:$N,CS95,O$87)))</f>
        <v/>
      </c>
      <c r="Q95" s="703" t="str">
        <f>IF($C95="","",IF($C95="","",INDEX(F_MeasurementBasedApproaches!$A:$N,CT95,P$87)))</f>
        <v/>
      </c>
      <c r="R95" s="703" t="str">
        <f>IF($C95="","",IF($C95="","",INDEX(F_MeasurementBasedApproaches!$A:$N,CU95,Q$87)))</f>
        <v/>
      </c>
      <c r="S95" s="703" t="str">
        <f>IF($C95="","",IF($C95="","",INDEX(F_MeasurementBasedApproaches!$A:$N,CV95,R$87)))</f>
        <v/>
      </c>
      <c r="T95" s="703" t="str">
        <f>IF($C95="","",IF($C95="","",INDEX(F_MeasurementBasedApproaches!$A:$N,CW95,S$87)))</f>
        <v/>
      </c>
      <c r="U95" s="703" t="str">
        <f>IF($C95="","",IF($C95="","",INDEX(F_MeasurementBasedApproaches!$A:$N,CX95,T$87)))</f>
        <v/>
      </c>
      <c r="V95" s="703" t="str">
        <f>IF($C95="","",IF($C95="","",INDEX(F_MeasurementBasedApproaches!$A:$N,CY95,U$87)))</f>
        <v/>
      </c>
      <c r="W95" s="703" t="str">
        <f>IF($C95="","",IF($C95="","",INDEX(F_MeasurementBasedApproaches!$A:$N,CZ95,V$87)))</f>
        <v/>
      </c>
      <c r="X95" s="703" t="str">
        <f>IF($C95="","",IF($C95="","",INDEX(F_MeasurementBasedApproaches!$A:$N,DA95,W$87)))</f>
        <v/>
      </c>
      <c r="CJ95" s="679" t="str">
        <f t="shared" si="134"/>
        <v>SourceCategory_M5</v>
      </c>
      <c r="CK95" s="679" t="b">
        <f>INDEX(C_InstallationDescription!$A$171:$A$188,ROWS($CI$91:CI95))="ausblenden"</f>
        <v>0</v>
      </c>
      <c r="CL95" s="679">
        <f t="shared" si="151"/>
        <v>394</v>
      </c>
      <c r="CM95" s="679">
        <f t="shared" si="135"/>
        <v>403</v>
      </c>
      <c r="CN95" s="679">
        <f t="shared" si="136"/>
        <v>403</v>
      </c>
      <c r="CO95" s="679">
        <f t="shared" si="137"/>
        <v>403</v>
      </c>
      <c r="CP95" s="679">
        <f t="shared" si="138"/>
        <v>403</v>
      </c>
      <c r="CQ95" s="679">
        <f t="shared" si="139"/>
        <v>403</v>
      </c>
      <c r="CR95" s="679">
        <f t="shared" si="140"/>
        <v>407</v>
      </c>
      <c r="CS95" s="679">
        <f t="shared" si="141"/>
        <v>411</v>
      </c>
      <c r="CT95" s="679">
        <f t="shared" si="142"/>
        <v>412</v>
      </c>
      <c r="CU95" s="679">
        <f t="shared" si="143"/>
        <v>413</v>
      </c>
      <c r="CV95" s="679">
        <f t="shared" si="144"/>
        <v>420</v>
      </c>
      <c r="CW95" s="679">
        <f t="shared" si="145"/>
        <v>427</v>
      </c>
      <c r="CX95" s="679">
        <f t="shared" si="146"/>
        <v>430</v>
      </c>
      <c r="CY95" s="679">
        <f t="shared" si="147"/>
        <v>433</v>
      </c>
      <c r="CZ95" s="679">
        <f t="shared" si="148"/>
        <v>436</v>
      </c>
      <c r="DA95" s="679">
        <f t="shared" si="149"/>
        <v>439</v>
      </c>
      <c r="DB95" s="679">
        <f t="shared" si="150"/>
        <v>445</v>
      </c>
    </row>
    <row r="96" spans="1:204" ht="12.75" customHeight="1" x14ac:dyDescent="0.2">
      <c r="B96" s="700" t="str">
        <f>IF(COUNTIF($CK$90:CK96,TRUE)&gt;0,"",INDEX(C_InstallationDescription!$E$171:$E$188,ROWS($A$91:A96)))</f>
        <v/>
      </c>
      <c r="C96" s="701" t="str">
        <f>IF(INDEX(C_InstallationDescription!F:F,MATCH($B96,C_InstallationDescription!$E:$E,0))="","",INDEX(C_InstallationDescription!F:F,MATCH($B96,C_InstallationDescription!$E:$E,0)))</f>
        <v/>
      </c>
      <c r="D96" s="701" t="str">
        <f>IF($C96="","",INDEX(C_InstallationDescription!K:K,MATCH($B96,C_InstallationDescription!$E:$E,0)))</f>
        <v/>
      </c>
      <c r="E96" s="707"/>
      <c r="F96" s="702" t="str">
        <f>IF($C96="","",INDEX(C_InstallationDescription!L:L,MATCH($B96,C_InstallationDescription!$E:$E,0)))</f>
        <v/>
      </c>
      <c r="G96" s="700" t="str">
        <f>IF($C96="","",INDEX(C_InstallationDescription!M:M,MATCH($B96,C_InstallationDescription!$E:$E,0)))</f>
        <v/>
      </c>
      <c r="H96" s="700" t="str">
        <f>IF($C96="","",INDEX(C_InstallationDescription!N:N,MATCH($B96,C_InstallationDescription!$E:$E,0)))</f>
        <v/>
      </c>
      <c r="I96" s="703" t="str">
        <f>IF($C96="","",IF($C96="","",INDEX(F_MeasurementBasedApproaches!$A:$N,CM96,I$87)))</f>
        <v/>
      </c>
      <c r="J96" s="703" t="str">
        <f>IF($C96="","",IF($C96="","",INDEX(F_MeasurementBasedApproaches!$A:$N,CN96,J$87)))</f>
        <v/>
      </c>
      <c r="K96" s="703" t="str">
        <f>IF($C96="","",IF($C96="","",INDEX(F_MeasurementBasedApproaches!$A:$N,CO96,K$87)))</f>
        <v/>
      </c>
      <c r="L96" s="703" t="str">
        <f>IF($C96="","",IF($C96="","",INDEX(F_MeasurementBasedApproaches!$A:$N,CP96,L$87)))</f>
        <v/>
      </c>
      <c r="M96" s="703" t="str">
        <f>IF($C96="","",IF($C96="","",INDEX(F_MeasurementBasedApproaches!$A:$N,CQ96,M$87)))</f>
        <v/>
      </c>
      <c r="N96" s="703" t="str">
        <f>IF($C96="","",IF($C96="","",INDEX(F_MeasurementBasedApproaches!$A:$N,CL96,H$87)))</f>
        <v/>
      </c>
      <c r="O96" s="703" t="str">
        <f>IF($C96="","",IF($C96="","",INDEX(F_MeasurementBasedApproaches!$A:$N,CR96,N$87)))</f>
        <v/>
      </c>
      <c r="P96" s="703" t="str">
        <f>IF($C96="","",IF($C96="","",INDEX(F_MeasurementBasedApproaches!$A:$N,CS96,O$87)))</f>
        <v/>
      </c>
      <c r="Q96" s="703" t="str">
        <f>IF($C96="","",IF($C96="","",INDEX(F_MeasurementBasedApproaches!$A:$N,CT96,P$87)))</f>
        <v/>
      </c>
      <c r="R96" s="703" t="str">
        <f>IF($C96="","",IF($C96="","",INDEX(F_MeasurementBasedApproaches!$A:$N,CU96,Q$87)))</f>
        <v/>
      </c>
      <c r="S96" s="703" t="str">
        <f>IF($C96="","",IF($C96="","",INDEX(F_MeasurementBasedApproaches!$A:$N,CV96,R$87)))</f>
        <v/>
      </c>
      <c r="T96" s="703" t="str">
        <f>IF($C96="","",IF($C96="","",INDEX(F_MeasurementBasedApproaches!$A:$N,CW96,S$87)))</f>
        <v/>
      </c>
      <c r="U96" s="703" t="str">
        <f>IF($C96="","",IF($C96="","",INDEX(F_MeasurementBasedApproaches!$A:$N,CX96,T$87)))</f>
        <v/>
      </c>
      <c r="V96" s="703" t="str">
        <f>IF($C96="","",IF($C96="","",INDEX(F_MeasurementBasedApproaches!$A:$N,CY96,U$87)))</f>
        <v/>
      </c>
      <c r="W96" s="703" t="str">
        <f>IF($C96="","",IF($C96="","",INDEX(F_MeasurementBasedApproaches!$A:$N,CZ96,V$87)))</f>
        <v/>
      </c>
      <c r="X96" s="703" t="str">
        <f>IF($C96="","",IF($C96="","",INDEX(F_MeasurementBasedApproaches!$A:$N,DA96,W$87)))</f>
        <v/>
      </c>
      <c r="CJ96" s="679" t="str">
        <f t="shared" si="134"/>
        <v>SourceCategory_</v>
      </c>
      <c r="CK96" s="679" t="b">
        <f>INDEX(C_InstallationDescription!$A$171:$A$188,ROWS($CI$91:CI96))="ausblenden"</f>
        <v>1</v>
      </c>
      <c r="CL96" s="679">
        <f t="shared" si="151"/>
        <v>452</v>
      </c>
      <c r="CM96" s="679">
        <f t="shared" si="135"/>
        <v>461</v>
      </c>
      <c r="CN96" s="679">
        <f t="shared" si="136"/>
        <v>461</v>
      </c>
      <c r="CO96" s="679">
        <f t="shared" si="137"/>
        <v>461</v>
      </c>
      <c r="CP96" s="679">
        <f t="shared" si="138"/>
        <v>461</v>
      </c>
      <c r="CQ96" s="679">
        <f t="shared" si="139"/>
        <v>461</v>
      </c>
      <c r="CR96" s="679">
        <f t="shared" si="140"/>
        <v>465</v>
      </c>
      <c r="CS96" s="679">
        <f t="shared" si="141"/>
        <v>469</v>
      </c>
      <c r="CT96" s="679">
        <f t="shared" si="142"/>
        <v>470</v>
      </c>
      <c r="CU96" s="679">
        <f t="shared" si="143"/>
        <v>471</v>
      </c>
      <c r="CV96" s="679">
        <f t="shared" si="144"/>
        <v>478</v>
      </c>
      <c r="CW96" s="679">
        <f t="shared" si="145"/>
        <v>485</v>
      </c>
      <c r="CX96" s="679">
        <f t="shared" si="146"/>
        <v>488</v>
      </c>
      <c r="CY96" s="679">
        <f t="shared" si="147"/>
        <v>491</v>
      </c>
      <c r="CZ96" s="679">
        <f t="shared" si="148"/>
        <v>494</v>
      </c>
      <c r="DA96" s="679">
        <f t="shared" si="149"/>
        <v>497</v>
      </c>
      <c r="DB96" s="679">
        <f t="shared" si="150"/>
        <v>503</v>
      </c>
    </row>
    <row r="97" spans="1:204" ht="12.75" customHeight="1" x14ac:dyDescent="0.2">
      <c r="B97" s="700" t="str">
        <f>IF(COUNTIF($CK$90:CK97,TRUE)&gt;0,"",INDEX(C_InstallationDescription!$E$171:$E$188,ROWS($A$91:A97)))</f>
        <v/>
      </c>
      <c r="C97" s="701" t="str">
        <f>IF(INDEX(C_InstallationDescription!F:F,MATCH($B97,C_InstallationDescription!$E:$E,0))="","",INDEX(C_InstallationDescription!F:F,MATCH($B97,C_InstallationDescription!$E:$E,0)))</f>
        <v/>
      </c>
      <c r="D97" s="701" t="str">
        <f>IF($C97="","",INDEX(C_InstallationDescription!K:K,MATCH($B97,C_InstallationDescription!$E:$E,0)))</f>
        <v/>
      </c>
      <c r="E97" s="707"/>
      <c r="F97" s="702" t="str">
        <f>IF($C97="","",INDEX(C_InstallationDescription!L:L,MATCH($B97,C_InstallationDescription!$E:$E,0)))</f>
        <v/>
      </c>
      <c r="G97" s="700" t="str">
        <f>IF($C97="","",INDEX(C_InstallationDescription!M:M,MATCH($B97,C_InstallationDescription!$E:$E,0)))</f>
        <v/>
      </c>
      <c r="H97" s="700" t="str">
        <f>IF($C97="","",INDEX(C_InstallationDescription!N:N,MATCH($B97,C_InstallationDescription!$E:$E,0)))</f>
        <v/>
      </c>
      <c r="I97" s="703" t="str">
        <f>IF($C97="","",IF($C97="","",INDEX(F_MeasurementBasedApproaches!$A:$N,CM97,I$87)))</f>
        <v/>
      </c>
      <c r="J97" s="703" t="str">
        <f>IF($C97="","",IF($C97="","",INDEX(F_MeasurementBasedApproaches!$A:$N,CN97,J$87)))</f>
        <v/>
      </c>
      <c r="K97" s="703" t="str">
        <f>IF($C97="","",IF($C97="","",INDEX(F_MeasurementBasedApproaches!$A:$N,CO97,K$87)))</f>
        <v/>
      </c>
      <c r="L97" s="703" t="str">
        <f>IF($C97="","",IF($C97="","",INDEX(F_MeasurementBasedApproaches!$A:$N,CP97,L$87)))</f>
        <v/>
      </c>
      <c r="M97" s="703" t="str">
        <f>IF($C97="","",IF($C97="","",INDEX(F_MeasurementBasedApproaches!$A:$N,CQ97,M$87)))</f>
        <v/>
      </c>
      <c r="N97" s="703" t="str">
        <f>IF($C97="","",IF($C97="","",INDEX(F_MeasurementBasedApproaches!$A:$N,CL97,H$87)))</f>
        <v/>
      </c>
      <c r="O97" s="703" t="str">
        <f>IF($C97="","",IF($C97="","",INDEX(F_MeasurementBasedApproaches!$A:$N,CR97,N$87)))</f>
        <v/>
      </c>
      <c r="P97" s="703" t="str">
        <f>IF($C97="","",IF($C97="","",INDEX(F_MeasurementBasedApproaches!$A:$N,CS97,O$87)))</f>
        <v/>
      </c>
      <c r="Q97" s="703" t="str">
        <f>IF($C97="","",IF($C97="","",INDEX(F_MeasurementBasedApproaches!$A:$N,CT97,P$87)))</f>
        <v/>
      </c>
      <c r="R97" s="703" t="str">
        <f>IF($C97="","",IF($C97="","",INDEX(F_MeasurementBasedApproaches!$A:$N,CU97,Q$87)))</f>
        <v/>
      </c>
      <c r="S97" s="703" t="str">
        <f>IF($C97="","",IF($C97="","",INDEX(F_MeasurementBasedApproaches!$A:$N,CV97,R$87)))</f>
        <v/>
      </c>
      <c r="T97" s="703" t="str">
        <f>IF($C97="","",IF($C97="","",INDEX(F_MeasurementBasedApproaches!$A:$N,CW97,S$87)))</f>
        <v/>
      </c>
      <c r="U97" s="703" t="str">
        <f>IF($C97="","",IF($C97="","",INDEX(F_MeasurementBasedApproaches!$A:$N,CX97,T$87)))</f>
        <v/>
      </c>
      <c r="V97" s="703" t="str">
        <f>IF($C97="","",IF($C97="","",INDEX(F_MeasurementBasedApproaches!$A:$N,CY97,U$87)))</f>
        <v/>
      </c>
      <c r="W97" s="703" t="str">
        <f>IF($C97="","",IF($C97="","",INDEX(F_MeasurementBasedApproaches!$A:$N,CZ97,V$87)))</f>
        <v/>
      </c>
      <c r="X97" s="703" t="str">
        <f>IF($C97="","",IF($C97="","",INDEX(F_MeasurementBasedApproaches!$A:$N,DA97,W$87)))</f>
        <v/>
      </c>
      <c r="CJ97" s="679" t="str">
        <f t="shared" si="134"/>
        <v>SourceCategory_</v>
      </c>
      <c r="CK97" s="679" t="b">
        <f>INDEX(C_InstallationDescription!$A$171:$A$188,ROWS($CI$91:CI97))="ausblenden"</f>
        <v>0</v>
      </c>
      <c r="CL97" s="679">
        <f t="shared" si="151"/>
        <v>510</v>
      </c>
      <c r="CM97" s="679">
        <f t="shared" si="135"/>
        <v>519</v>
      </c>
      <c r="CN97" s="679">
        <f t="shared" si="136"/>
        <v>519</v>
      </c>
      <c r="CO97" s="679">
        <f t="shared" si="137"/>
        <v>519</v>
      </c>
      <c r="CP97" s="679">
        <f t="shared" si="138"/>
        <v>519</v>
      </c>
      <c r="CQ97" s="679">
        <f t="shared" si="139"/>
        <v>519</v>
      </c>
      <c r="CR97" s="679">
        <f t="shared" si="140"/>
        <v>523</v>
      </c>
      <c r="CS97" s="679">
        <f t="shared" si="141"/>
        <v>527</v>
      </c>
      <c r="CT97" s="679">
        <f t="shared" si="142"/>
        <v>528</v>
      </c>
      <c r="CU97" s="679">
        <f t="shared" si="143"/>
        <v>529</v>
      </c>
      <c r="CV97" s="679">
        <f t="shared" si="144"/>
        <v>536</v>
      </c>
      <c r="CW97" s="679">
        <f t="shared" si="145"/>
        <v>543</v>
      </c>
      <c r="CX97" s="679">
        <f t="shared" si="146"/>
        <v>546</v>
      </c>
      <c r="CY97" s="679">
        <f t="shared" si="147"/>
        <v>549</v>
      </c>
      <c r="CZ97" s="679">
        <f t="shared" si="148"/>
        <v>552</v>
      </c>
      <c r="DA97" s="679">
        <f t="shared" si="149"/>
        <v>555</v>
      </c>
      <c r="DB97" s="679">
        <f t="shared" si="150"/>
        <v>561</v>
      </c>
    </row>
    <row r="98" spans="1:204" ht="12.75" customHeight="1" x14ac:dyDescent="0.2">
      <c r="B98" s="700" t="str">
        <f>IF(COUNTIF($CK$90:CK98,TRUE)&gt;0,"",INDEX(C_InstallationDescription!$E$171:$E$188,ROWS($A$91:A98)))</f>
        <v/>
      </c>
      <c r="C98" s="701" t="str">
        <f>IF(INDEX(C_InstallationDescription!F:F,MATCH($B98,C_InstallationDescription!$E:$E,0))="","",INDEX(C_InstallationDescription!F:F,MATCH($B98,C_InstallationDescription!$E:$E,0)))</f>
        <v/>
      </c>
      <c r="D98" s="701" t="str">
        <f>IF($C98="","",INDEX(C_InstallationDescription!K:K,MATCH($B98,C_InstallationDescription!$E:$E,0)))</f>
        <v/>
      </c>
      <c r="E98" s="707"/>
      <c r="F98" s="702" t="str">
        <f>IF($C98="","",INDEX(C_InstallationDescription!L:L,MATCH($B98,C_InstallationDescription!$E:$E,0)))</f>
        <v/>
      </c>
      <c r="G98" s="700" t="str">
        <f>IF($C98="","",INDEX(C_InstallationDescription!M:M,MATCH($B98,C_InstallationDescription!$E:$E,0)))</f>
        <v/>
      </c>
      <c r="H98" s="700" t="str">
        <f>IF($C98="","",INDEX(C_InstallationDescription!N:N,MATCH($B98,C_InstallationDescription!$E:$E,0)))</f>
        <v/>
      </c>
      <c r="I98" s="703" t="str">
        <f>IF($C98="","",IF($C98="","",INDEX(F_MeasurementBasedApproaches!$A:$N,CM98,I$87)))</f>
        <v/>
      </c>
      <c r="J98" s="703" t="str">
        <f>IF($C98="","",IF($C98="","",INDEX(F_MeasurementBasedApproaches!$A:$N,CN98,J$87)))</f>
        <v/>
      </c>
      <c r="K98" s="703" t="str">
        <f>IF($C98="","",IF($C98="","",INDEX(F_MeasurementBasedApproaches!$A:$N,CO98,K$87)))</f>
        <v/>
      </c>
      <c r="L98" s="703" t="str">
        <f>IF($C98="","",IF($C98="","",INDEX(F_MeasurementBasedApproaches!$A:$N,CP98,L$87)))</f>
        <v/>
      </c>
      <c r="M98" s="703" t="str">
        <f>IF($C98="","",IF($C98="","",INDEX(F_MeasurementBasedApproaches!$A:$N,CQ98,M$87)))</f>
        <v/>
      </c>
      <c r="N98" s="703" t="str">
        <f>IF($C98="","",IF($C98="","",INDEX(F_MeasurementBasedApproaches!$A:$N,CL98,H$87)))</f>
        <v/>
      </c>
      <c r="O98" s="703" t="str">
        <f>IF($C98="","",IF($C98="","",INDEX(F_MeasurementBasedApproaches!$A:$N,CR98,N$87)))</f>
        <v/>
      </c>
      <c r="P98" s="703" t="str">
        <f>IF($C98="","",IF($C98="","",INDEX(F_MeasurementBasedApproaches!$A:$N,CS98,O$87)))</f>
        <v/>
      </c>
      <c r="Q98" s="703" t="str">
        <f>IF($C98="","",IF($C98="","",INDEX(F_MeasurementBasedApproaches!$A:$N,CT98,P$87)))</f>
        <v/>
      </c>
      <c r="R98" s="703" t="str">
        <f>IF($C98="","",IF($C98="","",INDEX(F_MeasurementBasedApproaches!$A:$N,CU98,Q$87)))</f>
        <v/>
      </c>
      <c r="S98" s="703" t="str">
        <f>IF($C98="","",IF($C98="","",INDEX(F_MeasurementBasedApproaches!$A:$N,CV98,R$87)))</f>
        <v/>
      </c>
      <c r="T98" s="703" t="str">
        <f>IF($C98="","",IF($C98="","",INDEX(F_MeasurementBasedApproaches!$A:$N,CW98,S$87)))</f>
        <v/>
      </c>
      <c r="U98" s="703" t="str">
        <f>IF($C98="","",IF($C98="","",INDEX(F_MeasurementBasedApproaches!$A:$N,CX98,T$87)))</f>
        <v/>
      </c>
      <c r="V98" s="703" t="str">
        <f>IF($C98="","",IF($C98="","",INDEX(F_MeasurementBasedApproaches!$A:$N,CY98,U$87)))</f>
        <v/>
      </c>
      <c r="W98" s="703" t="str">
        <f>IF($C98="","",IF($C98="","",INDEX(F_MeasurementBasedApproaches!$A:$N,CZ98,V$87)))</f>
        <v/>
      </c>
      <c r="X98" s="703" t="str">
        <f>IF($C98="","",IF($C98="","",INDEX(F_MeasurementBasedApproaches!$A:$N,DA98,W$87)))</f>
        <v/>
      </c>
      <c r="CJ98" s="679" t="str">
        <f t="shared" si="134"/>
        <v>SourceCategory_</v>
      </c>
      <c r="CK98" s="679" t="b">
        <f>INDEX(C_InstallationDescription!$A$171:$A$188,ROWS($CI$91:CI98))="ausblenden"</f>
        <v>0</v>
      </c>
      <c r="CL98" s="679">
        <f t="shared" si="151"/>
        <v>568</v>
      </c>
      <c r="CM98" s="679">
        <f t="shared" si="135"/>
        <v>577</v>
      </c>
      <c r="CN98" s="679">
        <f t="shared" si="136"/>
        <v>577</v>
      </c>
      <c r="CO98" s="679">
        <f t="shared" si="137"/>
        <v>577</v>
      </c>
      <c r="CP98" s="679">
        <f t="shared" si="138"/>
        <v>577</v>
      </c>
      <c r="CQ98" s="679">
        <f t="shared" si="139"/>
        <v>577</v>
      </c>
      <c r="CR98" s="679">
        <f t="shared" si="140"/>
        <v>581</v>
      </c>
      <c r="CS98" s="679">
        <f t="shared" si="141"/>
        <v>585</v>
      </c>
      <c r="CT98" s="679">
        <f t="shared" si="142"/>
        <v>586</v>
      </c>
      <c r="CU98" s="679">
        <f t="shared" si="143"/>
        <v>587</v>
      </c>
      <c r="CV98" s="679">
        <f t="shared" si="144"/>
        <v>594</v>
      </c>
      <c r="CW98" s="679">
        <f t="shared" si="145"/>
        <v>601</v>
      </c>
      <c r="CX98" s="679">
        <f t="shared" si="146"/>
        <v>604</v>
      </c>
      <c r="CY98" s="679">
        <f t="shared" si="147"/>
        <v>607</v>
      </c>
      <c r="CZ98" s="679">
        <f t="shared" si="148"/>
        <v>610</v>
      </c>
      <c r="DA98" s="679">
        <f t="shared" si="149"/>
        <v>613</v>
      </c>
      <c r="DB98" s="679">
        <f t="shared" si="150"/>
        <v>619</v>
      </c>
    </row>
    <row r="99" spans="1:204" ht="12.75" customHeight="1" x14ac:dyDescent="0.2">
      <c r="B99" s="700" t="str">
        <f>IF(COUNTIF($CK$90:CK99,TRUE)&gt;0,"",INDEX(C_InstallationDescription!$E$171:$E$188,ROWS($A$91:A99)))</f>
        <v/>
      </c>
      <c r="C99" s="701" t="str">
        <f>IF(INDEX(C_InstallationDescription!F:F,MATCH($B99,C_InstallationDescription!$E:$E,0))="","",INDEX(C_InstallationDescription!F:F,MATCH($B99,C_InstallationDescription!$E:$E,0)))</f>
        <v/>
      </c>
      <c r="D99" s="701" t="str">
        <f>IF($C99="","",INDEX(C_InstallationDescription!K:K,MATCH($B99,C_InstallationDescription!$E:$E,0)))</f>
        <v/>
      </c>
      <c r="E99" s="707"/>
      <c r="F99" s="702" t="str">
        <f>IF($C99="","",INDEX(C_InstallationDescription!L:L,MATCH($B99,C_InstallationDescription!$E:$E,0)))</f>
        <v/>
      </c>
      <c r="G99" s="700" t="str">
        <f>IF($C99="","",INDEX(C_InstallationDescription!M:M,MATCH($B99,C_InstallationDescription!$E:$E,0)))</f>
        <v/>
      </c>
      <c r="H99" s="700" t="str">
        <f>IF($C99="","",INDEX(C_InstallationDescription!N:N,MATCH($B99,C_InstallationDescription!$E:$E,0)))</f>
        <v/>
      </c>
      <c r="I99" s="703" t="str">
        <f>IF($C99="","",IF($C99="","",INDEX(F_MeasurementBasedApproaches!$A:$N,CM99,I$87)))</f>
        <v/>
      </c>
      <c r="J99" s="703" t="str">
        <f>IF($C99="","",IF($C99="","",INDEX(F_MeasurementBasedApproaches!$A:$N,CN99,J$87)))</f>
        <v/>
      </c>
      <c r="K99" s="703" t="str">
        <f>IF($C99="","",IF($C99="","",INDEX(F_MeasurementBasedApproaches!$A:$N,CO99,K$87)))</f>
        <v/>
      </c>
      <c r="L99" s="703" t="str">
        <f>IF($C99="","",IF($C99="","",INDEX(F_MeasurementBasedApproaches!$A:$N,CP99,L$87)))</f>
        <v/>
      </c>
      <c r="M99" s="703" t="str">
        <f>IF($C99="","",IF($C99="","",INDEX(F_MeasurementBasedApproaches!$A:$N,CQ99,M$87)))</f>
        <v/>
      </c>
      <c r="N99" s="703" t="str">
        <f>IF($C99="","",IF($C99="","",INDEX(F_MeasurementBasedApproaches!$A:$N,CL99,H$87)))</f>
        <v/>
      </c>
      <c r="O99" s="703" t="str">
        <f>IF($C99="","",IF($C99="","",INDEX(F_MeasurementBasedApproaches!$A:$N,CR99,N$87)))</f>
        <v/>
      </c>
      <c r="P99" s="703" t="str">
        <f>IF($C99="","",IF($C99="","",INDEX(F_MeasurementBasedApproaches!$A:$N,CS99,O$87)))</f>
        <v/>
      </c>
      <c r="Q99" s="703" t="str">
        <f>IF($C99="","",IF($C99="","",INDEX(F_MeasurementBasedApproaches!$A:$N,CT99,P$87)))</f>
        <v/>
      </c>
      <c r="R99" s="703" t="str">
        <f>IF($C99="","",IF($C99="","",INDEX(F_MeasurementBasedApproaches!$A:$N,CU99,Q$87)))</f>
        <v/>
      </c>
      <c r="S99" s="703" t="str">
        <f>IF($C99="","",IF($C99="","",INDEX(F_MeasurementBasedApproaches!$A:$N,CV99,R$87)))</f>
        <v/>
      </c>
      <c r="T99" s="703" t="str">
        <f>IF($C99="","",IF($C99="","",INDEX(F_MeasurementBasedApproaches!$A:$N,CW99,S$87)))</f>
        <v/>
      </c>
      <c r="U99" s="703" t="str">
        <f>IF($C99="","",IF($C99="","",INDEX(F_MeasurementBasedApproaches!$A:$N,CX99,T$87)))</f>
        <v/>
      </c>
      <c r="V99" s="703" t="str">
        <f>IF($C99="","",IF($C99="","",INDEX(F_MeasurementBasedApproaches!$A:$N,CY99,U$87)))</f>
        <v/>
      </c>
      <c r="W99" s="703" t="str">
        <f>IF($C99="","",IF($C99="","",INDEX(F_MeasurementBasedApproaches!$A:$N,CZ99,V$87)))</f>
        <v/>
      </c>
      <c r="X99" s="703" t="str">
        <f>IF($C99="","",IF($C99="","",INDEX(F_MeasurementBasedApproaches!$A:$N,DA99,W$87)))</f>
        <v/>
      </c>
      <c r="CJ99" s="679" t="str">
        <f t="shared" si="134"/>
        <v>SourceCategory_</v>
      </c>
      <c r="CK99" s="679" t="b">
        <f>INDEX(C_InstallationDescription!$A$171:$A$188,ROWS($CI$91:CI99))="ausblenden"</f>
        <v>0</v>
      </c>
      <c r="CL99" s="679">
        <f t="shared" si="151"/>
        <v>626</v>
      </c>
      <c r="CM99" s="679">
        <f t="shared" si="135"/>
        <v>635</v>
      </c>
      <c r="CN99" s="679">
        <f t="shared" si="136"/>
        <v>635</v>
      </c>
      <c r="CO99" s="679">
        <f t="shared" si="137"/>
        <v>635</v>
      </c>
      <c r="CP99" s="679">
        <f t="shared" si="138"/>
        <v>635</v>
      </c>
      <c r="CQ99" s="679">
        <f t="shared" si="139"/>
        <v>635</v>
      </c>
      <c r="CR99" s="679">
        <f t="shared" si="140"/>
        <v>639</v>
      </c>
      <c r="CS99" s="679">
        <f t="shared" si="141"/>
        <v>643</v>
      </c>
      <c r="CT99" s="679">
        <f t="shared" si="142"/>
        <v>644</v>
      </c>
      <c r="CU99" s="679">
        <f t="shared" si="143"/>
        <v>645</v>
      </c>
      <c r="CV99" s="679">
        <f t="shared" si="144"/>
        <v>652</v>
      </c>
      <c r="CW99" s="679">
        <f t="shared" si="145"/>
        <v>659</v>
      </c>
      <c r="CX99" s="679">
        <f t="shared" si="146"/>
        <v>662</v>
      </c>
      <c r="CY99" s="679">
        <f t="shared" si="147"/>
        <v>665</v>
      </c>
      <c r="CZ99" s="679">
        <f t="shared" si="148"/>
        <v>668</v>
      </c>
      <c r="DA99" s="679">
        <f t="shared" si="149"/>
        <v>671</v>
      </c>
      <c r="DB99" s="679">
        <f t="shared" si="150"/>
        <v>677</v>
      </c>
    </row>
    <row r="100" spans="1:204" ht="12.75" customHeight="1" x14ac:dyDescent="0.2">
      <c r="B100" s="700" t="str">
        <f>IF(COUNTIF($CK$90:CK100,TRUE)&gt;0,"",INDEX(C_InstallationDescription!$E$171:$E$188,ROWS($A$91:A100)))</f>
        <v/>
      </c>
      <c r="C100" s="701" t="str">
        <f>IF(INDEX(C_InstallationDescription!F:F,MATCH($B100,C_InstallationDescription!$E:$E,0))="","",INDEX(C_InstallationDescription!F:F,MATCH($B100,C_InstallationDescription!$E:$E,0)))</f>
        <v/>
      </c>
      <c r="D100" s="701" t="str">
        <f>IF($C100="","",INDEX(C_InstallationDescription!K:K,MATCH($B100,C_InstallationDescription!$E:$E,0)))</f>
        <v/>
      </c>
      <c r="E100" s="707"/>
      <c r="F100" s="702" t="str">
        <f>IF($C100="","",INDEX(C_InstallationDescription!L:L,MATCH($B100,C_InstallationDescription!$E:$E,0)))</f>
        <v/>
      </c>
      <c r="G100" s="700" t="str">
        <f>IF($C100="","",INDEX(C_InstallationDescription!M:M,MATCH($B100,C_InstallationDescription!$E:$E,0)))</f>
        <v/>
      </c>
      <c r="H100" s="700" t="str">
        <f>IF($C100="","",INDEX(C_InstallationDescription!N:N,MATCH($B100,C_InstallationDescription!$E:$E,0)))</f>
        <v/>
      </c>
      <c r="I100" s="703" t="str">
        <f>IF($C100="","",IF($C100="","",INDEX(F_MeasurementBasedApproaches!$A:$N,CM100,I$87)))</f>
        <v/>
      </c>
      <c r="J100" s="703" t="str">
        <f>IF($C100="","",IF($C100="","",INDEX(F_MeasurementBasedApproaches!$A:$N,CN100,J$87)))</f>
        <v/>
      </c>
      <c r="K100" s="703" t="str">
        <f>IF($C100="","",IF($C100="","",INDEX(F_MeasurementBasedApproaches!$A:$N,CO100,K$87)))</f>
        <v/>
      </c>
      <c r="L100" s="703" t="str">
        <f>IF($C100="","",IF($C100="","",INDEX(F_MeasurementBasedApproaches!$A:$N,CP100,L$87)))</f>
        <v/>
      </c>
      <c r="M100" s="703" t="str">
        <f>IF($C100="","",IF($C100="","",INDEX(F_MeasurementBasedApproaches!$A:$N,CQ100,M$87)))</f>
        <v/>
      </c>
      <c r="N100" s="703" t="str">
        <f>IF($C100="","",IF($C100="","",INDEX(F_MeasurementBasedApproaches!$A:$N,CL100,H$87)))</f>
        <v/>
      </c>
      <c r="O100" s="703" t="str">
        <f>IF($C100="","",IF($C100="","",INDEX(F_MeasurementBasedApproaches!$A:$N,CR100,N$87)))</f>
        <v/>
      </c>
      <c r="P100" s="703" t="str">
        <f>IF($C100="","",IF($C100="","",INDEX(F_MeasurementBasedApproaches!$A:$N,CS100,O$87)))</f>
        <v/>
      </c>
      <c r="Q100" s="703" t="str">
        <f>IF($C100="","",IF($C100="","",INDEX(F_MeasurementBasedApproaches!$A:$N,CT100,P$87)))</f>
        <v/>
      </c>
      <c r="R100" s="703" t="str">
        <f>IF($C100="","",IF($C100="","",INDEX(F_MeasurementBasedApproaches!$A:$N,CU100,Q$87)))</f>
        <v/>
      </c>
      <c r="S100" s="703" t="str">
        <f>IF($C100="","",IF($C100="","",INDEX(F_MeasurementBasedApproaches!$A:$N,CV100,R$87)))</f>
        <v/>
      </c>
      <c r="T100" s="703" t="str">
        <f>IF($C100="","",IF($C100="","",INDEX(F_MeasurementBasedApproaches!$A:$N,CW100,S$87)))</f>
        <v/>
      </c>
      <c r="U100" s="703" t="str">
        <f>IF($C100="","",IF($C100="","",INDEX(F_MeasurementBasedApproaches!$A:$N,CX100,T$87)))</f>
        <v/>
      </c>
      <c r="V100" s="703" t="str">
        <f>IF($C100="","",IF($C100="","",INDEX(F_MeasurementBasedApproaches!$A:$N,CY100,U$87)))</f>
        <v/>
      </c>
      <c r="W100" s="703" t="str">
        <f>IF($C100="","",IF($C100="","",INDEX(F_MeasurementBasedApproaches!$A:$N,CZ100,V$87)))</f>
        <v/>
      </c>
      <c r="X100" s="703" t="str">
        <f>IF($C100="","",IF($C100="","",INDEX(F_MeasurementBasedApproaches!$A:$N,DA100,W$87)))</f>
        <v/>
      </c>
      <c r="CJ100" s="679" t="str">
        <f t="shared" si="134"/>
        <v>SourceCategory_</v>
      </c>
      <c r="CK100" s="679" t="b">
        <f>INDEX(C_InstallationDescription!$A$171:$A$188,ROWS($CI$91:CI100))="ausblenden"</f>
        <v>0</v>
      </c>
      <c r="CL100" s="679">
        <f t="shared" si="151"/>
        <v>684</v>
      </c>
      <c r="CM100" s="679">
        <f t="shared" si="135"/>
        <v>693</v>
      </c>
      <c r="CN100" s="679">
        <f t="shared" si="136"/>
        <v>693</v>
      </c>
      <c r="CO100" s="679">
        <f t="shared" si="137"/>
        <v>693</v>
      </c>
      <c r="CP100" s="679">
        <f t="shared" si="138"/>
        <v>693</v>
      </c>
      <c r="CQ100" s="679">
        <f t="shared" si="139"/>
        <v>693</v>
      </c>
      <c r="CR100" s="679">
        <f t="shared" si="140"/>
        <v>697</v>
      </c>
      <c r="CS100" s="679">
        <f t="shared" si="141"/>
        <v>701</v>
      </c>
      <c r="CT100" s="679">
        <f t="shared" si="142"/>
        <v>702</v>
      </c>
      <c r="CU100" s="679">
        <f t="shared" si="143"/>
        <v>703</v>
      </c>
      <c r="CV100" s="679">
        <f t="shared" si="144"/>
        <v>710</v>
      </c>
      <c r="CW100" s="679">
        <f t="shared" si="145"/>
        <v>717</v>
      </c>
      <c r="CX100" s="679">
        <f t="shared" si="146"/>
        <v>720</v>
      </c>
      <c r="CY100" s="679">
        <f t="shared" si="147"/>
        <v>723</v>
      </c>
      <c r="CZ100" s="679">
        <f t="shared" si="148"/>
        <v>726</v>
      </c>
      <c r="DA100" s="679">
        <f t="shared" si="149"/>
        <v>729</v>
      </c>
      <c r="DB100" s="679">
        <f t="shared" si="150"/>
        <v>735</v>
      </c>
    </row>
    <row r="101" spans="1:204" ht="12.75" customHeight="1" x14ac:dyDescent="0.2">
      <c r="B101" s="700" t="str">
        <f>IF(COUNTIF($CK$90:CK101,TRUE)&gt;0,"",INDEX(C_InstallationDescription!$E$171:$E$188,ROWS($A$91:A101)))</f>
        <v/>
      </c>
      <c r="C101" s="701" t="str">
        <f>IF(INDEX(C_InstallationDescription!F:F,MATCH($B101,C_InstallationDescription!$E:$E,0))="","",INDEX(C_InstallationDescription!F:F,MATCH($B101,C_InstallationDescription!$E:$E,0)))</f>
        <v/>
      </c>
      <c r="D101" s="701" t="str">
        <f>IF($C101="","",INDEX(C_InstallationDescription!K:K,MATCH($B101,C_InstallationDescription!$E:$E,0)))</f>
        <v/>
      </c>
      <c r="E101" s="707"/>
      <c r="F101" s="702" t="str">
        <f>IF($C101="","",INDEX(C_InstallationDescription!L:L,MATCH($B101,C_InstallationDescription!$E:$E,0)))</f>
        <v/>
      </c>
      <c r="G101" s="700" t="str">
        <f>IF($C101="","",INDEX(C_InstallationDescription!M:M,MATCH($B101,C_InstallationDescription!$E:$E,0)))</f>
        <v/>
      </c>
      <c r="H101" s="700" t="str">
        <f>IF($C101="","",INDEX(C_InstallationDescription!N:N,MATCH($B101,C_InstallationDescription!$E:$E,0)))</f>
        <v/>
      </c>
      <c r="I101" s="703" t="str">
        <f>IF($C101="","",IF($C101="","",INDEX(F_MeasurementBasedApproaches!$A:$N,CM101,I$87)))</f>
        <v/>
      </c>
      <c r="J101" s="703" t="str">
        <f>IF($C101="","",IF($C101="","",INDEX(F_MeasurementBasedApproaches!$A:$N,CN101,J$87)))</f>
        <v/>
      </c>
      <c r="K101" s="703" t="str">
        <f>IF($C101="","",IF($C101="","",INDEX(F_MeasurementBasedApproaches!$A:$N,CO101,K$87)))</f>
        <v/>
      </c>
      <c r="L101" s="703" t="str">
        <f>IF($C101="","",IF($C101="","",INDEX(F_MeasurementBasedApproaches!$A:$N,CP101,L$87)))</f>
        <v/>
      </c>
      <c r="M101" s="703" t="str">
        <f>IF($C101="","",IF($C101="","",INDEX(F_MeasurementBasedApproaches!$A:$N,CQ101,M$87)))</f>
        <v/>
      </c>
      <c r="N101" s="703" t="str">
        <f>IF($C101="","",IF($C101="","",INDEX(F_MeasurementBasedApproaches!$A:$N,CL101,H$87)))</f>
        <v/>
      </c>
      <c r="O101" s="703" t="str">
        <f>IF($C101="","",IF($C101="","",INDEX(F_MeasurementBasedApproaches!$A:$N,CR101,N$87)))</f>
        <v/>
      </c>
      <c r="P101" s="703" t="str">
        <f>IF($C101="","",IF($C101="","",INDEX(F_MeasurementBasedApproaches!$A:$N,CS101,O$87)))</f>
        <v/>
      </c>
      <c r="Q101" s="703" t="str">
        <f>IF($C101="","",IF($C101="","",INDEX(F_MeasurementBasedApproaches!$A:$N,CT101,P$87)))</f>
        <v/>
      </c>
      <c r="R101" s="703" t="str">
        <f>IF($C101="","",IF($C101="","",INDEX(F_MeasurementBasedApproaches!$A:$N,CU101,Q$87)))</f>
        <v/>
      </c>
      <c r="S101" s="703" t="str">
        <f>IF($C101="","",IF($C101="","",INDEX(F_MeasurementBasedApproaches!$A:$N,CV101,R$87)))</f>
        <v/>
      </c>
      <c r="T101" s="703" t="str">
        <f>IF($C101="","",IF($C101="","",INDEX(F_MeasurementBasedApproaches!$A:$N,CW101,S$87)))</f>
        <v/>
      </c>
      <c r="U101" s="703" t="str">
        <f>IF($C101="","",IF($C101="","",INDEX(F_MeasurementBasedApproaches!$A:$N,CX101,T$87)))</f>
        <v/>
      </c>
      <c r="V101" s="703" t="str">
        <f>IF($C101="","",IF($C101="","",INDEX(F_MeasurementBasedApproaches!$A:$N,CY101,U$87)))</f>
        <v/>
      </c>
      <c r="W101" s="703" t="str">
        <f>IF($C101="","",IF($C101="","",INDEX(F_MeasurementBasedApproaches!$A:$N,CZ101,V$87)))</f>
        <v/>
      </c>
      <c r="X101" s="703" t="str">
        <f>IF($C101="","",IF($C101="","",INDEX(F_MeasurementBasedApproaches!$A:$N,DA101,W$87)))</f>
        <v/>
      </c>
      <c r="CJ101" s="679" t="str">
        <f t="shared" si="134"/>
        <v>SourceCategory_</v>
      </c>
      <c r="CK101" s="679" t="b">
        <f>INDEX(C_InstallationDescription!$A$171:$A$188,ROWS($CI$91:CI101))="ausblenden"</f>
        <v>0</v>
      </c>
      <c r="CL101" s="679">
        <f t="shared" si="151"/>
        <v>742</v>
      </c>
      <c r="CM101" s="679">
        <f t="shared" si="135"/>
        <v>751</v>
      </c>
      <c r="CN101" s="679">
        <f t="shared" si="136"/>
        <v>751</v>
      </c>
      <c r="CO101" s="679">
        <f t="shared" si="137"/>
        <v>751</v>
      </c>
      <c r="CP101" s="679">
        <f t="shared" si="138"/>
        <v>751</v>
      </c>
      <c r="CQ101" s="679">
        <f t="shared" si="139"/>
        <v>751</v>
      </c>
      <c r="CR101" s="679">
        <f t="shared" si="140"/>
        <v>755</v>
      </c>
      <c r="CS101" s="679">
        <f t="shared" si="141"/>
        <v>759</v>
      </c>
      <c r="CT101" s="679">
        <f t="shared" si="142"/>
        <v>760</v>
      </c>
      <c r="CU101" s="679">
        <f t="shared" si="143"/>
        <v>761</v>
      </c>
      <c r="CV101" s="679">
        <f t="shared" si="144"/>
        <v>768</v>
      </c>
      <c r="CW101" s="679">
        <f t="shared" si="145"/>
        <v>775</v>
      </c>
      <c r="CX101" s="679">
        <f t="shared" si="146"/>
        <v>778</v>
      </c>
      <c r="CY101" s="679">
        <f t="shared" si="147"/>
        <v>781</v>
      </c>
      <c r="CZ101" s="679">
        <f t="shared" si="148"/>
        <v>784</v>
      </c>
      <c r="DA101" s="679">
        <f t="shared" si="149"/>
        <v>787</v>
      </c>
      <c r="DB101" s="679">
        <f t="shared" si="150"/>
        <v>793</v>
      </c>
    </row>
    <row r="102" spans="1:204" ht="12.75" customHeight="1" x14ac:dyDescent="0.2">
      <c r="B102" s="700" t="str">
        <f>IF(COUNTIF($CK$90:CK102,TRUE)&gt;0,"",INDEX(C_InstallationDescription!$E$171:$E$188,ROWS($A$91:A102)))</f>
        <v/>
      </c>
      <c r="C102" s="701" t="str">
        <f>IF(INDEX(C_InstallationDescription!F:F,MATCH($B102,C_InstallationDescription!$E:$E,0))="","",INDEX(C_InstallationDescription!F:F,MATCH($B102,C_InstallationDescription!$E:$E,0)))</f>
        <v/>
      </c>
      <c r="D102" s="701" t="str">
        <f>IF($C102="","",INDEX(C_InstallationDescription!K:K,MATCH($B102,C_InstallationDescription!$E:$E,0)))</f>
        <v/>
      </c>
      <c r="E102" s="707"/>
      <c r="F102" s="702" t="str">
        <f>IF($C102="","",INDEX(C_InstallationDescription!L:L,MATCH($B102,C_InstallationDescription!$E:$E,0)))</f>
        <v/>
      </c>
      <c r="G102" s="700" t="str">
        <f>IF($C102="","",INDEX(C_InstallationDescription!M:M,MATCH($B102,C_InstallationDescription!$E:$E,0)))</f>
        <v/>
      </c>
      <c r="H102" s="700" t="str">
        <f>IF($C102="","",INDEX(C_InstallationDescription!N:N,MATCH($B102,C_InstallationDescription!$E:$E,0)))</f>
        <v/>
      </c>
      <c r="I102" s="703" t="str">
        <f>IF($C102="","",IF($C102="","",INDEX(F_MeasurementBasedApproaches!$A:$N,CM102,I$87)))</f>
        <v/>
      </c>
      <c r="J102" s="703" t="str">
        <f>IF($C102="","",IF($C102="","",INDEX(F_MeasurementBasedApproaches!$A:$N,CN102,J$87)))</f>
        <v/>
      </c>
      <c r="K102" s="703" t="str">
        <f>IF($C102="","",IF($C102="","",INDEX(F_MeasurementBasedApproaches!$A:$N,CO102,K$87)))</f>
        <v/>
      </c>
      <c r="L102" s="703" t="str">
        <f>IF($C102="","",IF($C102="","",INDEX(F_MeasurementBasedApproaches!$A:$N,CP102,L$87)))</f>
        <v/>
      </c>
      <c r="M102" s="703" t="str">
        <f>IF($C102="","",IF($C102="","",INDEX(F_MeasurementBasedApproaches!$A:$N,CQ102,M$87)))</f>
        <v/>
      </c>
      <c r="N102" s="703" t="str">
        <f>IF($C102="","",IF($C102="","",INDEX(F_MeasurementBasedApproaches!$A:$N,CL102,H$87)))</f>
        <v/>
      </c>
      <c r="O102" s="703" t="str">
        <f>IF($C102="","",IF($C102="","",INDEX(F_MeasurementBasedApproaches!$A:$N,CR102,N$87)))</f>
        <v/>
      </c>
      <c r="P102" s="703" t="str">
        <f>IF($C102="","",IF($C102="","",INDEX(F_MeasurementBasedApproaches!$A:$N,CS102,O$87)))</f>
        <v/>
      </c>
      <c r="Q102" s="703" t="str">
        <f>IF($C102="","",IF($C102="","",INDEX(F_MeasurementBasedApproaches!$A:$N,CT102,P$87)))</f>
        <v/>
      </c>
      <c r="R102" s="703" t="str">
        <f>IF($C102="","",IF($C102="","",INDEX(F_MeasurementBasedApproaches!$A:$N,CU102,Q$87)))</f>
        <v/>
      </c>
      <c r="S102" s="703" t="str">
        <f>IF($C102="","",IF($C102="","",INDEX(F_MeasurementBasedApproaches!$A:$N,CV102,R$87)))</f>
        <v/>
      </c>
      <c r="T102" s="703" t="str">
        <f>IF($C102="","",IF($C102="","",INDEX(F_MeasurementBasedApproaches!$A:$N,CW102,S$87)))</f>
        <v/>
      </c>
      <c r="U102" s="703" t="str">
        <f>IF($C102="","",IF($C102="","",INDEX(F_MeasurementBasedApproaches!$A:$N,CX102,T$87)))</f>
        <v/>
      </c>
      <c r="V102" s="703" t="str">
        <f>IF($C102="","",IF($C102="","",INDEX(F_MeasurementBasedApproaches!$A:$N,CY102,U$87)))</f>
        <v/>
      </c>
      <c r="W102" s="703" t="str">
        <f>IF($C102="","",IF($C102="","",INDEX(F_MeasurementBasedApproaches!$A:$N,CZ102,V$87)))</f>
        <v/>
      </c>
      <c r="X102" s="703" t="str">
        <f>IF($C102="","",IF($C102="","",INDEX(F_MeasurementBasedApproaches!$A:$N,DA102,W$87)))</f>
        <v/>
      </c>
      <c r="CJ102" s="679" t="str">
        <f t="shared" si="134"/>
        <v>SourceCategory_</v>
      </c>
      <c r="CK102" s="679" t="b">
        <f>INDEX(C_InstallationDescription!$A$171:$A$188,ROWS($CI$91:CI102))="ausblenden"</f>
        <v>0</v>
      </c>
      <c r="CL102" s="679">
        <f t="shared" si="151"/>
        <v>800</v>
      </c>
      <c r="CM102" s="679">
        <f t="shared" si="135"/>
        <v>809</v>
      </c>
      <c r="CN102" s="679">
        <f t="shared" si="136"/>
        <v>809</v>
      </c>
      <c r="CO102" s="679">
        <f t="shared" si="137"/>
        <v>809</v>
      </c>
      <c r="CP102" s="679">
        <f t="shared" si="138"/>
        <v>809</v>
      </c>
      <c r="CQ102" s="679">
        <f t="shared" si="139"/>
        <v>809</v>
      </c>
      <c r="CR102" s="679">
        <f t="shared" si="140"/>
        <v>813</v>
      </c>
      <c r="CS102" s="679">
        <f t="shared" si="141"/>
        <v>817</v>
      </c>
      <c r="CT102" s="679">
        <f t="shared" si="142"/>
        <v>818</v>
      </c>
      <c r="CU102" s="679">
        <f t="shared" si="143"/>
        <v>819</v>
      </c>
      <c r="CV102" s="679">
        <f t="shared" si="144"/>
        <v>826</v>
      </c>
      <c r="CW102" s="679">
        <f t="shared" si="145"/>
        <v>833</v>
      </c>
      <c r="CX102" s="679">
        <f t="shared" si="146"/>
        <v>836</v>
      </c>
      <c r="CY102" s="679">
        <f t="shared" si="147"/>
        <v>839</v>
      </c>
      <c r="CZ102" s="679">
        <f t="shared" si="148"/>
        <v>842</v>
      </c>
      <c r="DA102" s="679">
        <f t="shared" si="149"/>
        <v>845</v>
      </c>
      <c r="DB102" s="679">
        <f t="shared" si="150"/>
        <v>851</v>
      </c>
    </row>
    <row r="103" spans="1:204" ht="12.75" customHeight="1" x14ac:dyDescent="0.2">
      <c r="B103" s="700" t="str">
        <f>IF(COUNTIF($CK$90:CK103,TRUE)&gt;0,"",INDEX(C_InstallationDescription!$E$171:$E$188,ROWS($A$91:A103)))</f>
        <v/>
      </c>
      <c r="C103" s="701" t="str">
        <f>IF(INDEX(C_InstallationDescription!F:F,MATCH($B103,C_InstallationDescription!$E:$E,0))="","",INDEX(C_InstallationDescription!F:F,MATCH($B103,C_InstallationDescription!$E:$E,0)))</f>
        <v/>
      </c>
      <c r="D103" s="701" t="str">
        <f>IF($C103="","",INDEX(C_InstallationDescription!K:K,MATCH($B103,C_InstallationDescription!$E:$E,0)))</f>
        <v/>
      </c>
      <c r="E103" s="707"/>
      <c r="F103" s="702" t="str">
        <f>IF($C103="","",INDEX(C_InstallationDescription!L:L,MATCH($B103,C_InstallationDescription!$E:$E,0)))</f>
        <v/>
      </c>
      <c r="G103" s="700" t="str">
        <f>IF($C103="","",INDEX(C_InstallationDescription!M:M,MATCH($B103,C_InstallationDescription!$E:$E,0)))</f>
        <v/>
      </c>
      <c r="H103" s="700" t="str">
        <f>IF($C103="","",INDEX(C_InstallationDescription!N:N,MATCH($B103,C_InstallationDescription!$E:$E,0)))</f>
        <v/>
      </c>
      <c r="I103" s="703" t="str">
        <f>IF($C103="","",IF($C103="","",INDEX(F_MeasurementBasedApproaches!$A:$N,CM103,I$87)))</f>
        <v/>
      </c>
      <c r="J103" s="703" t="str">
        <f>IF($C103="","",IF($C103="","",INDEX(F_MeasurementBasedApproaches!$A:$N,CN103,J$87)))</f>
        <v/>
      </c>
      <c r="K103" s="703" t="str">
        <f>IF($C103="","",IF($C103="","",INDEX(F_MeasurementBasedApproaches!$A:$N,CO103,K$87)))</f>
        <v/>
      </c>
      <c r="L103" s="703" t="str">
        <f>IF($C103="","",IF($C103="","",INDEX(F_MeasurementBasedApproaches!$A:$N,CP103,L$87)))</f>
        <v/>
      </c>
      <c r="M103" s="703" t="str">
        <f>IF($C103="","",IF($C103="","",INDEX(F_MeasurementBasedApproaches!$A:$N,CQ103,M$87)))</f>
        <v/>
      </c>
      <c r="N103" s="703" t="str">
        <f>IF($C103="","",IF($C103="","",INDEX(F_MeasurementBasedApproaches!$A:$N,CL103,H$87)))</f>
        <v/>
      </c>
      <c r="O103" s="703" t="str">
        <f>IF($C103="","",IF($C103="","",INDEX(F_MeasurementBasedApproaches!$A:$N,CR103,N$87)))</f>
        <v/>
      </c>
      <c r="P103" s="703" t="str">
        <f>IF($C103="","",IF($C103="","",INDEX(F_MeasurementBasedApproaches!$A:$N,CS103,O$87)))</f>
        <v/>
      </c>
      <c r="Q103" s="703" t="str">
        <f>IF($C103="","",IF($C103="","",INDEX(F_MeasurementBasedApproaches!$A:$N,CT103,P$87)))</f>
        <v/>
      </c>
      <c r="R103" s="703" t="str">
        <f>IF($C103="","",IF($C103="","",INDEX(F_MeasurementBasedApproaches!$A:$N,CU103,Q$87)))</f>
        <v/>
      </c>
      <c r="S103" s="703" t="str">
        <f>IF($C103="","",IF($C103="","",INDEX(F_MeasurementBasedApproaches!$A:$N,CV103,R$87)))</f>
        <v/>
      </c>
      <c r="T103" s="703" t="str">
        <f>IF($C103="","",IF($C103="","",INDEX(F_MeasurementBasedApproaches!$A:$N,CW103,S$87)))</f>
        <v/>
      </c>
      <c r="U103" s="703" t="str">
        <f>IF($C103="","",IF($C103="","",INDEX(F_MeasurementBasedApproaches!$A:$N,CX103,T$87)))</f>
        <v/>
      </c>
      <c r="V103" s="703" t="str">
        <f>IF($C103="","",IF($C103="","",INDEX(F_MeasurementBasedApproaches!$A:$N,CY103,U$87)))</f>
        <v/>
      </c>
      <c r="W103" s="703" t="str">
        <f>IF($C103="","",IF($C103="","",INDEX(F_MeasurementBasedApproaches!$A:$N,CZ103,V$87)))</f>
        <v/>
      </c>
      <c r="X103" s="703" t="str">
        <f>IF($C103="","",IF($C103="","",INDEX(F_MeasurementBasedApproaches!$A:$N,DA103,W$87)))</f>
        <v/>
      </c>
      <c r="CJ103" s="679" t="str">
        <f t="shared" si="134"/>
        <v>SourceCategory_</v>
      </c>
      <c r="CK103" s="679" t="b">
        <f>INDEX(C_InstallationDescription!$A$171:$A$188,ROWS($CI$91:CI103))="ausblenden"</f>
        <v>0</v>
      </c>
      <c r="CL103" s="679">
        <f t="shared" si="151"/>
        <v>858</v>
      </c>
      <c r="CM103" s="679">
        <f t="shared" si="135"/>
        <v>867</v>
      </c>
      <c r="CN103" s="679">
        <f t="shared" si="136"/>
        <v>867</v>
      </c>
      <c r="CO103" s="679">
        <f t="shared" si="137"/>
        <v>867</v>
      </c>
      <c r="CP103" s="679">
        <f t="shared" si="138"/>
        <v>867</v>
      </c>
      <c r="CQ103" s="679">
        <f t="shared" si="139"/>
        <v>867</v>
      </c>
      <c r="CR103" s="679">
        <f t="shared" si="140"/>
        <v>871</v>
      </c>
      <c r="CS103" s="679">
        <f t="shared" si="141"/>
        <v>875</v>
      </c>
      <c r="CT103" s="679">
        <f t="shared" si="142"/>
        <v>876</v>
      </c>
      <c r="CU103" s="679">
        <f t="shared" si="143"/>
        <v>877</v>
      </c>
      <c r="CV103" s="679">
        <f t="shared" si="144"/>
        <v>884</v>
      </c>
      <c r="CW103" s="679">
        <f t="shared" si="145"/>
        <v>891</v>
      </c>
      <c r="CX103" s="679">
        <f t="shared" si="146"/>
        <v>894</v>
      </c>
      <c r="CY103" s="679">
        <f t="shared" si="147"/>
        <v>897</v>
      </c>
      <c r="CZ103" s="679">
        <f t="shared" si="148"/>
        <v>900</v>
      </c>
      <c r="DA103" s="679">
        <f t="shared" si="149"/>
        <v>903</v>
      </c>
      <c r="DB103" s="679">
        <f t="shared" si="150"/>
        <v>909</v>
      </c>
    </row>
    <row r="104" spans="1:204" ht="12.75" customHeight="1" x14ac:dyDescent="0.2">
      <c r="B104" s="700" t="str">
        <f>IF(COUNTIF($CK$90:CK104,TRUE)&gt;0,"",INDEX(C_InstallationDescription!$E$171:$E$188,ROWS($A$91:A104)))</f>
        <v/>
      </c>
      <c r="C104" s="701" t="str">
        <f>IF(INDEX(C_InstallationDescription!F:F,MATCH($B104,C_InstallationDescription!$E:$E,0))="","",INDEX(C_InstallationDescription!F:F,MATCH($B104,C_InstallationDescription!$E:$E,0)))</f>
        <v/>
      </c>
      <c r="D104" s="701" t="str">
        <f>IF($C104="","",INDEX(C_InstallationDescription!K:K,MATCH($B104,C_InstallationDescription!$E:$E,0)))</f>
        <v/>
      </c>
      <c r="E104" s="707"/>
      <c r="F104" s="702" t="str">
        <f>IF($C104="","",INDEX(C_InstallationDescription!L:L,MATCH($B104,C_InstallationDescription!$E:$E,0)))</f>
        <v/>
      </c>
      <c r="G104" s="700" t="str">
        <f>IF($C104="","",INDEX(C_InstallationDescription!M:M,MATCH($B104,C_InstallationDescription!$E:$E,0)))</f>
        <v/>
      </c>
      <c r="H104" s="700" t="str">
        <f>IF($C104="","",INDEX(C_InstallationDescription!N:N,MATCH($B104,C_InstallationDescription!$E:$E,0)))</f>
        <v/>
      </c>
      <c r="I104" s="703" t="str">
        <f>IF($C104="","",IF($C104="","",INDEX(F_MeasurementBasedApproaches!$A:$N,CM104,I$87)))</f>
        <v/>
      </c>
      <c r="J104" s="703" t="str">
        <f>IF($C104="","",IF($C104="","",INDEX(F_MeasurementBasedApproaches!$A:$N,CN104,J$87)))</f>
        <v/>
      </c>
      <c r="K104" s="703" t="str">
        <f>IF($C104="","",IF($C104="","",INDEX(F_MeasurementBasedApproaches!$A:$N,CO104,K$87)))</f>
        <v/>
      </c>
      <c r="L104" s="703" t="str">
        <f>IF($C104="","",IF($C104="","",INDEX(F_MeasurementBasedApproaches!$A:$N,CP104,L$87)))</f>
        <v/>
      </c>
      <c r="M104" s="703" t="str">
        <f>IF($C104="","",IF($C104="","",INDEX(F_MeasurementBasedApproaches!$A:$N,CQ104,M$87)))</f>
        <v/>
      </c>
      <c r="N104" s="703" t="str">
        <f>IF($C104="","",IF($C104="","",INDEX(F_MeasurementBasedApproaches!$A:$N,CL104,H$87)))</f>
        <v/>
      </c>
      <c r="O104" s="703" t="str">
        <f>IF($C104="","",IF($C104="","",INDEX(F_MeasurementBasedApproaches!$A:$N,CR104,N$87)))</f>
        <v/>
      </c>
      <c r="P104" s="703" t="str">
        <f>IF($C104="","",IF($C104="","",INDEX(F_MeasurementBasedApproaches!$A:$N,CS104,O$87)))</f>
        <v/>
      </c>
      <c r="Q104" s="703" t="str">
        <f>IF($C104="","",IF($C104="","",INDEX(F_MeasurementBasedApproaches!$A:$N,CT104,P$87)))</f>
        <v/>
      </c>
      <c r="R104" s="703" t="str">
        <f>IF($C104="","",IF($C104="","",INDEX(F_MeasurementBasedApproaches!$A:$N,CU104,Q$87)))</f>
        <v/>
      </c>
      <c r="S104" s="703" t="str">
        <f>IF($C104="","",IF($C104="","",INDEX(F_MeasurementBasedApproaches!$A:$N,CV104,R$87)))</f>
        <v/>
      </c>
      <c r="T104" s="703" t="str">
        <f>IF($C104="","",IF($C104="","",INDEX(F_MeasurementBasedApproaches!$A:$N,CW104,S$87)))</f>
        <v/>
      </c>
      <c r="U104" s="703" t="str">
        <f>IF($C104="","",IF($C104="","",INDEX(F_MeasurementBasedApproaches!$A:$N,CX104,T$87)))</f>
        <v/>
      </c>
      <c r="V104" s="703" t="str">
        <f>IF($C104="","",IF($C104="","",INDEX(F_MeasurementBasedApproaches!$A:$N,CY104,U$87)))</f>
        <v/>
      </c>
      <c r="W104" s="703" t="str">
        <f>IF($C104="","",IF($C104="","",INDEX(F_MeasurementBasedApproaches!$A:$N,CZ104,V$87)))</f>
        <v/>
      </c>
      <c r="X104" s="703" t="str">
        <f>IF($C104="","",IF($C104="","",INDEX(F_MeasurementBasedApproaches!$A:$N,DA104,W$87)))</f>
        <v/>
      </c>
      <c r="CJ104" s="679" t="str">
        <f t="shared" si="134"/>
        <v>SourceCategory_</v>
      </c>
      <c r="CK104" s="679" t="b">
        <f>INDEX(C_InstallationDescription!$A$171:$A$188,ROWS($CI$91:CI104))="ausblenden"</f>
        <v>0</v>
      </c>
      <c r="CL104" s="679">
        <f t="shared" si="151"/>
        <v>916</v>
      </c>
      <c r="CM104" s="679">
        <f t="shared" si="135"/>
        <v>925</v>
      </c>
      <c r="CN104" s="679">
        <f t="shared" si="136"/>
        <v>925</v>
      </c>
      <c r="CO104" s="679">
        <f t="shared" si="137"/>
        <v>925</v>
      </c>
      <c r="CP104" s="679">
        <f t="shared" si="138"/>
        <v>925</v>
      </c>
      <c r="CQ104" s="679">
        <f t="shared" si="139"/>
        <v>925</v>
      </c>
      <c r="CR104" s="679">
        <f t="shared" si="140"/>
        <v>929</v>
      </c>
      <c r="CS104" s="679">
        <f t="shared" si="141"/>
        <v>933</v>
      </c>
      <c r="CT104" s="679">
        <f t="shared" si="142"/>
        <v>934</v>
      </c>
      <c r="CU104" s="679">
        <f t="shared" si="143"/>
        <v>935</v>
      </c>
      <c r="CV104" s="679">
        <f t="shared" si="144"/>
        <v>942</v>
      </c>
      <c r="CW104" s="679">
        <f t="shared" si="145"/>
        <v>949</v>
      </c>
      <c r="CX104" s="679">
        <f t="shared" si="146"/>
        <v>952</v>
      </c>
      <c r="CY104" s="679">
        <f t="shared" si="147"/>
        <v>955</v>
      </c>
      <c r="CZ104" s="679">
        <f t="shared" si="148"/>
        <v>958</v>
      </c>
      <c r="DA104" s="679">
        <f t="shared" si="149"/>
        <v>961</v>
      </c>
      <c r="DB104" s="679">
        <f t="shared" si="150"/>
        <v>967</v>
      </c>
    </row>
    <row r="105" spans="1:204" ht="12.75" customHeight="1" x14ac:dyDescent="0.2">
      <c r="B105" s="700" t="str">
        <f>IF(COUNTIF($CK$90:CK105,TRUE)&gt;0,"",INDEX(C_InstallationDescription!$E$171:$E$188,ROWS($A$91:A105)))</f>
        <v/>
      </c>
      <c r="C105" s="701" t="str">
        <f>IF(INDEX(C_InstallationDescription!F:F,MATCH($B105,C_InstallationDescription!$E:$E,0))="","",INDEX(C_InstallationDescription!F:F,MATCH($B105,C_InstallationDescription!$E:$E,0)))</f>
        <v/>
      </c>
      <c r="D105" s="701" t="str">
        <f>IF($C105="","",INDEX(C_InstallationDescription!K:K,MATCH($B105,C_InstallationDescription!$E:$E,0)))</f>
        <v/>
      </c>
      <c r="E105" s="707"/>
      <c r="F105" s="702" t="str">
        <f>IF($C105="","",INDEX(C_InstallationDescription!L:L,MATCH($B105,C_InstallationDescription!$E:$E,0)))</f>
        <v/>
      </c>
      <c r="G105" s="700" t="str">
        <f>IF($C105="","",INDEX(C_InstallationDescription!M:M,MATCH($B105,C_InstallationDescription!$E:$E,0)))</f>
        <v/>
      </c>
      <c r="H105" s="700" t="str">
        <f>IF($C105="","",INDEX(C_InstallationDescription!N:N,MATCH($B105,C_InstallationDescription!$E:$E,0)))</f>
        <v/>
      </c>
      <c r="I105" s="703" t="str">
        <f>IF($C105="","",IF($C105="","",INDEX(F_MeasurementBasedApproaches!$A:$N,CM105,I$87)))</f>
        <v/>
      </c>
      <c r="J105" s="703" t="str">
        <f>IF($C105="","",IF($C105="","",INDEX(F_MeasurementBasedApproaches!$A:$N,CN105,J$87)))</f>
        <v/>
      </c>
      <c r="K105" s="703" t="str">
        <f>IF($C105="","",IF($C105="","",INDEX(F_MeasurementBasedApproaches!$A:$N,CO105,K$87)))</f>
        <v/>
      </c>
      <c r="L105" s="703" t="str">
        <f>IF($C105="","",IF($C105="","",INDEX(F_MeasurementBasedApproaches!$A:$N,CP105,L$87)))</f>
        <v/>
      </c>
      <c r="M105" s="703" t="str">
        <f>IF($C105="","",IF($C105="","",INDEX(F_MeasurementBasedApproaches!$A:$N,CQ105,M$87)))</f>
        <v/>
      </c>
      <c r="N105" s="703" t="str">
        <f>IF($C105="","",IF($C105="","",INDEX(F_MeasurementBasedApproaches!$A:$N,CL105,H$87)))</f>
        <v/>
      </c>
      <c r="O105" s="703" t="str">
        <f>IF($C105="","",IF($C105="","",INDEX(F_MeasurementBasedApproaches!$A:$N,CR105,N$87)))</f>
        <v/>
      </c>
      <c r="P105" s="703" t="str">
        <f>IF($C105="","",IF($C105="","",INDEX(F_MeasurementBasedApproaches!$A:$N,CS105,O$87)))</f>
        <v/>
      </c>
      <c r="Q105" s="703" t="str">
        <f>IF($C105="","",IF($C105="","",INDEX(F_MeasurementBasedApproaches!$A:$N,CT105,P$87)))</f>
        <v/>
      </c>
      <c r="R105" s="703" t="str">
        <f>IF($C105="","",IF($C105="","",INDEX(F_MeasurementBasedApproaches!$A:$N,CU105,Q$87)))</f>
        <v/>
      </c>
      <c r="S105" s="703" t="str">
        <f>IF($C105="","",IF($C105="","",INDEX(F_MeasurementBasedApproaches!$A:$N,CV105,R$87)))</f>
        <v/>
      </c>
      <c r="T105" s="703" t="str">
        <f>IF($C105="","",IF($C105="","",INDEX(F_MeasurementBasedApproaches!$A:$N,CW105,S$87)))</f>
        <v/>
      </c>
      <c r="U105" s="703" t="str">
        <f>IF($C105="","",IF($C105="","",INDEX(F_MeasurementBasedApproaches!$A:$N,CX105,T$87)))</f>
        <v/>
      </c>
      <c r="V105" s="703" t="str">
        <f>IF($C105="","",IF($C105="","",INDEX(F_MeasurementBasedApproaches!$A:$N,CY105,U$87)))</f>
        <v/>
      </c>
      <c r="W105" s="703" t="str">
        <f>IF($C105="","",IF($C105="","",INDEX(F_MeasurementBasedApproaches!$A:$N,CZ105,V$87)))</f>
        <v/>
      </c>
      <c r="X105" s="703" t="str">
        <f>IF($C105="","",IF($C105="","",INDEX(F_MeasurementBasedApproaches!$A:$N,DA105,W$87)))</f>
        <v/>
      </c>
      <c r="CJ105" s="679" t="str">
        <f t="shared" si="134"/>
        <v>SourceCategory_</v>
      </c>
      <c r="CK105" s="679" t="b">
        <f>INDEX(C_InstallationDescription!$A$171:$A$188,ROWS($CI$91:CI105))="ausblenden"</f>
        <v>0</v>
      </c>
      <c r="CL105" s="679">
        <f t="shared" si="151"/>
        <v>974</v>
      </c>
      <c r="CM105" s="679">
        <f t="shared" si="135"/>
        <v>983</v>
      </c>
      <c r="CN105" s="679">
        <f t="shared" si="136"/>
        <v>983</v>
      </c>
      <c r="CO105" s="679">
        <f t="shared" si="137"/>
        <v>983</v>
      </c>
      <c r="CP105" s="679">
        <f t="shared" si="138"/>
        <v>983</v>
      </c>
      <c r="CQ105" s="679">
        <f t="shared" si="139"/>
        <v>983</v>
      </c>
      <c r="CR105" s="679">
        <f t="shared" si="140"/>
        <v>987</v>
      </c>
      <c r="CS105" s="679">
        <f t="shared" si="141"/>
        <v>991</v>
      </c>
      <c r="CT105" s="679">
        <f t="shared" si="142"/>
        <v>992</v>
      </c>
      <c r="CU105" s="679">
        <f t="shared" si="143"/>
        <v>993</v>
      </c>
      <c r="CV105" s="679">
        <f t="shared" si="144"/>
        <v>1000</v>
      </c>
      <c r="CW105" s="679">
        <f t="shared" si="145"/>
        <v>1007</v>
      </c>
      <c r="CX105" s="679">
        <f t="shared" si="146"/>
        <v>1010</v>
      </c>
      <c r="CY105" s="679">
        <f t="shared" si="147"/>
        <v>1013</v>
      </c>
      <c r="CZ105" s="679">
        <f t="shared" si="148"/>
        <v>1016</v>
      </c>
      <c r="DA105" s="679">
        <f t="shared" si="149"/>
        <v>1019</v>
      </c>
      <c r="DB105" s="679">
        <f t="shared" si="150"/>
        <v>1025</v>
      </c>
    </row>
    <row r="106" spans="1:204" ht="12.75" customHeight="1" x14ac:dyDescent="0.2">
      <c r="T106" s="694"/>
      <c r="U106" s="694"/>
    </row>
    <row r="107" spans="1:204" s="698" customFormat="1" hidden="1" x14ac:dyDescent="0.2">
      <c r="A107" s="683" t="s">
        <v>1090</v>
      </c>
      <c r="J107" s="698">
        <v>8</v>
      </c>
      <c r="K107" s="698">
        <v>8</v>
      </c>
      <c r="L107" s="698">
        <v>8</v>
      </c>
      <c r="M107" s="698">
        <v>8</v>
      </c>
      <c r="N107" s="698">
        <v>8</v>
      </c>
      <c r="O107" s="698">
        <v>8</v>
      </c>
      <c r="P107" s="698">
        <v>8</v>
      </c>
      <c r="Q107" s="698">
        <v>8</v>
      </c>
      <c r="R107" s="698">
        <v>8</v>
      </c>
      <c r="S107" s="698">
        <v>8</v>
      </c>
      <c r="T107" s="698">
        <v>8</v>
      </c>
      <c r="U107" s="698">
        <v>8</v>
      </c>
      <c r="V107" s="698">
        <v>8</v>
      </c>
      <c r="W107" s="698">
        <v>8</v>
      </c>
      <c r="X107" s="698">
        <v>8</v>
      </c>
      <c r="Y107" s="698">
        <v>8</v>
      </c>
      <c r="Z107" s="698">
        <v>8</v>
      </c>
      <c r="AA107" s="698">
        <v>9</v>
      </c>
      <c r="AB107" s="698">
        <v>10</v>
      </c>
      <c r="AC107" s="698">
        <v>11</v>
      </c>
      <c r="AD107" s="698">
        <v>12</v>
      </c>
      <c r="AE107" s="698">
        <v>13</v>
      </c>
      <c r="AF107" s="698">
        <v>14</v>
      </c>
      <c r="AG107" s="698">
        <v>8</v>
      </c>
      <c r="AH107" s="698">
        <v>8</v>
      </c>
      <c r="AI107" s="698">
        <v>9</v>
      </c>
      <c r="AJ107" s="698">
        <v>10</v>
      </c>
      <c r="AK107" s="698">
        <v>11</v>
      </c>
      <c r="AL107" s="698">
        <v>12</v>
      </c>
      <c r="AM107" s="698">
        <v>13</v>
      </c>
      <c r="AN107" s="698">
        <v>14</v>
      </c>
      <c r="AO107" s="698">
        <v>8</v>
      </c>
      <c r="AP107" s="698">
        <v>8</v>
      </c>
      <c r="AQ107" s="698">
        <v>9</v>
      </c>
      <c r="AR107" s="698">
        <v>10</v>
      </c>
      <c r="AS107" s="698">
        <v>11</v>
      </c>
      <c r="AT107" s="698">
        <v>12</v>
      </c>
      <c r="AU107" s="698">
        <v>13</v>
      </c>
      <c r="AV107" s="698">
        <v>14</v>
      </c>
      <c r="AW107" s="698">
        <v>9</v>
      </c>
      <c r="AX107" s="698">
        <v>10</v>
      </c>
      <c r="AY107" s="698">
        <v>11</v>
      </c>
      <c r="AZ107" s="698">
        <v>12</v>
      </c>
      <c r="BA107" s="698">
        <v>13</v>
      </c>
      <c r="BB107" s="698">
        <v>14</v>
      </c>
      <c r="BC107" s="698">
        <v>5</v>
      </c>
      <c r="BD107" s="698">
        <v>5</v>
      </c>
      <c r="FA107" s="693"/>
      <c r="FB107" s="693"/>
      <c r="FC107" s="693"/>
      <c r="FD107" s="693"/>
      <c r="FE107" s="693"/>
      <c r="FF107" s="693"/>
      <c r="FG107" s="693"/>
      <c r="FH107" s="693"/>
      <c r="FI107" s="693"/>
      <c r="FJ107" s="693"/>
      <c r="FK107" s="693"/>
      <c r="FL107" s="693"/>
      <c r="FM107" s="693"/>
      <c r="FN107" s="693"/>
      <c r="FO107" s="693"/>
      <c r="FP107" s="693"/>
      <c r="FQ107" s="693"/>
      <c r="FR107" s="693"/>
      <c r="FS107" s="693"/>
      <c r="FT107" s="693"/>
      <c r="FU107" s="693"/>
      <c r="FV107" s="693"/>
      <c r="FW107" s="693"/>
      <c r="FX107" s="693"/>
      <c r="FY107" s="693"/>
      <c r="FZ107" s="693"/>
      <c r="GA107" s="693"/>
      <c r="GB107" s="693"/>
      <c r="GC107" s="693"/>
      <c r="GD107" s="693"/>
      <c r="GE107" s="693"/>
      <c r="GF107" s="693"/>
      <c r="GG107" s="693"/>
      <c r="GH107" s="693"/>
      <c r="GI107" s="693"/>
      <c r="GJ107" s="693"/>
      <c r="GK107" s="693"/>
      <c r="GL107" s="693"/>
      <c r="GM107" s="693"/>
      <c r="GN107" s="693"/>
      <c r="GO107" s="693"/>
      <c r="GP107" s="693"/>
      <c r="GQ107" s="693"/>
      <c r="GR107" s="693"/>
      <c r="GS107" s="693"/>
      <c r="GT107" s="693"/>
      <c r="GU107" s="693"/>
      <c r="GV107" s="693"/>
    </row>
    <row r="108" spans="1:204" ht="35.1" customHeight="1" thickBot="1" x14ac:dyDescent="0.45">
      <c r="B108" s="595" t="str">
        <f>Translations!$B$1239</f>
        <v>PFC Emissions</v>
      </c>
      <c r="C108" s="693"/>
      <c r="D108" s="693"/>
      <c r="E108" s="693"/>
      <c r="T108" s="694"/>
      <c r="U108" s="694"/>
    </row>
    <row r="109" spans="1:204" s="694" customFormat="1" ht="24.95" customHeight="1" x14ac:dyDescent="0.2">
      <c r="B109" s="708"/>
      <c r="C109" s="708"/>
      <c r="D109" s="708"/>
      <c r="E109" s="708"/>
      <c r="J109" s="1253" t="str">
        <f>I_PFC!D89</f>
        <v>Primary aluminium production:</v>
      </c>
      <c r="K109" s="1254"/>
      <c r="L109" s="1255"/>
      <c r="M109" s="1253" t="str">
        <f>I_PFC!D94</f>
        <v>Method A: number of Anode effects per cell-day</v>
      </c>
      <c r="N109" s="1254"/>
      <c r="O109" s="1255"/>
      <c r="P109" s="1253" t="str">
        <f>I_PFC!D99</f>
        <v>Method A: average anode effect minutes per occurrence</v>
      </c>
      <c r="Q109" s="1254"/>
      <c r="R109" s="1255"/>
      <c r="S109" s="1253" t="str">
        <f>I_PFC!D104</f>
        <v>Method B: anode effect overvoltage per cell</v>
      </c>
      <c r="T109" s="1254"/>
      <c r="U109" s="1255"/>
      <c r="V109" s="1253" t="str">
        <f>I_PFC!D109</f>
        <v>Method B: Current efficiency</v>
      </c>
      <c r="W109" s="1254"/>
      <c r="X109" s="1255"/>
      <c r="Y109" s="1253" t="str">
        <f>I_PFC!E118</f>
        <v>SEF(CF4) Slope emission factor</v>
      </c>
      <c r="Z109" s="1254"/>
      <c r="AA109" s="1254"/>
      <c r="AB109" s="1254"/>
      <c r="AC109" s="1254"/>
      <c r="AD109" s="1254"/>
      <c r="AE109" s="1254"/>
      <c r="AF109" s="1255"/>
      <c r="AG109" s="1253" t="str">
        <f>I_PFC!E119</f>
        <v>OVC (Overvoltage coefficient)</v>
      </c>
      <c r="AH109" s="1254"/>
      <c r="AI109" s="1254"/>
      <c r="AJ109" s="1254"/>
      <c r="AK109" s="1254"/>
      <c r="AL109" s="1254"/>
      <c r="AM109" s="1254"/>
      <c r="AN109" s="1255"/>
      <c r="AO109" s="1253" t="str">
        <f>I_PFC!E120</f>
        <v>F(C2F6) Weight fraction of C2F6</v>
      </c>
      <c r="AP109" s="1254"/>
      <c r="AQ109" s="1254"/>
      <c r="AR109" s="1254"/>
      <c r="AS109" s="1254"/>
      <c r="AT109" s="1254"/>
      <c r="AU109" s="1254"/>
      <c r="AV109" s="1255"/>
      <c r="AW109" s="1253" t="str">
        <f>I_PFC!E133</f>
        <v>Collection efficiency</v>
      </c>
      <c r="AX109" s="1254"/>
      <c r="AY109" s="1254"/>
      <c r="AZ109" s="1254"/>
      <c r="BA109" s="1254"/>
      <c r="BB109" s="1255"/>
      <c r="CJ109" s="695"/>
      <c r="CK109" s="695"/>
      <c r="CL109" s="695"/>
      <c r="CM109" s="695"/>
      <c r="CN109" s="695"/>
      <c r="CO109" s="695"/>
      <c r="CP109" s="695"/>
      <c r="CQ109" s="695"/>
      <c r="CR109" s="695"/>
      <c r="CS109" s="695"/>
      <c r="CT109" s="695"/>
      <c r="CU109" s="695"/>
      <c r="CV109" s="695"/>
      <c r="CW109" s="695"/>
      <c r="CX109" s="695"/>
      <c r="CY109" s="695"/>
      <c r="CZ109" s="695"/>
      <c r="DA109" s="695"/>
      <c r="DB109" s="695"/>
      <c r="DC109" s="695"/>
      <c r="DD109" s="695"/>
      <c r="DE109" s="695"/>
      <c r="DF109" s="695"/>
      <c r="DG109" s="695"/>
      <c r="DH109" s="695"/>
      <c r="DI109" s="695"/>
      <c r="DJ109" s="695"/>
      <c r="DK109" s="695"/>
      <c r="DL109" s="695"/>
      <c r="DM109" s="695"/>
      <c r="DN109" s="695"/>
      <c r="DO109" s="695"/>
      <c r="DP109" s="695"/>
      <c r="DQ109" s="695"/>
      <c r="DR109" s="695"/>
      <c r="DS109" s="695"/>
      <c r="DT109" s="695"/>
      <c r="DU109" s="695"/>
      <c r="DV109" s="695"/>
      <c r="DW109" s="695"/>
      <c r="DX109" s="695"/>
      <c r="DY109" s="695"/>
      <c r="DZ109" s="695"/>
      <c r="EA109" s="695"/>
      <c r="EB109" s="695"/>
      <c r="EC109" s="695"/>
      <c r="ED109" s="695"/>
      <c r="EE109" s="695"/>
      <c r="EF109" s="695"/>
      <c r="EG109" s="695"/>
      <c r="EH109" s="695"/>
      <c r="EI109" s="695"/>
      <c r="EJ109" s="695"/>
      <c r="EK109" s="695"/>
      <c r="EL109" s="695"/>
      <c r="EM109" s="695"/>
      <c r="EN109" s="695"/>
      <c r="EO109" s="695"/>
      <c r="EP109" s="695"/>
      <c r="EQ109" s="695"/>
      <c r="ER109" s="695"/>
      <c r="ES109" s="695"/>
      <c r="ET109" s="695"/>
      <c r="EU109" s="695"/>
      <c r="EV109" s="695"/>
      <c r="EW109" s="695"/>
      <c r="EX109" s="695"/>
      <c r="EY109" s="695"/>
      <c r="EZ109" s="695"/>
    </row>
    <row r="110" spans="1:204" ht="80.099999999999994" customHeight="1" x14ac:dyDescent="0.2">
      <c r="B110" s="596" t="str">
        <f>Translations!$B$287</f>
        <v>Source Stream ref. F1, F2,...</v>
      </c>
      <c r="C110" s="596" t="str">
        <f>I_PFC!E49</f>
        <v>Source stream Name</v>
      </c>
      <c r="D110" s="596" t="str">
        <f>I_PFC!H49</f>
        <v>Source stream type</v>
      </c>
      <c r="E110" s="596" t="str">
        <f>Translations!$B$310</f>
        <v>Source stream full name (name + type)</v>
      </c>
      <c r="F110" s="596" t="str">
        <f>Translations!$B$276</f>
        <v>Estimated emissions [t CO2e / year]</v>
      </c>
      <c r="G110" s="596" t="str">
        <f>Translations!$B$277</f>
        <v>Possible category</v>
      </c>
      <c r="H110" s="596" t="str">
        <f>Translations!$B$311</f>
        <v>Selected category</v>
      </c>
      <c r="I110" s="596" t="str">
        <f>Translations!$B$647</f>
        <v>Cell type</v>
      </c>
      <c r="J110" s="596" t="str">
        <f>I_PFC!$E$90</f>
        <v>Activity data tier level required:</v>
      </c>
      <c r="K110" s="596" t="str">
        <f>I_PFC!$E$91</f>
        <v>Activity data tier used:</v>
      </c>
      <c r="L110" s="596" t="str">
        <f>I_PFC!$E$92</f>
        <v>Uncertainty achieved:</v>
      </c>
      <c r="M110" s="596" t="str">
        <f>I_PFC!$E$90</f>
        <v>Activity data tier level required:</v>
      </c>
      <c r="N110" s="596" t="str">
        <f>I_PFC!$E$91</f>
        <v>Activity data tier used:</v>
      </c>
      <c r="O110" s="596" t="str">
        <f>I_PFC!$E$92</f>
        <v>Uncertainty achieved:</v>
      </c>
      <c r="P110" s="596" t="str">
        <f>I_PFC!$E$90</f>
        <v>Activity data tier level required:</v>
      </c>
      <c r="Q110" s="596" t="str">
        <f>I_PFC!$E$91</f>
        <v>Activity data tier used:</v>
      </c>
      <c r="R110" s="596" t="str">
        <f>I_PFC!$E$92</f>
        <v>Uncertainty achieved:</v>
      </c>
      <c r="S110" s="596" t="str">
        <f>I_PFC!$E$90</f>
        <v>Activity data tier level required:</v>
      </c>
      <c r="T110" s="596" t="str">
        <f>I_PFC!$E$91</f>
        <v>Activity data tier used:</v>
      </c>
      <c r="U110" s="596" t="str">
        <f>I_PFC!$E$92</f>
        <v>Uncertainty achieved:</v>
      </c>
      <c r="V110" s="596" t="str">
        <f>I_PFC!$E$90</f>
        <v>Activity data tier level required:</v>
      </c>
      <c r="W110" s="596" t="str">
        <f>I_PFC!$E$91</f>
        <v>Activity data tier used:</v>
      </c>
      <c r="X110" s="596" t="str">
        <f>I_PFC!$E$92</f>
        <v>Uncertainty achieved:</v>
      </c>
      <c r="Y110" s="596" t="str">
        <f>I_PFC!$H$117</f>
        <v>required tier</v>
      </c>
      <c r="Z110" s="596" t="str">
        <f>I_PFC!$H$124</f>
        <v>applied tier</v>
      </c>
      <c r="AA110" s="596" t="str">
        <f>I_PFC!$I$124</f>
        <v>default or latest value</v>
      </c>
      <c r="AB110" s="596" t="str">
        <f>I_PFC!$J$124</f>
        <v>Unit</v>
      </c>
      <c r="AC110" s="596" t="str">
        <f>I_PFC!$K$124</f>
        <v>source ref</v>
      </c>
      <c r="AD110" s="596" t="str">
        <f>I_PFC!$L$124</f>
        <v>analysis ref</v>
      </c>
      <c r="AE110" s="596" t="str">
        <f>I_PFC!$M$124</f>
        <v>date of latest analysis</v>
      </c>
      <c r="AF110" s="596" t="str">
        <f>I_PFC!$N$124</f>
        <v>Analysis frequency</v>
      </c>
      <c r="AG110" s="596" t="str">
        <f>I_PFC!$H$117</f>
        <v>required tier</v>
      </c>
      <c r="AH110" s="596" t="str">
        <f>I_PFC!$H$124</f>
        <v>applied tier</v>
      </c>
      <c r="AI110" s="596" t="str">
        <f>I_PFC!$I$124</f>
        <v>default or latest value</v>
      </c>
      <c r="AJ110" s="596" t="str">
        <f>I_PFC!$J$124</f>
        <v>Unit</v>
      </c>
      <c r="AK110" s="596" t="str">
        <f>I_PFC!$K$124</f>
        <v>source ref</v>
      </c>
      <c r="AL110" s="596" t="str">
        <f>I_PFC!$L$124</f>
        <v>analysis ref</v>
      </c>
      <c r="AM110" s="596" t="str">
        <f>I_PFC!$M$124</f>
        <v>date of latest analysis</v>
      </c>
      <c r="AN110" s="596" t="str">
        <f>I_PFC!$N$124</f>
        <v>Analysis frequency</v>
      </c>
      <c r="AO110" s="596" t="str">
        <f>I_PFC!$H$117</f>
        <v>required tier</v>
      </c>
      <c r="AP110" s="596" t="str">
        <f>I_PFC!$H$124</f>
        <v>applied tier</v>
      </c>
      <c r="AQ110" s="596" t="str">
        <f>I_PFC!$I$124</f>
        <v>default or latest value</v>
      </c>
      <c r="AR110" s="596" t="str">
        <f>I_PFC!$J$124</f>
        <v>Unit</v>
      </c>
      <c r="AS110" s="596" t="str">
        <f>I_PFC!$K$124</f>
        <v>source ref</v>
      </c>
      <c r="AT110" s="596" t="str">
        <f>I_PFC!$L$124</f>
        <v>analysis ref</v>
      </c>
      <c r="AU110" s="596" t="str">
        <f>I_PFC!$M$124</f>
        <v>date of latest analysis</v>
      </c>
      <c r="AV110" s="596" t="str">
        <f>I_PFC!$N$124</f>
        <v>Analysis frequency</v>
      </c>
      <c r="AW110" s="596" t="str">
        <f>I_PFC!$I$124</f>
        <v>default or latest value</v>
      </c>
      <c r="AX110" s="596" t="str">
        <f>I_PFC!$J$124</f>
        <v>Unit</v>
      </c>
      <c r="AY110" s="596" t="str">
        <f>I_PFC!$K$124</f>
        <v>source ref</v>
      </c>
      <c r="AZ110" s="596" t="str">
        <f>I_PFC!$L$124</f>
        <v>analysis ref</v>
      </c>
      <c r="BA110" s="596" t="str">
        <f>I_PFC!$M$124</f>
        <v>date of latest analysis</v>
      </c>
      <c r="BB110" s="596" t="str">
        <f>I_PFC!$N$124</f>
        <v>Analysis frequency</v>
      </c>
      <c r="BC110" s="596" t="str">
        <f>Translations!$B$546</f>
        <v>Comments:</v>
      </c>
      <c r="BD110" s="596" t="str">
        <f>Translations!$B$548</f>
        <v>Justification if required tiers are not applied:</v>
      </c>
    </row>
    <row r="111" spans="1:204" x14ac:dyDescent="0.2">
      <c r="B111" s="700" t="str">
        <f>IF(OR(B110="",CK111),"",I_PFC!D50)</f>
        <v/>
      </c>
      <c r="C111" s="701" t="str">
        <f>IF(B111="","",I_PFC!E50)</f>
        <v/>
      </c>
      <c r="D111" s="701" t="str">
        <f>IF(B111="","",I_PFC!H50)</f>
        <v/>
      </c>
      <c r="E111" s="701" t="str">
        <f>IF($B111="","",INDEX(C_InstallationDescription!F:F,MATCH($CJ111,C_InstallationDescription!$Q:$Q,0)))</f>
        <v/>
      </c>
      <c r="F111" s="702" t="str">
        <f>IF($E111="","",INDEX(C_InstallationDescription!L:L,MATCH($CJ111,C_InstallationDescription!$Q:$Q,0)))</f>
        <v/>
      </c>
      <c r="G111" s="701" t="str">
        <f>IF($E111="","",INDEX(C_InstallationDescription!M:M,MATCH($CJ111,C_InstallationDescription!$Q:$Q,0)))</f>
        <v/>
      </c>
      <c r="H111" s="701" t="str">
        <f>IF($E111="","",INDEX(C_InstallationDescription!N:N,MATCH($CJ111,C_InstallationDescription!$Q:$Q,0)))</f>
        <v/>
      </c>
      <c r="I111" s="700" t="str">
        <f>IF(INDEX(I_PFC!$L$50:$L$56,MATCH(B111,I_PFC!$D$50:$D$56,0))="","",INDEX(I_PFC!$L$50:$L$56,MATCH(B111,I_PFC!$D$50:$D$56,0)))</f>
        <v/>
      </c>
      <c r="J111" s="700" t="str">
        <f>IF($E111="","",INDEX(I_PFC!$A:$N,CL111,J$107))</f>
        <v/>
      </c>
      <c r="K111" s="700" t="str">
        <f>IF($E111="","",INDEX(I_PFC!$A:$N,CM111,K$107))</f>
        <v/>
      </c>
      <c r="L111" s="700" t="str">
        <f>IF($E111="","",INDEX(I_PFC!$A:$N,CN111,L$107))</f>
        <v/>
      </c>
      <c r="M111" s="700" t="str">
        <f>IF($E111="","",INDEX(I_PFC!$A:$N,CO111,M$107))</f>
        <v/>
      </c>
      <c r="N111" s="700" t="str">
        <f>IF($E111="","",INDEX(I_PFC!$A:$N,CP111,N$107))</f>
        <v/>
      </c>
      <c r="O111" s="700" t="str">
        <f>IF($E111="","",INDEX(I_PFC!$A:$N,CQ111,O$107))</f>
        <v/>
      </c>
      <c r="P111" s="700" t="str">
        <f>IF($E111="","",INDEX(I_PFC!$A:$N,CR111,P$107))</f>
        <v/>
      </c>
      <c r="Q111" s="700" t="str">
        <f>IF($E111="","",INDEX(I_PFC!$A:$N,CS111,Q$107))</f>
        <v/>
      </c>
      <c r="R111" s="700" t="str">
        <f>IF($E111="","",INDEX(I_PFC!$A:$N,CT111,R$107))</f>
        <v/>
      </c>
      <c r="S111" s="700" t="str">
        <f>IF($E111="","",INDEX(I_PFC!$A:$N,CU111,S$107))</f>
        <v/>
      </c>
      <c r="T111" s="700" t="str">
        <f>IF($E111="","",INDEX(I_PFC!$A:$N,CV111,T$107))</f>
        <v/>
      </c>
      <c r="U111" s="700" t="str">
        <f>IF($E111="","",INDEX(I_PFC!$A:$N,CW111,U$107))</f>
        <v/>
      </c>
      <c r="V111" s="700" t="str">
        <f>IF($E111="","",INDEX(I_PFC!$A:$N,CX111,V$107))</f>
        <v/>
      </c>
      <c r="W111" s="700" t="str">
        <f>IF($E111="","",INDEX(I_PFC!$A:$N,CY111,W$107))</f>
        <v/>
      </c>
      <c r="X111" s="700" t="str">
        <f>IF($E111="","",INDEX(I_PFC!$A:$N,CZ111,X$107))</f>
        <v/>
      </c>
      <c r="Y111" s="700" t="str">
        <f>IF($E111="","",INDEX(I_PFC!$A:$N,DA111,Y$107))</f>
        <v/>
      </c>
      <c r="Z111" s="700" t="str">
        <f>IF($E111="","",INDEX(I_PFC!$A:$N,DB111,Z$107))</f>
        <v/>
      </c>
      <c r="AA111" s="700" t="str">
        <f>IF($E111="","",INDEX(I_PFC!$A:$N,DC111,AA$107))</f>
        <v/>
      </c>
      <c r="AB111" s="700" t="str">
        <f>IF($E111="","",INDEX(I_PFC!$A:$N,DD111,AB$107))</f>
        <v/>
      </c>
      <c r="AC111" s="700" t="str">
        <f>IF($E111="","",INDEX(I_PFC!$A:$N,DE111,AC$107))</f>
        <v/>
      </c>
      <c r="AD111" s="700" t="str">
        <f>IF($E111="","",INDEX(I_PFC!$A:$N,DF111,AD$107))</f>
        <v/>
      </c>
      <c r="AE111" s="700" t="str">
        <f>IF($E111="","",INDEX(I_PFC!$A:$N,DG111,AE$107))</f>
        <v/>
      </c>
      <c r="AF111" s="700" t="str">
        <f>IF($E111="","",INDEX(I_PFC!$A:$N,DH111,AF$107))</f>
        <v/>
      </c>
      <c r="AG111" s="700" t="str">
        <f>IF($E111="","",INDEX(I_PFC!$A:$N,DI111,AG$107))</f>
        <v/>
      </c>
      <c r="AH111" s="700" t="str">
        <f>IF($E111="","",INDEX(I_PFC!$A:$N,DJ111,AH$107))</f>
        <v/>
      </c>
      <c r="AI111" s="700" t="str">
        <f>IF($E111="","",INDEX(I_PFC!$A:$N,DK111,AI$107))</f>
        <v/>
      </c>
      <c r="AJ111" s="700" t="str">
        <f>IF($E111="","",INDEX(I_PFC!$A:$N,DL111,AJ$107))</f>
        <v/>
      </c>
      <c r="AK111" s="700" t="str">
        <f>IF($E111="","",INDEX(I_PFC!$A:$N,DM111,AK$107))</f>
        <v/>
      </c>
      <c r="AL111" s="700" t="str">
        <f>IF($E111="","",INDEX(I_PFC!$A:$N,DN111,AL$107))</f>
        <v/>
      </c>
      <c r="AM111" s="700" t="str">
        <f>IF($E111="","",INDEX(I_PFC!$A:$N,DO111,AM$107))</f>
        <v/>
      </c>
      <c r="AN111" s="700" t="str">
        <f>IF($E111="","",INDEX(I_PFC!$A:$N,DP111,AN$107))</f>
        <v/>
      </c>
      <c r="AO111" s="700" t="str">
        <f>IF($E111="","",INDEX(I_PFC!$A:$N,DQ111,AO$107))</f>
        <v/>
      </c>
      <c r="AP111" s="700" t="str">
        <f>IF($E111="","",INDEX(I_PFC!$A:$N,DR111,AP$107))</f>
        <v/>
      </c>
      <c r="AQ111" s="700" t="str">
        <f>IF($E111="","",INDEX(I_PFC!$A:$N,DS111,AQ$107))</f>
        <v/>
      </c>
      <c r="AR111" s="700" t="str">
        <f>IF($E111="","",INDEX(I_PFC!$A:$N,DT111,AR$107))</f>
        <v/>
      </c>
      <c r="AS111" s="700" t="str">
        <f>IF($E111="","",INDEX(I_PFC!$A:$N,DU111,AS$107))</f>
        <v/>
      </c>
      <c r="AT111" s="700" t="str">
        <f>IF($E111="","",INDEX(I_PFC!$A:$N,DV111,AT$107))</f>
        <v/>
      </c>
      <c r="AU111" s="700" t="str">
        <f>IF($E111="","",INDEX(I_PFC!$A:$N,DW111,AU$107))</f>
        <v/>
      </c>
      <c r="AV111" s="700" t="str">
        <f>IF($E111="","",INDEX(I_PFC!$A:$N,DX111,AV$107))</f>
        <v/>
      </c>
      <c r="AW111" s="700" t="str">
        <f>IF($E111="","",INDEX(I_PFC!$A:$N,DY111,AW$107))</f>
        <v/>
      </c>
      <c r="AX111" s="700" t="str">
        <f>IF($E111="","",INDEX(I_PFC!$A:$N,DZ111,AX$107))</f>
        <v/>
      </c>
      <c r="AY111" s="700" t="str">
        <f>IF($E111="","",INDEX(I_PFC!$A:$N,EA111,AY$107))</f>
        <v/>
      </c>
      <c r="AZ111" s="700" t="str">
        <f>IF($E111="","",INDEX(I_PFC!$A:$N,EB111,AZ$107))</f>
        <v/>
      </c>
      <c r="BA111" s="700" t="str">
        <f>IF($E111="","",INDEX(I_PFC!$A:$N,EC111,BA$107))</f>
        <v/>
      </c>
      <c r="BB111" s="700" t="str">
        <f>IF($E111="","",INDEX(I_PFC!$A:$N,ED111,BB$107))</f>
        <v/>
      </c>
      <c r="BC111" s="700" t="str">
        <f>IF($E111="","",INDEX(I_PFC!$A:$N,EE111,BC$107))</f>
        <v/>
      </c>
      <c r="BD111" s="700" t="str">
        <f>IF($E111="","",INDEX(I_PFC!$A:$N,EF111,BD$107))</f>
        <v/>
      </c>
      <c r="CJ111" s="679" t="str">
        <f t="shared" ref="CJ111:CJ120" si="152">EUconst_CNTR_SourceCategory&amp;B111</f>
        <v>SourceCategory_</v>
      </c>
      <c r="CK111" s="679" t="b">
        <f>INDEX(I_PFC!$A$50:$A$60,ROWS($CI$111:CI111))="ausblenden"</f>
        <v>0</v>
      </c>
      <c r="CL111" s="705">
        <v>90</v>
      </c>
      <c r="CM111" s="705">
        <v>91</v>
      </c>
      <c r="CN111" s="705">
        <v>92</v>
      </c>
      <c r="CO111" s="705">
        <v>95</v>
      </c>
      <c r="CP111" s="705">
        <v>96</v>
      </c>
      <c r="CQ111" s="705">
        <v>97</v>
      </c>
      <c r="CR111" s="705">
        <v>100</v>
      </c>
      <c r="CS111" s="705">
        <v>101</v>
      </c>
      <c r="CT111" s="705">
        <v>102</v>
      </c>
      <c r="CU111" s="705">
        <v>105</v>
      </c>
      <c r="CV111" s="705">
        <v>106</v>
      </c>
      <c r="CW111" s="705">
        <v>107</v>
      </c>
      <c r="CX111" s="705">
        <v>110</v>
      </c>
      <c r="CY111" s="705">
        <v>111</v>
      </c>
      <c r="CZ111" s="705">
        <v>112</v>
      </c>
      <c r="DA111" s="705">
        <v>118</v>
      </c>
      <c r="DB111" s="705">
        <v>125</v>
      </c>
      <c r="DC111" s="705">
        <v>125</v>
      </c>
      <c r="DD111" s="705">
        <v>125</v>
      </c>
      <c r="DE111" s="705">
        <v>125</v>
      </c>
      <c r="DF111" s="705">
        <v>125</v>
      </c>
      <c r="DG111" s="705">
        <v>125</v>
      </c>
      <c r="DH111" s="705">
        <v>125</v>
      </c>
      <c r="DI111" s="705">
        <f>DA111+1</f>
        <v>119</v>
      </c>
      <c r="DJ111" s="705">
        <f t="shared" ref="DJ111:DX111" si="153">DB111+1</f>
        <v>126</v>
      </c>
      <c r="DK111" s="705">
        <f t="shared" si="153"/>
        <v>126</v>
      </c>
      <c r="DL111" s="705">
        <f t="shared" si="153"/>
        <v>126</v>
      </c>
      <c r="DM111" s="705">
        <f t="shared" si="153"/>
        <v>126</v>
      </c>
      <c r="DN111" s="705">
        <f t="shared" si="153"/>
        <v>126</v>
      </c>
      <c r="DO111" s="705">
        <f t="shared" si="153"/>
        <v>126</v>
      </c>
      <c r="DP111" s="705">
        <f t="shared" si="153"/>
        <v>126</v>
      </c>
      <c r="DQ111" s="705">
        <f t="shared" si="153"/>
        <v>120</v>
      </c>
      <c r="DR111" s="705">
        <f t="shared" si="153"/>
        <v>127</v>
      </c>
      <c r="DS111" s="705">
        <f t="shared" si="153"/>
        <v>127</v>
      </c>
      <c r="DT111" s="705">
        <f t="shared" si="153"/>
        <v>127</v>
      </c>
      <c r="DU111" s="705">
        <f t="shared" si="153"/>
        <v>127</v>
      </c>
      <c r="DV111" s="705">
        <f t="shared" si="153"/>
        <v>127</v>
      </c>
      <c r="DW111" s="705">
        <f t="shared" si="153"/>
        <v>127</v>
      </c>
      <c r="DX111" s="705">
        <f t="shared" si="153"/>
        <v>127</v>
      </c>
      <c r="DY111" s="705">
        <v>133</v>
      </c>
      <c r="DZ111" s="705">
        <v>133</v>
      </c>
      <c r="EA111" s="705">
        <v>133</v>
      </c>
      <c r="EB111" s="705">
        <v>133</v>
      </c>
      <c r="EC111" s="705">
        <v>133</v>
      </c>
      <c r="ED111" s="705">
        <v>133</v>
      </c>
      <c r="EE111" s="705">
        <v>139</v>
      </c>
      <c r="EF111" s="705">
        <v>147</v>
      </c>
    </row>
    <row r="112" spans="1:204" x14ac:dyDescent="0.2">
      <c r="B112" s="700" t="str">
        <f>IF(OR(B111="",CK112),"",I_PFC!D51)</f>
        <v/>
      </c>
      <c r="C112" s="701" t="str">
        <f>IF(B112="","",I_PFC!E51)</f>
        <v/>
      </c>
      <c r="D112" s="701" t="str">
        <f>IF(B112="","",I_PFC!H51)</f>
        <v/>
      </c>
      <c r="E112" s="701" t="str">
        <f>IF($B112="","",INDEX(C_InstallationDescription!F:F,MATCH($CJ112,C_InstallationDescription!$Q:$Q,0)))</f>
        <v/>
      </c>
      <c r="F112" s="702" t="str">
        <f>IF($E112="","",INDEX(C_InstallationDescription!L:L,MATCH($CJ112,C_InstallationDescription!$Q:$Q,0)))</f>
        <v/>
      </c>
      <c r="G112" s="701" t="str">
        <f>IF($E112="","",INDEX(C_InstallationDescription!M:M,MATCH($CJ112,C_InstallationDescription!$Q:$Q,0)))</f>
        <v/>
      </c>
      <c r="H112" s="701" t="str">
        <f>IF($E112="","",INDEX(C_InstallationDescription!N:N,MATCH($CJ112,C_InstallationDescription!$Q:$Q,0)))</f>
        <v/>
      </c>
      <c r="I112" s="700" t="str">
        <f>IF(INDEX(I_PFC!$L$50:$L$56,MATCH(B112,I_PFC!$D$50:$D$56,0))="","",INDEX(I_PFC!$L$50:$L$56,MATCH(B112,I_PFC!$D$50:$D$56,0)))</f>
        <v/>
      </c>
      <c r="J112" s="700" t="str">
        <f>IF($E112="","",INDEX(I_PFC!$A:$N,CL112,J$107))</f>
        <v/>
      </c>
      <c r="K112" s="700" t="str">
        <f>IF($E112="","",INDEX(I_PFC!$A:$N,CM112,K$107))</f>
        <v/>
      </c>
      <c r="L112" s="700" t="str">
        <f>IF($E112="","",INDEX(I_PFC!$A:$N,CN112,L$107))</f>
        <v/>
      </c>
      <c r="M112" s="700" t="str">
        <f>IF($E112="","",INDEX(I_PFC!$A:$N,CO112,M$107))</f>
        <v/>
      </c>
      <c r="N112" s="700" t="str">
        <f>IF($E112="","",INDEX(I_PFC!$A:$N,CP112,N$107))</f>
        <v/>
      </c>
      <c r="O112" s="700" t="str">
        <f>IF($E112="","",INDEX(I_PFC!$A:$N,CQ112,O$107))</f>
        <v/>
      </c>
      <c r="P112" s="700" t="str">
        <f>IF($E112="","",INDEX(I_PFC!$A:$N,CR112,P$107))</f>
        <v/>
      </c>
      <c r="Q112" s="700" t="str">
        <f>IF($E112="","",INDEX(I_PFC!$A:$N,CS112,Q$107))</f>
        <v/>
      </c>
      <c r="R112" s="700" t="str">
        <f>IF($E112="","",INDEX(I_PFC!$A:$N,CT112,R$107))</f>
        <v/>
      </c>
      <c r="S112" s="700" t="str">
        <f>IF($E112="","",INDEX(I_PFC!$A:$N,CU112,S$107))</f>
        <v/>
      </c>
      <c r="T112" s="700" t="str">
        <f>IF($E112="","",INDEX(I_PFC!$A:$N,CV112,T$107))</f>
        <v/>
      </c>
      <c r="U112" s="700" t="str">
        <f>IF($E112="","",INDEX(I_PFC!$A:$N,CW112,U$107))</f>
        <v/>
      </c>
      <c r="V112" s="700" t="str">
        <f>IF($E112="","",INDEX(I_PFC!$A:$N,CX112,V$107))</f>
        <v/>
      </c>
      <c r="W112" s="700" t="str">
        <f>IF($E112="","",INDEX(I_PFC!$A:$N,CY112,W$107))</f>
        <v/>
      </c>
      <c r="X112" s="700" t="str">
        <f>IF($E112="","",INDEX(I_PFC!$A:$N,CZ112,X$107))</f>
        <v/>
      </c>
      <c r="Y112" s="700" t="str">
        <f>IF($E112="","",INDEX(I_PFC!$A:$N,DA112,Y$107))</f>
        <v/>
      </c>
      <c r="Z112" s="700" t="str">
        <f>IF($E112="","",INDEX(I_PFC!$A:$N,DB112,Z$107))</f>
        <v/>
      </c>
      <c r="AA112" s="700" t="str">
        <f>IF($E112="","",INDEX(I_PFC!$A:$N,DC112,AA$107))</f>
        <v/>
      </c>
      <c r="AB112" s="700" t="str">
        <f>IF($E112="","",INDEX(I_PFC!$A:$N,DD112,AB$107))</f>
        <v/>
      </c>
      <c r="AC112" s="700" t="str">
        <f>IF($E112="","",INDEX(I_PFC!$A:$N,DE112,AC$107))</f>
        <v/>
      </c>
      <c r="AD112" s="700" t="str">
        <f>IF($E112="","",INDEX(I_PFC!$A:$N,DF112,AD$107))</f>
        <v/>
      </c>
      <c r="AE112" s="700" t="str">
        <f>IF($E112="","",INDEX(I_PFC!$A:$N,DG112,AE$107))</f>
        <v/>
      </c>
      <c r="AF112" s="700" t="str">
        <f>IF($E112="","",INDEX(I_PFC!$A:$N,DH112,AF$107))</f>
        <v/>
      </c>
      <c r="AG112" s="700" t="str">
        <f>IF($E112="","",INDEX(I_PFC!$A:$N,DI112,AG$107))</f>
        <v/>
      </c>
      <c r="AH112" s="700" t="str">
        <f>IF($E112="","",INDEX(I_PFC!$A:$N,DJ112,AH$107))</f>
        <v/>
      </c>
      <c r="AI112" s="700" t="str">
        <f>IF($E112="","",INDEX(I_PFC!$A:$N,DK112,AI$107))</f>
        <v/>
      </c>
      <c r="AJ112" s="700" t="str">
        <f>IF($E112="","",INDEX(I_PFC!$A:$N,DL112,AJ$107))</f>
        <v/>
      </c>
      <c r="AK112" s="700" t="str">
        <f>IF($E112="","",INDEX(I_PFC!$A:$N,DM112,AK$107))</f>
        <v/>
      </c>
      <c r="AL112" s="700" t="str">
        <f>IF($E112="","",INDEX(I_PFC!$A:$N,DN112,AL$107))</f>
        <v/>
      </c>
      <c r="AM112" s="700" t="str">
        <f>IF($E112="","",INDEX(I_PFC!$A:$N,DO112,AM$107))</f>
        <v/>
      </c>
      <c r="AN112" s="700" t="str">
        <f>IF($E112="","",INDEX(I_PFC!$A:$N,DP112,AN$107))</f>
        <v/>
      </c>
      <c r="AO112" s="700" t="str">
        <f>IF($E112="","",INDEX(I_PFC!$A:$N,DQ112,AO$107))</f>
        <v/>
      </c>
      <c r="AP112" s="700" t="str">
        <f>IF($E112="","",INDEX(I_PFC!$A:$N,DR112,AP$107))</f>
        <v/>
      </c>
      <c r="AQ112" s="700" t="str">
        <f>IF($E112="","",INDEX(I_PFC!$A:$N,DS112,AQ$107))</f>
        <v/>
      </c>
      <c r="AR112" s="700" t="str">
        <f>IF($E112="","",INDEX(I_PFC!$A:$N,DT112,AR$107))</f>
        <v/>
      </c>
      <c r="AS112" s="700" t="str">
        <f>IF($E112="","",INDEX(I_PFC!$A:$N,DU112,AS$107))</f>
        <v/>
      </c>
      <c r="AT112" s="700" t="str">
        <f>IF($E112="","",INDEX(I_PFC!$A:$N,DV112,AT$107))</f>
        <v/>
      </c>
      <c r="AU112" s="700" t="str">
        <f>IF($E112="","",INDEX(I_PFC!$A:$N,DW112,AU$107))</f>
        <v/>
      </c>
      <c r="AV112" s="700" t="str">
        <f>IF($E112="","",INDEX(I_PFC!$A:$N,DX112,AV$107))</f>
        <v/>
      </c>
      <c r="AW112" s="700" t="str">
        <f>IF($E112="","",INDEX(I_PFC!$A:$N,DY112,AW$107))</f>
        <v/>
      </c>
      <c r="AX112" s="700" t="str">
        <f>IF($E112="","",INDEX(I_PFC!$A:$N,DZ112,AX$107))</f>
        <v/>
      </c>
      <c r="AY112" s="700" t="str">
        <f>IF($E112="","",INDEX(I_PFC!$A:$N,EA112,AY$107))</f>
        <v/>
      </c>
      <c r="AZ112" s="700" t="str">
        <f>IF($E112="","",INDEX(I_PFC!$A:$N,EB112,AZ$107))</f>
        <v/>
      </c>
      <c r="BA112" s="700" t="str">
        <f>IF($E112="","",INDEX(I_PFC!$A:$N,EC112,BA$107))</f>
        <v/>
      </c>
      <c r="BB112" s="700" t="str">
        <f>IF($E112="","",INDEX(I_PFC!$A:$N,ED112,BB$107))</f>
        <v/>
      </c>
      <c r="BC112" s="700" t="str">
        <f>IF($E112="","",INDEX(I_PFC!$A:$N,EE112,BC$107))</f>
        <v/>
      </c>
      <c r="BD112" s="700" t="str">
        <f>IF($E112="","",INDEX(I_PFC!$A:$N,EF112,BD$107))</f>
        <v/>
      </c>
      <c r="CJ112" s="679" t="str">
        <f t="shared" si="152"/>
        <v>SourceCategory_</v>
      </c>
      <c r="CK112" s="679" t="b">
        <f>INDEX(I_PFC!$A$50:$A$60,ROWS($CI$111:CI112))="ausblenden"</f>
        <v>0</v>
      </c>
      <c r="CL112" s="705">
        <f>CL111+75</f>
        <v>165</v>
      </c>
      <c r="CM112" s="705">
        <f t="shared" ref="CM112:ED112" si="154">CM111+75</f>
        <v>166</v>
      </c>
      <c r="CN112" s="705">
        <f t="shared" si="154"/>
        <v>167</v>
      </c>
      <c r="CO112" s="705">
        <f t="shared" si="154"/>
        <v>170</v>
      </c>
      <c r="CP112" s="705">
        <f t="shared" si="154"/>
        <v>171</v>
      </c>
      <c r="CQ112" s="705">
        <f t="shared" si="154"/>
        <v>172</v>
      </c>
      <c r="CR112" s="705">
        <f t="shared" si="154"/>
        <v>175</v>
      </c>
      <c r="CS112" s="705">
        <f t="shared" si="154"/>
        <v>176</v>
      </c>
      <c r="CT112" s="705">
        <f t="shared" si="154"/>
        <v>177</v>
      </c>
      <c r="CU112" s="705">
        <f t="shared" si="154"/>
        <v>180</v>
      </c>
      <c r="CV112" s="705">
        <f t="shared" si="154"/>
        <v>181</v>
      </c>
      <c r="CW112" s="705">
        <f t="shared" si="154"/>
        <v>182</v>
      </c>
      <c r="CX112" s="705">
        <f t="shared" si="154"/>
        <v>185</v>
      </c>
      <c r="CY112" s="705">
        <f t="shared" si="154"/>
        <v>186</v>
      </c>
      <c r="CZ112" s="705">
        <f t="shared" si="154"/>
        <v>187</v>
      </c>
      <c r="DA112" s="705">
        <f t="shared" si="154"/>
        <v>193</v>
      </c>
      <c r="DB112" s="705">
        <f t="shared" si="154"/>
        <v>200</v>
      </c>
      <c r="DC112" s="705">
        <f t="shared" si="154"/>
        <v>200</v>
      </c>
      <c r="DD112" s="705">
        <f t="shared" si="154"/>
        <v>200</v>
      </c>
      <c r="DE112" s="705">
        <f t="shared" si="154"/>
        <v>200</v>
      </c>
      <c r="DF112" s="705">
        <f t="shared" si="154"/>
        <v>200</v>
      </c>
      <c r="DG112" s="705">
        <f t="shared" si="154"/>
        <v>200</v>
      </c>
      <c r="DH112" s="705">
        <f t="shared" si="154"/>
        <v>200</v>
      </c>
      <c r="DI112" s="705">
        <f t="shared" si="154"/>
        <v>194</v>
      </c>
      <c r="DJ112" s="705">
        <f t="shared" si="154"/>
        <v>201</v>
      </c>
      <c r="DK112" s="705">
        <f t="shared" si="154"/>
        <v>201</v>
      </c>
      <c r="DL112" s="705">
        <f t="shared" si="154"/>
        <v>201</v>
      </c>
      <c r="DM112" s="705">
        <f t="shared" si="154"/>
        <v>201</v>
      </c>
      <c r="DN112" s="705">
        <f t="shared" si="154"/>
        <v>201</v>
      </c>
      <c r="DO112" s="705">
        <f t="shared" si="154"/>
        <v>201</v>
      </c>
      <c r="DP112" s="705">
        <f t="shared" si="154"/>
        <v>201</v>
      </c>
      <c r="DQ112" s="705">
        <f t="shared" si="154"/>
        <v>195</v>
      </c>
      <c r="DR112" s="705">
        <f t="shared" si="154"/>
        <v>202</v>
      </c>
      <c r="DS112" s="705">
        <f t="shared" si="154"/>
        <v>202</v>
      </c>
      <c r="DT112" s="705">
        <f t="shared" si="154"/>
        <v>202</v>
      </c>
      <c r="DU112" s="705">
        <f t="shared" si="154"/>
        <v>202</v>
      </c>
      <c r="DV112" s="705">
        <f t="shared" si="154"/>
        <v>202</v>
      </c>
      <c r="DW112" s="705">
        <f t="shared" si="154"/>
        <v>202</v>
      </c>
      <c r="DX112" s="705">
        <f t="shared" si="154"/>
        <v>202</v>
      </c>
      <c r="DY112" s="705">
        <f t="shared" si="154"/>
        <v>208</v>
      </c>
      <c r="DZ112" s="705">
        <f t="shared" si="154"/>
        <v>208</v>
      </c>
      <c r="EA112" s="705">
        <f t="shared" si="154"/>
        <v>208</v>
      </c>
      <c r="EB112" s="705">
        <f t="shared" si="154"/>
        <v>208</v>
      </c>
      <c r="EC112" s="705">
        <f t="shared" si="154"/>
        <v>208</v>
      </c>
      <c r="ED112" s="705">
        <f t="shared" si="154"/>
        <v>208</v>
      </c>
      <c r="EE112" s="705">
        <v>213</v>
      </c>
      <c r="EF112" s="705">
        <v>219</v>
      </c>
    </row>
    <row r="113" spans="1:204" x14ac:dyDescent="0.2">
      <c r="B113" s="700" t="str">
        <f>IF(OR(B112="",CK113),"",I_PFC!D52)</f>
        <v/>
      </c>
      <c r="C113" s="701" t="str">
        <f>IF(B113="","",I_PFC!E52)</f>
        <v/>
      </c>
      <c r="D113" s="701" t="str">
        <f>IF(B113="","",I_PFC!H52)</f>
        <v/>
      </c>
      <c r="E113" s="701" t="str">
        <f>IF($B113="","",INDEX(C_InstallationDescription!F:F,MATCH($CJ113,C_InstallationDescription!$Q:$Q,0)))</f>
        <v/>
      </c>
      <c r="F113" s="702" t="str">
        <f>IF($E113="","",INDEX(C_InstallationDescription!L:L,MATCH($CJ113,C_InstallationDescription!$Q:$Q,0)))</f>
        <v/>
      </c>
      <c r="G113" s="701" t="str">
        <f>IF($E113="","",INDEX(C_InstallationDescription!M:M,MATCH($CJ113,C_InstallationDescription!$Q:$Q,0)))</f>
        <v/>
      </c>
      <c r="H113" s="701" t="str">
        <f>IF($E113="","",INDEX(C_InstallationDescription!N:N,MATCH($CJ113,C_InstallationDescription!$Q:$Q,0)))</f>
        <v/>
      </c>
      <c r="I113" s="700" t="str">
        <f>IF(INDEX(I_PFC!$L$50:$L$56,MATCH(B113,I_PFC!$D$50:$D$56,0))="","",INDEX(I_PFC!$L$50:$L$56,MATCH(B113,I_PFC!$D$50:$D$56,0)))</f>
        <v/>
      </c>
      <c r="J113" s="700" t="str">
        <f>IF($E113="","",INDEX(I_PFC!$A:$N,CL113,J$107))</f>
        <v/>
      </c>
      <c r="K113" s="700" t="str">
        <f>IF($E113="","",INDEX(I_PFC!$A:$N,CM113,K$107))</f>
        <v/>
      </c>
      <c r="L113" s="700" t="str">
        <f>IF($E113="","",INDEX(I_PFC!$A:$N,CN113,L$107))</f>
        <v/>
      </c>
      <c r="M113" s="700" t="str">
        <f>IF($E113="","",INDEX(I_PFC!$A:$N,CO113,M$107))</f>
        <v/>
      </c>
      <c r="N113" s="700" t="str">
        <f>IF($E113="","",INDEX(I_PFC!$A:$N,CP113,N$107))</f>
        <v/>
      </c>
      <c r="O113" s="700" t="str">
        <f>IF($E113="","",INDEX(I_PFC!$A:$N,CQ113,O$107))</f>
        <v/>
      </c>
      <c r="P113" s="700" t="str">
        <f>IF($E113="","",INDEX(I_PFC!$A:$N,CR113,P$107))</f>
        <v/>
      </c>
      <c r="Q113" s="700" t="str">
        <f>IF($E113="","",INDEX(I_PFC!$A:$N,CS113,Q$107))</f>
        <v/>
      </c>
      <c r="R113" s="700" t="str">
        <f>IF($E113="","",INDEX(I_PFC!$A:$N,CT113,R$107))</f>
        <v/>
      </c>
      <c r="S113" s="700" t="str">
        <f>IF($E113="","",INDEX(I_PFC!$A:$N,CU113,S$107))</f>
        <v/>
      </c>
      <c r="T113" s="700" t="str">
        <f>IF($E113="","",INDEX(I_PFC!$A:$N,CV113,T$107))</f>
        <v/>
      </c>
      <c r="U113" s="700" t="str">
        <f>IF($E113="","",INDEX(I_PFC!$A:$N,CW113,U$107))</f>
        <v/>
      </c>
      <c r="V113" s="700" t="str">
        <f>IF($E113="","",INDEX(I_PFC!$A:$N,CX113,V$107))</f>
        <v/>
      </c>
      <c r="W113" s="700" t="str">
        <f>IF($E113="","",INDEX(I_PFC!$A:$N,CY113,W$107))</f>
        <v/>
      </c>
      <c r="X113" s="700" t="str">
        <f>IF($E113="","",INDEX(I_PFC!$A:$N,CZ113,X$107))</f>
        <v/>
      </c>
      <c r="Y113" s="700" t="str">
        <f>IF($E113="","",INDEX(I_PFC!$A:$N,DA113,Y$107))</f>
        <v/>
      </c>
      <c r="Z113" s="700" t="str">
        <f>IF($E113="","",INDEX(I_PFC!$A:$N,DB113,Z$107))</f>
        <v/>
      </c>
      <c r="AA113" s="700" t="str">
        <f>IF($E113="","",INDEX(I_PFC!$A:$N,DC113,AA$107))</f>
        <v/>
      </c>
      <c r="AB113" s="700" t="str">
        <f>IF($E113="","",INDEX(I_PFC!$A:$N,DD113,AB$107))</f>
        <v/>
      </c>
      <c r="AC113" s="700" t="str">
        <f>IF($E113="","",INDEX(I_PFC!$A:$N,DE113,AC$107))</f>
        <v/>
      </c>
      <c r="AD113" s="700" t="str">
        <f>IF($E113="","",INDEX(I_PFC!$A:$N,DF113,AD$107))</f>
        <v/>
      </c>
      <c r="AE113" s="700" t="str">
        <f>IF($E113="","",INDEX(I_PFC!$A:$N,DG113,AE$107))</f>
        <v/>
      </c>
      <c r="AF113" s="700" t="str">
        <f>IF($E113="","",INDEX(I_PFC!$A:$N,DH113,AF$107))</f>
        <v/>
      </c>
      <c r="AG113" s="700" t="str">
        <f>IF($E113="","",INDEX(I_PFC!$A:$N,DI113,AG$107))</f>
        <v/>
      </c>
      <c r="AH113" s="700" t="str">
        <f>IF($E113="","",INDEX(I_PFC!$A:$N,DJ113,AH$107))</f>
        <v/>
      </c>
      <c r="AI113" s="700" t="str">
        <f>IF($E113="","",INDEX(I_PFC!$A:$N,DK113,AI$107))</f>
        <v/>
      </c>
      <c r="AJ113" s="700" t="str">
        <f>IF($E113="","",INDEX(I_PFC!$A:$N,DL113,AJ$107))</f>
        <v/>
      </c>
      <c r="AK113" s="700" t="str">
        <f>IF($E113="","",INDEX(I_PFC!$A:$N,DM113,AK$107))</f>
        <v/>
      </c>
      <c r="AL113" s="700" t="str">
        <f>IF($E113="","",INDEX(I_PFC!$A:$N,DN113,AL$107))</f>
        <v/>
      </c>
      <c r="AM113" s="700" t="str">
        <f>IF($E113="","",INDEX(I_PFC!$A:$N,DO113,AM$107))</f>
        <v/>
      </c>
      <c r="AN113" s="700" t="str">
        <f>IF($E113="","",INDEX(I_PFC!$A:$N,DP113,AN$107))</f>
        <v/>
      </c>
      <c r="AO113" s="700" t="str">
        <f>IF($E113="","",INDEX(I_PFC!$A:$N,DQ113,AO$107))</f>
        <v/>
      </c>
      <c r="AP113" s="700" t="str">
        <f>IF($E113="","",INDEX(I_PFC!$A:$N,DR113,AP$107))</f>
        <v/>
      </c>
      <c r="AQ113" s="700" t="str">
        <f>IF($E113="","",INDEX(I_PFC!$A:$N,DS113,AQ$107))</f>
        <v/>
      </c>
      <c r="AR113" s="700" t="str">
        <f>IF($E113="","",INDEX(I_PFC!$A:$N,DT113,AR$107))</f>
        <v/>
      </c>
      <c r="AS113" s="700" t="str">
        <f>IF($E113="","",INDEX(I_PFC!$A:$N,DU113,AS$107))</f>
        <v/>
      </c>
      <c r="AT113" s="700" t="str">
        <f>IF($E113="","",INDEX(I_PFC!$A:$N,DV113,AT$107))</f>
        <v/>
      </c>
      <c r="AU113" s="700" t="str">
        <f>IF($E113="","",INDEX(I_PFC!$A:$N,DW113,AU$107))</f>
        <v/>
      </c>
      <c r="AV113" s="700" t="str">
        <f>IF($E113="","",INDEX(I_PFC!$A:$N,DX113,AV$107))</f>
        <v/>
      </c>
      <c r="AW113" s="700" t="str">
        <f>IF($E113="","",INDEX(I_PFC!$A:$N,DY113,AW$107))</f>
        <v/>
      </c>
      <c r="AX113" s="700" t="str">
        <f>IF($E113="","",INDEX(I_PFC!$A:$N,DZ113,AX$107))</f>
        <v/>
      </c>
      <c r="AY113" s="700" t="str">
        <f>IF($E113="","",INDEX(I_PFC!$A:$N,EA113,AY$107))</f>
        <v/>
      </c>
      <c r="AZ113" s="700" t="str">
        <f>IF($E113="","",INDEX(I_PFC!$A:$N,EB113,AZ$107))</f>
        <v/>
      </c>
      <c r="BA113" s="700" t="str">
        <f>IF($E113="","",INDEX(I_PFC!$A:$N,EC113,BA$107))</f>
        <v/>
      </c>
      <c r="BB113" s="700" t="str">
        <f>IF($E113="","",INDEX(I_PFC!$A:$N,ED113,BB$107))</f>
        <v/>
      </c>
      <c r="BC113" s="700" t="str">
        <f>IF($E113="","",INDEX(I_PFC!$A:$N,EE113,BC$107))</f>
        <v/>
      </c>
      <c r="BD113" s="700" t="str">
        <f>IF($E113="","",INDEX(I_PFC!$A:$N,EF113,BD$107))</f>
        <v/>
      </c>
      <c r="CJ113" s="679" t="str">
        <f t="shared" si="152"/>
        <v>SourceCategory_</v>
      </c>
      <c r="CK113" s="679" t="b">
        <f>INDEX(I_PFC!$A$50:$A$60,ROWS($CI$111:CI113))="ausblenden"</f>
        <v>0</v>
      </c>
      <c r="CL113" s="679">
        <f t="shared" ref="CL113:CL120" si="155">CL112+72</f>
        <v>237</v>
      </c>
      <c r="CM113" s="679">
        <f t="shared" ref="CM113:EF118" si="156">CM112+72</f>
        <v>238</v>
      </c>
      <c r="CN113" s="679">
        <f t="shared" si="156"/>
        <v>239</v>
      </c>
      <c r="CO113" s="679">
        <f t="shared" si="156"/>
        <v>242</v>
      </c>
      <c r="CP113" s="679">
        <f t="shared" si="156"/>
        <v>243</v>
      </c>
      <c r="CQ113" s="679">
        <f t="shared" si="156"/>
        <v>244</v>
      </c>
      <c r="CR113" s="679">
        <f t="shared" si="156"/>
        <v>247</v>
      </c>
      <c r="CS113" s="679">
        <f t="shared" si="156"/>
        <v>248</v>
      </c>
      <c r="CT113" s="679">
        <f t="shared" si="156"/>
        <v>249</v>
      </c>
      <c r="CU113" s="679">
        <f t="shared" si="156"/>
        <v>252</v>
      </c>
      <c r="CV113" s="679">
        <f t="shared" si="156"/>
        <v>253</v>
      </c>
      <c r="CW113" s="679">
        <f t="shared" si="156"/>
        <v>254</v>
      </c>
      <c r="CX113" s="679">
        <f t="shared" si="156"/>
        <v>257</v>
      </c>
      <c r="CY113" s="679">
        <f t="shared" si="156"/>
        <v>258</v>
      </c>
      <c r="CZ113" s="679">
        <f t="shared" si="156"/>
        <v>259</v>
      </c>
      <c r="DA113" s="679">
        <f t="shared" si="156"/>
        <v>265</v>
      </c>
      <c r="DB113" s="679">
        <f t="shared" si="156"/>
        <v>272</v>
      </c>
      <c r="DC113" s="679">
        <f t="shared" si="156"/>
        <v>272</v>
      </c>
      <c r="DD113" s="679">
        <f t="shared" si="156"/>
        <v>272</v>
      </c>
      <c r="DE113" s="679">
        <f t="shared" si="156"/>
        <v>272</v>
      </c>
      <c r="DF113" s="679">
        <f t="shared" si="156"/>
        <v>272</v>
      </c>
      <c r="DG113" s="679">
        <f t="shared" si="156"/>
        <v>272</v>
      </c>
      <c r="DH113" s="679">
        <f t="shared" si="156"/>
        <v>272</v>
      </c>
      <c r="DI113" s="679">
        <f t="shared" si="156"/>
        <v>266</v>
      </c>
      <c r="DJ113" s="679">
        <f t="shared" si="156"/>
        <v>273</v>
      </c>
      <c r="DK113" s="679">
        <f t="shared" si="156"/>
        <v>273</v>
      </c>
      <c r="DL113" s="679">
        <f t="shared" si="156"/>
        <v>273</v>
      </c>
      <c r="DM113" s="679">
        <f t="shared" si="156"/>
        <v>273</v>
      </c>
      <c r="DN113" s="679">
        <f t="shared" si="156"/>
        <v>273</v>
      </c>
      <c r="DO113" s="679">
        <f t="shared" si="156"/>
        <v>273</v>
      </c>
      <c r="DP113" s="679">
        <f t="shared" si="156"/>
        <v>273</v>
      </c>
      <c r="DQ113" s="679">
        <f t="shared" si="156"/>
        <v>267</v>
      </c>
      <c r="DR113" s="679">
        <f t="shared" si="156"/>
        <v>274</v>
      </c>
      <c r="DS113" s="679">
        <f t="shared" si="156"/>
        <v>274</v>
      </c>
      <c r="DT113" s="679">
        <f t="shared" si="156"/>
        <v>274</v>
      </c>
      <c r="DU113" s="679">
        <f t="shared" si="156"/>
        <v>274</v>
      </c>
      <c r="DV113" s="679">
        <f t="shared" si="156"/>
        <v>274</v>
      </c>
      <c r="DW113" s="679">
        <f t="shared" si="156"/>
        <v>274</v>
      </c>
      <c r="DX113" s="679">
        <f t="shared" si="156"/>
        <v>274</v>
      </c>
      <c r="DY113" s="679">
        <f t="shared" si="156"/>
        <v>280</v>
      </c>
      <c r="DZ113" s="679">
        <f t="shared" si="156"/>
        <v>280</v>
      </c>
      <c r="EA113" s="679">
        <f t="shared" si="156"/>
        <v>280</v>
      </c>
      <c r="EB113" s="679">
        <f t="shared" si="156"/>
        <v>280</v>
      </c>
      <c r="EC113" s="679">
        <f t="shared" si="156"/>
        <v>280</v>
      </c>
      <c r="ED113" s="679">
        <f t="shared" si="156"/>
        <v>280</v>
      </c>
      <c r="EE113" s="679">
        <f t="shared" si="156"/>
        <v>285</v>
      </c>
      <c r="EF113" s="679">
        <f t="shared" si="156"/>
        <v>291</v>
      </c>
    </row>
    <row r="114" spans="1:204" x14ac:dyDescent="0.2">
      <c r="B114" s="700" t="str">
        <f>IF(OR(B113="",CK114),"",I_PFC!D53)</f>
        <v/>
      </c>
      <c r="C114" s="701" t="str">
        <f>IF(B114="","",I_PFC!E53)</f>
        <v/>
      </c>
      <c r="D114" s="701" t="str">
        <f>IF(B114="","",I_PFC!H53)</f>
        <v/>
      </c>
      <c r="E114" s="701" t="str">
        <f>IF($B114="","",INDEX(C_InstallationDescription!F:F,MATCH($CJ114,C_InstallationDescription!$Q:$Q,0)))</f>
        <v/>
      </c>
      <c r="F114" s="702" t="str">
        <f>IF($E114="","",INDEX(C_InstallationDescription!L:L,MATCH($CJ114,C_InstallationDescription!$Q:$Q,0)))</f>
        <v/>
      </c>
      <c r="G114" s="701" t="str">
        <f>IF($E114="","",INDEX(C_InstallationDescription!M:M,MATCH($CJ114,C_InstallationDescription!$Q:$Q,0)))</f>
        <v/>
      </c>
      <c r="H114" s="701" t="str">
        <f>IF($E114="","",INDEX(C_InstallationDescription!N:N,MATCH($CJ114,C_InstallationDescription!$Q:$Q,0)))</f>
        <v/>
      </c>
      <c r="I114" s="700" t="str">
        <f>IF(INDEX(I_PFC!$L$50:$L$56,MATCH(B114,I_PFC!$D$50:$D$56,0))="","",INDEX(I_PFC!$L$50:$L$56,MATCH(B114,I_PFC!$D$50:$D$56,0)))</f>
        <v/>
      </c>
      <c r="J114" s="700" t="str">
        <f>IF($E114="","",INDEX(I_PFC!$A:$N,CL114,J$107))</f>
        <v/>
      </c>
      <c r="K114" s="700" t="str">
        <f>IF($E114="","",INDEX(I_PFC!$A:$N,CM114,K$107))</f>
        <v/>
      </c>
      <c r="L114" s="700" t="str">
        <f>IF($E114="","",INDEX(I_PFC!$A:$N,CN114,L$107))</f>
        <v/>
      </c>
      <c r="M114" s="700" t="str">
        <f>IF($E114="","",INDEX(I_PFC!$A:$N,CO114,M$107))</f>
        <v/>
      </c>
      <c r="N114" s="700" t="str">
        <f>IF($E114="","",INDEX(I_PFC!$A:$N,CP114,N$107))</f>
        <v/>
      </c>
      <c r="O114" s="700" t="str">
        <f>IF($E114="","",INDEX(I_PFC!$A:$N,CQ114,O$107))</f>
        <v/>
      </c>
      <c r="P114" s="700" t="str">
        <f>IF($E114="","",INDEX(I_PFC!$A:$N,CR114,P$107))</f>
        <v/>
      </c>
      <c r="Q114" s="700" t="str">
        <f>IF($E114="","",INDEX(I_PFC!$A:$N,CS114,Q$107))</f>
        <v/>
      </c>
      <c r="R114" s="700" t="str">
        <f>IF($E114="","",INDEX(I_PFC!$A:$N,CT114,R$107))</f>
        <v/>
      </c>
      <c r="S114" s="700" t="str">
        <f>IF($E114="","",INDEX(I_PFC!$A:$N,CU114,S$107))</f>
        <v/>
      </c>
      <c r="T114" s="700" t="str">
        <f>IF($E114="","",INDEX(I_PFC!$A:$N,CV114,T$107))</f>
        <v/>
      </c>
      <c r="U114" s="700" t="str">
        <f>IF($E114="","",INDEX(I_PFC!$A:$N,CW114,U$107))</f>
        <v/>
      </c>
      <c r="V114" s="700" t="str">
        <f>IF($E114="","",INDEX(I_PFC!$A:$N,CX114,V$107))</f>
        <v/>
      </c>
      <c r="W114" s="700" t="str">
        <f>IF($E114="","",INDEX(I_PFC!$A:$N,CY114,W$107))</f>
        <v/>
      </c>
      <c r="X114" s="700" t="str">
        <f>IF($E114="","",INDEX(I_PFC!$A:$N,CZ114,X$107))</f>
        <v/>
      </c>
      <c r="Y114" s="700" t="str">
        <f>IF($E114="","",INDEX(I_PFC!$A:$N,DA114,Y$107))</f>
        <v/>
      </c>
      <c r="Z114" s="700" t="str">
        <f>IF($E114="","",INDEX(I_PFC!$A:$N,DB114,Z$107))</f>
        <v/>
      </c>
      <c r="AA114" s="700" t="str">
        <f>IF($E114="","",INDEX(I_PFC!$A:$N,DC114,AA$107))</f>
        <v/>
      </c>
      <c r="AB114" s="700" t="str">
        <f>IF($E114="","",INDEX(I_PFC!$A:$N,DD114,AB$107))</f>
        <v/>
      </c>
      <c r="AC114" s="700" t="str">
        <f>IF($E114="","",INDEX(I_PFC!$A:$N,DE114,AC$107))</f>
        <v/>
      </c>
      <c r="AD114" s="700" t="str">
        <f>IF($E114="","",INDEX(I_PFC!$A:$N,DF114,AD$107))</f>
        <v/>
      </c>
      <c r="AE114" s="700" t="str">
        <f>IF($E114="","",INDEX(I_PFC!$A:$N,DG114,AE$107))</f>
        <v/>
      </c>
      <c r="AF114" s="700" t="str">
        <f>IF($E114="","",INDEX(I_PFC!$A:$N,DH114,AF$107))</f>
        <v/>
      </c>
      <c r="AG114" s="700" t="str">
        <f>IF($E114="","",INDEX(I_PFC!$A:$N,DI114,AG$107))</f>
        <v/>
      </c>
      <c r="AH114" s="700" t="str">
        <f>IF($E114="","",INDEX(I_PFC!$A:$N,DJ114,AH$107))</f>
        <v/>
      </c>
      <c r="AI114" s="700" t="str">
        <f>IF($E114="","",INDEX(I_PFC!$A:$N,DK114,AI$107))</f>
        <v/>
      </c>
      <c r="AJ114" s="700" t="str">
        <f>IF($E114="","",INDEX(I_PFC!$A:$N,DL114,AJ$107))</f>
        <v/>
      </c>
      <c r="AK114" s="700" t="str">
        <f>IF($E114="","",INDEX(I_PFC!$A:$N,DM114,AK$107))</f>
        <v/>
      </c>
      <c r="AL114" s="700" t="str">
        <f>IF($E114="","",INDEX(I_PFC!$A:$N,DN114,AL$107))</f>
        <v/>
      </c>
      <c r="AM114" s="700" t="str">
        <f>IF($E114="","",INDEX(I_PFC!$A:$N,DO114,AM$107))</f>
        <v/>
      </c>
      <c r="AN114" s="700" t="str">
        <f>IF($E114="","",INDEX(I_PFC!$A:$N,DP114,AN$107))</f>
        <v/>
      </c>
      <c r="AO114" s="700" t="str">
        <f>IF($E114="","",INDEX(I_PFC!$A:$N,DQ114,AO$107))</f>
        <v/>
      </c>
      <c r="AP114" s="700" t="str">
        <f>IF($E114="","",INDEX(I_PFC!$A:$N,DR114,AP$107))</f>
        <v/>
      </c>
      <c r="AQ114" s="700" t="str">
        <f>IF($E114="","",INDEX(I_PFC!$A:$N,DS114,AQ$107))</f>
        <v/>
      </c>
      <c r="AR114" s="700" t="str">
        <f>IF($E114="","",INDEX(I_PFC!$A:$N,DT114,AR$107))</f>
        <v/>
      </c>
      <c r="AS114" s="700" t="str">
        <f>IF($E114="","",INDEX(I_PFC!$A:$N,DU114,AS$107))</f>
        <v/>
      </c>
      <c r="AT114" s="700" t="str">
        <f>IF($E114="","",INDEX(I_PFC!$A:$N,DV114,AT$107))</f>
        <v/>
      </c>
      <c r="AU114" s="700" t="str">
        <f>IF($E114="","",INDEX(I_PFC!$A:$N,DW114,AU$107))</f>
        <v/>
      </c>
      <c r="AV114" s="700" t="str">
        <f>IF($E114="","",INDEX(I_PFC!$A:$N,DX114,AV$107))</f>
        <v/>
      </c>
      <c r="AW114" s="700" t="str">
        <f>IF($E114="","",INDEX(I_PFC!$A:$N,DY114,AW$107))</f>
        <v/>
      </c>
      <c r="AX114" s="700" t="str">
        <f>IF($E114="","",INDEX(I_PFC!$A:$N,DZ114,AX$107))</f>
        <v/>
      </c>
      <c r="AY114" s="700" t="str">
        <f>IF($E114="","",INDEX(I_PFC!$A:$N,EA114,AY$107))</f>
        <v/>
      </c>
      <c r="AZ114" s="700" t="str">
        <f>IF($E114="","",INDEX(I_PFC!$A:$N,EB114,AZ$107))</f>
        <v/>
      </c>
      <c r="BA114" s="700" t="str">
        <f>IF($E114="","",INDEX(I_PFC!$A:$N,EC114,BA$107))</f>
        <v/>
      </c>
      <c r="BB114" s="700" t="str">
        <f>IF($E114="","",INDEX(I_PFC!$A:$N,ED114,BB$107))</f>
        <v/>
      </c>
      <c r="BC114" s="700" t="str">
        <f>IF($E114="","",INDEX(I_PFC!$A:$N,EE114,BC$107))</f>
        <v/>
      </c>
      <c r="BD114" s="700" t="str">
        <f>IF($E114="","",INDEX(I_PFC!$A:$N,EF114,BD$107))</f>
        <v/>
      </c>
      <c r="CJ114" s="679" t="str">
        <f t="shared" si="152"/>
        <v>SourceCategory_</v>
      </c>
      <c r="CK114" s="679" t="b">
        <f>INDEX(I_PFC!$A$50:$A$60,ROWS($CI$111:CI114))="ausblenden"</f>
        <v>0</v>
      </c>
      <c r="CL114" s="679">
        <f t="shared" si="155"/>
        <v>309</v>
      </c>
      <c r="CM114" s="679">
        <f t="shared" si="156"/>
        <v>310</v>
      </c>
      <c r="CN114" s="679">
        <f t="shared" si="156"/>
        <v>311</v>
      </c>
      <c r="CO114" s="679">
        <f t="shared" si="156"/>
        <v>314</v>
      </c>
      <c r="CP114" s="679">
        <f t="shared" si="156"/>
        <v>315</v>
      </c>
      <c r="CQ114" s="679">
        <f t="shared" si="156"/>
        <v>316</v>
      </c>
      <c r="CR114" s="679">
        <f t="shared" si="156"/>
        <v>319</v>
      </c>
      <c r="CS114" s="679">
        <f t="shared" si="156"/>
        <v>320</v>
      </c>
      <c r="CT114" s="679">
        <f t="shared" si="156"/>
        <v>321</v>
      </c>
      <c r="CU114" s="679">
        <f t="shared" si="156"/>
        <v>324</v>
      </c>
      <c r="CV114" s="679">
        <f t="shared" si="156"/>
        <v>325</v>
      </c>
      <c r="CW114" s="679">
        <f t="shared" si="156"/>
        <v>326</v>
      </c>
      <c r="CX114" s="679">
        <f t="shared" si="156"/>
        <v>329</v>
      </c>
      <c r="CY114" s="679">
        <f t="shared" si="156"/>
        <v>330</v>
      </c>
      <c r="CZ114" s="679">
        <f t="shared" si="156"/>
        <v>331</v>
      </c>
      <c r="DA114" s="679">
        <f t="shared" si="156"/>
        <v>337</v>
      </c>
      <c r="DB114" s="679">
        <f t="shared" si="156"/>
        <v>344</v>
      </c>
      <c r="DC114" s="679">
        <f t="shared" si="156"/>
        <v>344</v>
      </c>
      <c r="DD114" s="679">
        <f t="shared" si="156"/>
        <v>344</v>
      </c>
      <c r="DE114" s="679">
        <f t="shared" si="156"/>
        <v>344</v>
      </c>
      <c r="DF114" s="679">
        <f t="shared" si="156"/>
        <v>344</v>
      </c>
      <c r="DG114" s="679">
        <f t="shared" si="156"/>
        <v>344</v>
      </c>
      <c r="DH114" s="679">
        <f t="shared" si="156"/>
        <v>344</v>
      </c>
      <c r="DI114" s="679">
        <f t="shared" si="156"/>
        <v>338</v>
      </c>
      <c r="DJ114" s="679">
        <f t="shared" si="156"/>
        <v>345</v>
      </c>
      <c r="DK114" s="679">
        <f t="shared" si="156"/>
        <v>345</v>
      </c>
      <c r="DL114" s="679">
        <f t="shared" si="156"/>
        <v>345</v>
      </c>
      <c r="DM114" s="679">
        <f t="shared" si="156"/>
        <v>345</v>
      </c>
      <c r="DN114" s="679">
        <f t="shared" si="156"/>
        <v>345</v>
      </c>
      <c r="DO114" s="679">
        <f t="shared" si="156"/>
        <v>345</v>
      </c>
      <c r="DP114" s="679">
        <f t="shared" si="156"/>
        <v>345</v>
      </c>
      <c r="DQ114" s="679">
        <f t="shared" si="156"/>
        <v>339</v>
      </c>
      <c r="DR114" s="679">
        <f t="shared" si="156"/>
        <v>346</v>
      </c>
      <c r="DS114" s="679">
        <f t="shared" si="156"/>
        <v>346</v>
      </c>
      <c r="DT114" s="679">
        <f t="shared" si="156"/>
        <v>346</v>
      </c>
      <c r="DU114" s="679">
        <f t="shared" si="156"/>
        <v>346</v>
      </c>
      <c r="DV114" s="679">
        <f t="shared" si="156"/>
        <v>346</v>
      </c>
      <c r="DW114" s="679">
        <f t="shared" si="156"/>
        <v>346</v>
      </c>
      <c r="DX114" s="679">
        <f t="shared" si="156"/>
        <v>346</v>
      </c>
      <c r="DY114" s="679">
        <f t="shared" si="156"/>
        <v>352</v>
      </c>
      <c r="DZ114" s="679">
        <f t="shared" si="156"/>
        <v>352</v>
      </c>
      <c r="EA114" s="679">
        <f t="shared" si="156"/>
        <v>352</v>
      </c>
      <c r="EB114" s="679">
        <f t="shared" si="156"/>
        <v>352</v>
      </c>
      <c r="EC114" s="679">
        <f t="shared" si="156"/>
        <v>352</v>
      </c>
      <c r="ED114" s="679">
        <f t="shared" si="156"/>
        <v>352</v>
      </c>
      <c r="EE114" s="679">
        <f t="shared" si="156"/>
        <v>357</v>
      </c>
      <c r="EF114" s="679">
        <f t="shared" si="156"/>
        <v>363</v>
      </c>
    </row>
    <row r="115" spans="1:204" x14ac:dyDescent="0.2">
      <c r="B115" s="700" t="str">
        <f>IF(OR(B114="",CK115),"",I_PFC!D54)</f>
        <v/>
      </c>
      <c r="C115" s="701" t="str">
        <f>IF(B115="","",I_PFC!E54)</f>
        <v/>
      </c>
      <c r="D115" s="701" t="str">
        <f>IF(B115="","",I_PFC!H54)</f>
        <v/>
      </c>
      <c r="E115" s="701" t="str">
        <f>IF($B115="","",INDEX(C_InstallationDescription!F:F,MATCH($CJ115,C_InstallationDescription!$Q:$Q,0)))</f>
        <v/>
      </c>
      <c r="F115" s="702" t="str">
        <f>IF($E115="","",INDEX(C_InstallationDescription!L:L,MATCH($CJ115,C_InstallationDescription!$Q:$Q,0)))</f>
        <v/>
      </c>
      <c r="G115" s="701" t="str">
        <f>IF($E115="","",INDEX(C_InstallationDescription!M:M,MATCH($CJ115,C_InstallationDescription!$Q:$Q,0)))</f>
        <v/>
      </c>
      <c r="H115" s="701" t="str">
        <f>IF($E115="","",INDEX(C_InstallationDescription!N:N,MATCH($CJ115,C_InstallationDescription!$Q:$Q,0)))</f>
        <v/>
      </c>
      <c r="I115" s="700" t="str">
        <f>IF(INDEX(I_PFC!$L$50:$L$56,MATCH(B115,I_PFC!$D$50:$D$56,0))="","",INDEX(I_PFC!$L$50:$L$56,MATCH(B115,I_PFC!$D$50:$D$56,0)))</f>
        <v/>
      </c>
      <c r="J115" s="700" t="str">
        <f>IF($E115="","",INDEX(I_PFC!$A:$N,CL115,J$107))</f>
        <v/>
      </c>
      <c r="K115" s="700" t="str">
        <f>IF($E115="","",INDEX(I_PFC!$A:$N,CM115,K$107))</f>
        <v/>
      </c>
      <c r="L115" s="700" t="str">
        <f>IF($E115="","",INDEX(I_PFC!$A:$N,CN115,L$107))</f>
        <v/>
      </c>
      <c r="M115" s="700" t="str">
        <f>IF($E115="","",INDEX(I_PFC!$A:$N,CO115,M$107))</f>
        <v/>
      </c>
      <c r="N115" s="700" t="str">
        <f>IF($E115="","",INDEX(I_PFC!$A:$N,CP115,N$107))</f>
        <v/>
      </c>
      <c r="O115" s="700" t="str">
        <f>IF($E115="","",INDEX(I_PFC!$A:$N,CQ115,O$107))</f>
        <v/>
      </c>
      <c r="P115" s="700" t="str">
        <f>IF($E115="","",INDEX(I_PFC!$A:$N,CR115,P$107))</f>
        <v/>
      </c>
      <c r="Q115" s="700" t="str">
        <f>IF($E115="","",INDEX(I_PFC!$A:$N,CS115,Q$107))</f>
        <v/>
      </c>
      <c r="R115" s="700" t="str">
        <f>IF($E115="","",INDEX(I_PFC!$A:$N,CT115,R$107))</f>
        <v/>
      </c>
      <c r="S115" s="700" t="str">
        <f>IF($E115="","",INDEX(I_PFC!$A:$N,CU115,S$107))</f>
        <v/>
      </c>
      <c r="T115" s="700" t="str">
        <f>IF($E115="","",INDEX(I_PFC!$A:$N,CV115,T$107))</f>
        <v/>
      </c>
      <c r="U115" s="700" t="str">
        <f>IF($E115="","",INDEX(I_PFC!$A:$N,CW115,U$107))</f>
        <v/>
      </c>
      <c r="V115" s="700" t="str">
        <f>IF($E115="","",INDEX(I_PFC!$A:$N,CX115,V$107))</f>
        <v/>
      </c>
      <c r="W115" s="700" t="str">
        <f>IF($E115="","",INDEX(I_PFC!$A:$N,CY115,W$107))</f>
        <v/>
      </c>
      <c r="X115" s="700" t="str">
        <f>IF($E115="","",INDEX(I_PFC!$A:$N,CZ115,X$107))</f>
        <v/>
      </c>
      <c r="Y115" s="700" t="str">
        <f>IF($E115="","",INDEX(I_PFC!$A:$N,DA115,Y$107))</f>
        <v/>
      </c>
      <c r="Z115" s="700" t="str">
        <f>IF($E115="","",INDEX(I_PFC!$A:$N,DB115,Z$107))</f>
        <v/>
      </c>
      <c r="AA115" s="700" t="str">
        <f>IF($E115="","",INDEX(I_PFC!$A:$N,DC115,AA$107))</f>
        <v/>
      </c>
      <c r="AB115" s="700" t="str">
        <f>IF($E115="","",INDEX(I_PFC!$A:$N,DD115,AB$107))</f>
        <v/>
      </c>
      <c r="AC115" s="700" t="str">
        <f>IF($E115="","",INDEX(I_PFC!$A:$N,DE115,AC$107))</f>
        <v/>
      </c>
      <c r="AD115" s="700" t="str">
        <f>IF($E115="","",INDEX(I_PFC!$A:$N,DF115,AD$107))</f>
        <v/>
      </c>
      <c r="AE115" s="700" t="str">
        <f>IF($E115="","",INDEX(I_PFC!$A:$N,DG115,AE$107))</f>
        <v/>
      </c>
      <c r="AF115" s="700" t="str">
        <f>IF($E115="","",INDEX(I_PFC!$A:$N,DH115,AF$107))</f>
        <v/>
      </c>
      <c r="AG115" s="700" t="str">
        <f>IF($E115="","",INDEX(I_PFC!$A:$N,DI115,AG$107))</f>
        <v/>
      </c>
      <c r="AH115" s="700" t="str">
        <f>IF($E115="","",INDEX(I_PFC!$A:$N,DJ115,AH$107))</f>
        <v/>
      </c>
      <c r="AI115" s="700" t="str">
        <f>IF($E115="","",INDEX(I_PFC!$A:$N,DK115,AI$107))</f>
        <v/>
      </c>
      <c r="AJ115" s="700" t="str">
        <f>IF($E115="","",INDEX(I_PFC!$A:$N,DL115,AJ$107))</f>
        <v/>
      </c>
      <c r="AK115" s="700" t="str">
        <f>IF($E115="","",INDEX(I_PFC!$A:$N,DM115,AK$107))</f>
        <v/>
      </c>
      <c r="AL115" s="700" t="str">
        <f>IF($E115="","",INDEX(I_PFC!$A:$N,DN115,AL$107))</f>
        <v/>
      </c>
      <c r="AM115" s="700" t="str">
        <f>IF($E115="","",INDEX(I_PFC!$A:$N,DO115,AM$107))</f>
        <v/>
      </c>
      <c r="AN115" s="700" t="str">
        <f>IF($E115="","",INDEX(I_PFC!$A:$N,DP115,AN$107))</f>
        <v/>
      </c>
      <c r="AO115" s="700" t="str">
        <f>IF($E115="","",INDEX(I_PFC!$A:$N,DQ115,AO$107))</f>
        <v/>
      </c>
      <c r="AP115" s="700" t="str">
        <f>IF($E115="","",INDEX(I_PFC!$A:$N,DR115,AP$107))</f>
        <v/>
      </c>
      <c r="AQ115" s="700" t="str">
        <f>IF($E115="","",INDEX(I_PFC!$A:$N,DS115,AQ$107))</f>
        <v/>
      </c>
      <c r="AR115" s="700" t="str">
        <f>IF($E115="","",INDEX(I_PFC!$A:$N,DT115,AR$107))</f>
        <v/>
      </c>
      <c r="AS115" s="700" t="str">
        <f>IF($E115="","",INDEX(I_PFC!$A:$N,DU115,AS$107))</f>
        <v/>
      </c>
      <c r="AT115" s="700" t="str">
        <f>IF($E115="","",INDEX(I_PFC!$A:$N,DV115,AT$107))</f>
        <v/>
      </c>
      <c r="AU115" s="700" t="str">
        <f>IF($E115="","",INDEX(I_PFC!$A:$N,DW115,AU$107))</f>
        <v/>
      </c>
      <c r="AV115" s="700" t="str">
        <f>IF($E115="","",INDEX(I_PFC!$A:$N,DX115,AV$107))</f>
        <v/>
      </c>
      <c r="AW115" s="700" t="str">
        <f>IF($E115="","",INDEX(I_PFC!$A:$N,DY115,AW$107))</f>
        <v/>
      </c>
      <c r="AX115" s="700" t="str">
        <f>IF($E115="","",INDEX(I_PFC!$A:$N,DZ115,AX$107))</f>
        <v/>
      </c>
      <c r="AY115" s="700" t="str">
        <f>IF($E115="","",INDEX(I_PFC!$A:$N,EA115,AY$107))</f>
        <v/>
      </c>
      <c r="AZ115" s="700" t="str">
        <f>IF($E115="","",INDEX(I_PFC!$A:$N,EB115,AZ$107))</f>
        <v/>
      </c>
      <c r="BA115" s="700" t="str">
        <f>IF($E115="","",INDEX(I_PFC!$A:$N,EC115,BA$107))</f>
        <v/>
      </c>
      <c r="BB115" s="700" t="str">
        <f>IF($E115="","",INDEX(I_PFC!$A:$N,ED115,BB$107))</f>
        <v/>
      </c>
      <c r="BC115" s="700" t="str">
        <f>IF($E115="","",INDEX(I_PFC!$A:$N,EE115,BC$107))</f>
        <v/>
      </c>
      <c r="BD115" s="700" t="str">
        <f>IF($E115="","",INDEX(I_PFC!$A:$N,EF115,BD$107))</f>
        <v/>
      </c>
      <c r="CJ115" s="679" t="str">
        <f t="shared" si="152"/>
        <v>SourceCategory_</v>
      </c>
      <c r="CK115" s="679" t="b">
        <f>INDEX(I_PFC!$A$50:$A$60,ROWS($CI$111:CI115))="ausblenden"</f>
        <v>0</v>
      </c>
      <c r="CL115" s="679">
        <f t="shared" si="155"/>
        <v>381</v>
      </c>
      <c r="CM115" s="679">
        <f t="shared" si="156"/>
        <v>382</v>
      </c>
      <c r="CN115" s="679">
        <f t="shared" si="156"/>
        <v>383</v>
      </c>
      <c r="CO115" s="679">
        <f t="shared" si="156"/>
        <v>386</v>
      </c>
      <c r="CP115" s="679">
        <f t="shared" si="156"/>
        <v>387</v>
      </c>
      <c r="CQ115" s="679">
        <f t="shared" si="156"/>
        <v>388</v>
      </c>
      <c r="CR115" s="679">
        <f t="shared" si="156"/>
        <v>391</v>
      </c>
      <c r="CS115" s="679">
        <f t="shared" si="156"/>
        <v>392</v>
      </c>
      <c r="CT115" s="679">
        <f t="shared" si="156"/>
        <v>393</v>
      </c>
      <c r="CU115" s="679">
        <f t="shared" si="156"/>
        <v>396</v>
      </c>
      <c r="CV115" s="679">
        <f t="shared" si="156"/>
        <v>397</v>
      </c>
      <c r="CW115" s="679">
        <f t="shared" si="156"/>
        <v>398</v>
      </c>
      <c r="CX115" s="679">
        <f t="shared" si="156"/>
        <v>401</v>
      </c>
      <c r="CY115" s="679">
        <f t="shared" si="156"/>
        <v>402</v>
      </c>
      <c r="CZ115" s="679">
        <f t="shared" si="156"/>
        <v>403</v>
      </c>
      <c r="DA115" s="679">
        <f t="shared" si="156"/>
        <v>409</v>
      </c>
      <c r="DB115" s="679">
        <f t="shared" si="156"/>
        <v>416</v>
      </c>
      <c r="DC115" s="679">
        <f t="shared" si="156"/>
        <v>416</v>
      </c>
      <c r="DD115" s="679">
        <f t="shared" si="156"/>
        <v>416</v>
      </c>
      <c r="DE115" s="679">
        <f t="shared" si="156"/>
        <v>416</v>
      </c>
      <c r="DF115" s="679">
        <f t="shared" si="156"/>
        <v>416</v>
      </c>
      <c r="DG115" s="679">
        <f t="shared" si="156"/>
        <v>416</v>
      </c>
      <c r="DH115" s="679">
        <f t="shared" si="156"/>
        <v>416</v>
      </c>
      <c r="DI115" s="679">
        <f t="shared" si="156"/>
        <v>410</v>
      </c>
      <c r="DJ115" s="679">
        <f t="shared" si="156"/>
        <v>417</v>
      </c>
      <c r="DK115" s="679">
        <f t="shared" si="156"/>
        <v>417</v>
      </c>
      <c r="DL115" s="679">
        <f t="shared" si="156"/>
        <v>417</v>
      </c>
      <c r="DM115" s="679">
        <f t="shared" si="156"/>
        <v>417</v>
      </c>
      <c r="DN115" s="679">
        <f t="shared" si="156"/>
        <v>417</v>
      </c>
      <c r="DO115" s="679">
        <f t="shared" si="156"/>
        <v>417</v>
      </c>
      <c r="DP115" s="679">
        <f t="shared" si="156"/>
        <v>417</v>
      </c>
      <c r="DQ115" s="679">
        <f t="shared" si="156"/>
        <v>411</v>
      </c>
      <c r="DR115" s="679">
        <f t="shared" si="156"/>
        <v>418</v>
      </c>
      <c r="DS115" s="679">
        <f t="shared" si="156"/>
        <v>418</v>
      </c>
      <c r="DT115" s="679">
        <f t="shared" si="156"/>
        <v>418</v>
      </c>
      <c r="DU115" s="679">
        <f t="shared" si="156"/>
        <v>418</v>
      </c>
      <c r="DV115" s="679">
        <f t="shared" si="156"/>
        <v>418</v>
      </c>
      <c r="DW115" s="679">
        <f t="shared" si="156"/>
        <v>418</v>
      </c>
      <c r="DX115" s="679">
        <f t="shared" si="156"/>
        <v>418</v>
      </c>
      <c r="DY115" s="679">
        <f t="shared" si="156"/>
        <v>424</v>
      </c>
      <c r="DZ115" s="679">
        <f t="shared" si="156"/>
        <v>424</v>
      </c>
      <c r="EA115" s="679">
        <f t="shared" si="156"/>
        <v>424</v>
      </c>
      <c r="EB115" s="679">
        <f t="shared" si="156"/>
        <v>424</v>
      </c>
      <c r="EC115" s="679">
        <f t="shared" si="156"/>
        <v>424</v>
      </c>
      <c r="ED115" s="679">
        <f t="shared" si="156"/>
        <v>424</v>
      </c>
      <c r="EE115" s="679">
        <f t="shared" si="156"/>
        <v>429</v>
      </c>
      <c r="EF115" s="679">
        <f t="shared" si="156"/>
        <v>435</v>
      </c>
    </row>
    <row r="116" spans="1:204" x14ac:dyDescent="0.2">
      <c r="B116" s="700" t="str">
        <f>IF(OR(B115="",CK116),"",I_PFC!D55)</f>
        <v/>
      </c>
      <c r="C116" s="701" t="str">
        <f>IF(B116="","",I_PFC!E55)</f>
        <v/>
      </c>
      <c r="D116" s="701" t="str">
        <f>IF(B116="","",I_PFC!H55)</f>
        <v/>
      </c>
      <c r="E116" s="701" t="str">
        <f>IF($B116="","",INDEX(C_InstallationDescription!F:F,MATCH($CJ116,C_InstallationDescription!$Q:$Q,0)))</f>
        <v/>
      </c>
      <c r="F116" s="702" t="str">
        <f>IF($E116="","",INDEX(C_InstallationDescription!L:L,MATCH($CJ116,C_InstallationDescription!$Q:$Q,0)))</f>
        <v/>
      </c>
      <c r="G116" s="701" t="str">
        <f>IF($E116="","",INDEX(C_InstallationDescription!M:M,MATCH($CJ116,C_InstallationDescription!$Q:$Q,0)))</f>
        <v/>
      </c>
      <c r="H116" s="701" t="str">
        <f>IF($E116="","",INDEX(C_InstallationDescription!N:N,MATCH($CJ116,C_InstallationDescription!$Q:$Q,0)))</f>
        <v/>
      </c>
      <c r="I116" s="700" t="str">
        <f>IF(INDEX(I_PFC!$L$50:$L$56,MATCH(B116,I_PFC!$D$50:$D$56,0))="","",INDEX(I_PFC!$L$50:$L$56,MATCH(B116,I_PFC!$D$50:$D$56,0)))</f>
        <v/>
      </c>
      <c r="J116" s="700" t="str">
        <f>IF($E116="","",INDEX(I_PFC!$A:$N,CL116,J$107))</f>
        <v/>
      </c>
      <c r="K116" s="700" t="str">
        <f>IF($E116="","",INDEX(I_PFC!$A:$N,CM116,K$107))</f>
        <v/>
      </c>
      <c r="L116" s="700" t="str">
        <f>IF($E116="","",INDEX(I_PFC!$A:$N,CN116,L$107))</f>
        <v/>
      </c>
      <c r="M116" s="700" t="str">
        <f>IF($E116="","",INDEX(I_PFC!$A:$N,CO116,M$107))</f>
        <v/>
      </c>
      <c r="N116" s="700" t="str">
        <f>IF($E116="","",INDEX(I_PFC!$A:$N,CP116,N$107))</f>
        <v/>
      </c>
      <c r="O116" s="700" t="str">
        <f>IF($E116="","",INDEX(I_PFC!$A:$N,CQ116,O$107))</f>
        <v/>
      </c>
      <c r="P116" s="700" t="str">
        <f>IF($E116="","",INDEX(I_PFC!$A:$N,CR116,P$107))</f>
        <v/>
      </c>
      <c r="Q116" s="700" t="str">
        <f>IF($E116="","",INDEX(I_PFC!$A:$N,CS116,Q$107))</f>
        <v/>
      </c>
      <c r="R116" s="700" t="str">
        <f>IF($E116="","",INDEX(I_PFC!$A:$N,CT116,R$107))</f>
        <v/>
      </c>
      <c r="S116" s="700" t="str">
        <f>IF($E116="","",INDEX(I_PFC!$A:$N,CU116,S$107))</f>
        <v/>
      </c>
      <c r="T116" s="700" t="str">
        <f>IF($E116="","",INDEX(I_PFC!$A:$N,CV116,T$107))</f>
        <v/>
      </c>
      <c r="U116" s="700" t="str">
        <f>IF($E116="","",INDEX(I_PFC!$A:$N,CW116,U$107))</f>
        <v/>
      </c>
      <c r="V116" s="700" t="str">
        <f>IF($E116="","",INDEX(I_PFC!$A:$N,CX116,V$107))</f>
        <v/>
      </c>
      <c r="W116" s="700" t="str">
        <f>IF($E116="","",INDEX(I_PFC!$A:$N,CY116,W$107))</f>
        <v/>
      </c>
      <c r="X116" s="700" t="str">
        <f>IF($E116="","",INDEX(I_PFC!$A:$N,CZ116,X$107))</f>
        <v/>
      </c>
      <c r="Y116" s="700" t="str">
        <f>IF($E116="","",INDEX(I_PFC!$A:$N,DA116,Y$107))</f>
        <v/>
      </c>
      <c r="Z116" s="700" t="str">
        <f>IF($E116="","",INDEX(I_PFC!$A:$N,DB116,Z$107))</f>
        <v/>
      </c>
      <c r="AA116" s="700" t="str">
        <f>IF($E116="","",INDEX(I_PFC!$A:$N,DC116,AA$107))</f>
        <v/>
      </c>
      <c r="AB116" s="700" t="str">
        <f>IF($E116="","",INDEX(I_PFC!$A:$N,DD116,AB$107))</f>
        <v/>
      </c>
      <c r="AC116" s="700" t="str">
        <f>IF($E116="","",INDEX(I_PFC!$A:$N,DE116,AC$107))</f>
        <v/>
      </c>
      <c r="AD116" s="700" t="str">
        <f>IF($E116="","",INDEX(I_PFC!$A:$N,DF116,AD$107))</f>
        <v/>
      </c>
      <c r="AE116" s="700" t="str">
        <f>IF($E116="","",INDEX(I_PFC!$A:$N,DG116,AE$107))</f>
        <v/>
      </c>
      <c r="AF116" s="700" t="str">
        <f>IF($E116="","",INDEX(I_PFC!$A:$N,DH116,AF$107))</f>
        <v/>
      </c>
      <c r="AG116" s="700" t="str">
        <f>IF($E116="","",INDEX(I_PFC!$A:$N,DI116,AG$107))</f>
        <v/>
      </c>
      <c r="AH116" s="700" t="str">
        <f>IF($E116="","",INDEX(I_PFC!$A:$N,DJ116,AH$107))</f>
        <v/>
      </c>
      <c r="AI116" s="700" t="str">
        <f>IF($E116="","",INDEX(I_PFC!$A:$N,DK116,AI$107))</f>
        <v/>
      </c>
      <c r="AJ116" s="700" t="str">
        <f>IF($E116="","",INDEX(I_PFC!$A:$N,DL116,AJ$107))</f>
        <v/>
      </c>
      <c r="AK116" s="700" t="str">
        <f>IF($E116="","",INDEX(I_PFC!$A:$N,DM116,AK$107))</f>
        <v/>
      </c>
      <c r="AL116" s="700" t="str">
        <f>IF($E116="","",INDEX(I_PFC!$A:$N,DN116,AL$107))</f>
        <v/>
      </c>
      <c r="AM116" s="700" t="str">
        <f>IF($E116="","",INDEX(I_PFC!$A:$N,DO116,AM$107))</f>
        <v/>
      </c>
      <c r="AN116" s="700" t="str">
        <f>IF($E116="","",INDEX(I_PFC!$A:$N,DP116,AN$107))</f>
        <v/>
      </c>
      <c r="AO116" s="700" t="str">
        <f>IF($E116="","",INDEX(I_PFC!$A:$N,DQ116,AO$107))</f>
        <v/>
      </c>
      <c r="AP116" s="700" t="str">
        <f>IF($E116="","",INDEX(I_PFC!$A:$N,DR116,AP$107))</f>
        <v/>
      </c>
      <c r="AQ116" s="700" t="str">
        <f>IF($E116="","",INDEX(I_PFC!$A:$N,DS116,AQ$107))</f>
        <v/>
      </c>
      <c r="AR116" s="700" t="str">
        <f>IF($E116="","",INDEX(I_PFC!$A:$N,DT116,AR$107))</f>
        <v/>
      </c>
      <c r="AS116" s="700" t="str">
        <f>IF($E116="","",INDEX(I_PFC!$A:$N,DU116,AS$107))</f>
        <v/>
      </c>
      <c r="AT116" s="700" t="str">
        <f>IF($E116="","",INDEX(I_PFC!$A:$N,DV116,AT$107))</f>
        <v/>
      </c>
      <c r="AU116" s="700" t="str">
        <f>IF($E116="","",INDEX(I_PFC!$A:$N,DW116,AU$107))</f>
        <v/>
      </c>
      <c r="AV116" s="700" t="str">
        <f>IF($E116="","",INDEX(I_PFC!$A:$N,DX116,AV$107))</f>
        <v/>
      </c>
      <c r="AW116" s="700" t="str">
        <f>IF($E116="","",INDEX(I_PFC!$A:$N,DY116,AW$107))</f>
        <v/>
      </c>
      <c r="AX116" s="700" t="str">
        <f>IF($E116="","",INDEX(I_PFC!$A:$N,DZ116,AX$107))</f>
        <v/>
      </c>
      <c r="AY116" s="700" t="str">
        <f>IF($E116="","",INDEX(I_PFC!$A:$N,EA116,AY$107))</f>
        <v/>
      </c>
      <c r="AZ116" s="700" t="str">
        <f>IF($E116="","",INDEX(I_PFC!$A:$N,EB116,AZ$107))</f>
        <v/>
      </c>
      <c r="BA116" s="700" t="str">
        <f>IF($E116="","",INDEX(I_PFC!$A:$N,EC116,BA$107))</f>
        <v/>
      </c>
      <c r="BB116" s="700" t="str">
        <f>IF($E116="","",INDEX(I_PFC!$A:$N,ED116,BB$107))</f>
        <v/>
      </c>
      <c r="BC116" s="700" t="str">
        <f>IF($E116="","",INDEX(I_PFC!$A:$N,EE116,BC$107))</f>
        <v/>
      </c>
      <c r="BD116" s="700" t="str">
        <f>IF($E116="","",INDEX(I_PFC!$A:$N,EF116,BD$107))</f>
        <v/>
      </c>
      <c r="CJ116" s="679" t="str">
        <f t="shared" si="152"/>
        <v>SourceCategory_</v>
      </c>
      <c r="CK116" s="679" t="b">
        <f>INDEX(I_PFC!$A$50:$A$60,ROWS($CI$111:CI116))="ausblenden"</f>
        <v>1</v>
      </c>
      <c r="CL116" s="679">
        <f t="shared" si="155"/>
        <v>453</v>
      </c>
      <c r="CM116" s="679">
        <f t="shared" si="156"/>
        <v>454</v>
      </c>
      <c r="CN116" s="679">
        <f t="shared" si="156"/>
        <v>455</v>
      </c>
      <c r="CO116" s="679">
        <f t="shared" si="156"/>
        <v>458</v>
      </c>
      <c r="CP116" s="679">
        <f t="shared" si="156"/>
        <v>459</v>
      </c>
      <c r="CQ116" s="679">
        <f t="shared" si="156"/>
        <v>460</v>
      </c>
      <c r="CR116" s="679">
        <f t="shared" si="156"/>
        <v>463</v>
      </c>
      <c r="CS116" s="679">
        <f t="shared" si="156"/>
        <v>464</v>
      </c>
      <c r="CT116" s="679">
        <f t="shared" si="156"/>
        <v>465</v>
      </c>
      <c r="CU116" s="679">
        <f t="shared" si="156"/>
        <v>468</v>
      </c>
      <c r="CV116" s="679">
        <f t="shared" si="156"/>
        <v>469</v>
      </c>
      <c r="CW116" s="679">
        <f t="shared" si="156"/>
        <v>470</v>
      </c>
      <c r="CX116" s="679">
        <f t="shared" si="156"/>
        <v>473</v>
      </c>
      <c r="CY116" s="679">
        <f t="shared" si="156"/>
        <v>474</v>
      </c>
      <c r="CZ116" s="679">
        <f t="shared" si="156"/>
        <v>475</v>
      </c>
      <c r="DA116" s="679">
        <f t="shared" si="156"/>
        <v>481</v>
      </c>
      <c r="DB116" s="679">
        <f t="shared" si="156"/>
        <v>488</v>
      </c>
      <c r="DC116" s="679">
        <f t="shared" si="156"/>
        <v>488</v>
      </c>
      <c r="DD116" s="679">
        <f t="shared" si="156"/>
        <v>488</v>
      </c>
      <c r="DE116" s="679">
        <f t="shared" si="156"/>
        <v>488</v>
      </c>
      <c r="DF116" s="679">
        <f t="shared" si="156"/>
        <v>488</v>
      </c>
      <c r="DG116" s="679">
        <f t="shared" si="156"/>
        <v>488</v>
      </c>
      <c r="DH116" s="679">
        <f t="shared" si="156"/>
        <v>488</v>
      </c>
      <c r="DI116" s="679">
        <f t="shared" si="156"/>
        <v>482</v>
      </c>
      <c r="DJ116" s="679">
        <f t="shared" si="156"/>
        <v>489</v>
      </c>
      <c r="DK116" s="679">
        <f t="shared" si="156"/>
        <v>489</v>
      </c>
      <c r="DL116" s="679">
        <f t="shared" si="156"/>
        <v>489</v>
      </c>
      <c r="DM116" s="679">
        <f t="shared" si="156"/>
        <v>489</v>
      </c>
      <c r="DN116" s="679">
        <f t="shared" si="156"/>
        <v>489</v>
      </c>
      <c r="DO116" s="679">
        <f t="shared" si="156"/>
        <v>489</v>
      </c>
      <c r="DP116" s="679">
        <f t="shared" si="156"/>
        <v>489</v>
      </c>
      <c r="DQ116" s="679">
        <f t="shared" si="156"/>
        <v>483</v>
      </c>
      <c r="DR116" s="679">
        <f t="shared" si="156"/>
        <v>490</v>
      </c>
      <c r="DS116" s="679">
        <f t="shared" si="156"/>
        <v>490</v>
      </c>
      <c r="DT116" s="679">
        <f t="shared" si="156"/>
        <v>490</v>
      </c>
      <c r="DU116" s="679">
        <f t="shared" si="156"/>
        <v>490</v>
      </c>
      <c r="DV116" s="679">
        <f t="shared" si="156"/>
        <v>490</v>
      </c>
      <c r="DW116" s="679">
        <f t="shared" si="156"/>
        <v>490</v>
      </c>
      <c r="DX116" s="679">
        <f t="shared" si="156"/>
        <v>490</v>
      </c>
      <c r="DY116" s="679">
        <f t="shared" si="156"/>
        <v>496</v>
      </c>
      <c r="DZ116" s="679">
        <f t="shared" si="156"/>
        <v>496</v>
      </c>
      <c r="EA116" s="679">
        <f t="shared" si="156"/>
        <v>496</v>
      </c>
      <c r="EB116" s="679">
        <f t="shared" si="156"/>
        <v>496</v>
      </c>
      <c r="EC116" s="679">
        <f t="shared" si="156"/>
        <v>496</v>
      </c>
      <c r="ED116" s="679">
        <f t="shared" si="156"/>
        <v>496</v>
      </c>
      <c r="EE116" s="679">
        <f t="shared" si="156"/>
        <v>501</v>
      </c>
      <c r="EF116" s="679">
        <f t="shared" si="156"/>
        <v>507</v>
      </c>
    </row>
    <row r="117" spans="1:204" x14ac:dyDescent="0.2">
      <c r="B117" s="700" t="str">
        <f>IF(OR(B116="",CK117),"",I_PFC!D56)</f>
        <v/>
      </c>
      <c r="C117" s="701" t="str">
        <f>IF(B117="","",I_PFC!E56)</f>
        <v/>
      </c>
      <c r="D117" s="701" t="str">
        <f>IF(B117="","",I_PFC!H56)</f>
        <v/>
      </c>
      <c r="E117" s="701" t="str">
        <f>IF($B117="","",INDEX(C_InstallationDescription!F:F,MATCH($CJ117,C_InstallationDescription!$Q:$Q,0)))</f>
        <v/>
      </c>
      <c r="F117" s="702" t="str">
        <f>IF($E117="","",INDEX(C_InstallationDescription!L:L,MATCH($CJ117,C_InstallationDescription!$Q:$Q,0)))</f>
        <v/>
      </c>
      <c r="G117" s="701" t="str">
        <f>IF($E117="","",INDEX(C_InstallationDescription!M:M,MATCH($CJ117,C_InstallationDescription!$Q:$Q,0)))</f>
        <v/>
      </c>
      <c r="H117" s="701" t="str">
        <f>IF($E117="","",INDEX(C_InstallationDescription!N:N,MATCH($CJ117,C_InstallationDescription!$Q:$Q,0)))</f>
        <v/>
      </c>
      <c r="I117" s="700" t="str">
        <f>IF(INDEX(I_PFC!$L$50:$L$56,MATCH(B117,I_PFC!$D$50:$D$56,0))="","",INDEX(I_PFC!$L$50:$L$56,MATCH(B117,I_PFC!$D$50:$D$56,0)))</f>
        <v/>
      </c>
      <c r="J117" s="700" t="str">
        <f>IF($E117="","",INDEX(I_PFC!$A:$N,CL117,J$107))</f>
        <v/>
      </c>
      <c r="K117" s="700" t="str">
        <f>IF($E117="","",INDEX(I_PFC!$A:$N,CM117,K$107))</f>
        <v/>
      </c>
      <c r="L117" s="700" t="str">
        <f>IF($E117="","",INDEX(I_PFC!$A:$N,CN117,L$107))</f>
        <v/>
      </c>
      <c r="M117" s="700" t="str">
        <f>IF($E117="","",INDEX(I_PFC!$A:$N,CO117,M$107))</f>
        <v/>
      </c>
      <c r="N117" s="700" t="str">
        <f>IF($E117="","",INDEX(I_PFC!$A:$N,CP117,N$107))</f>
        <v/>
      </c>
      <c r="O117" s="700" t="str">
        <f>IF($E117="","",INDEX(I_PFC!$A:$N,CQ117,O$107))</f>
        <v/>
      </c>
      <c r="P117" s="700" t="str">
        <f>IF($E117="","",INDEX(I_PFC!$A:$N,CR117,P$107))</f>
        <v/>
      </c>
      <c r="Q117" s="700" t="str">
        <f>IF($E117="","",INDEX(I_PFC!$A:$N,CS117,Q$107))</f>
        <v/>
      </c>
      <c r="R117" s="700" t="str">
        <f>IF($E117="","",INDEX(I_PFC!$A:$N,CT117,R$107))</f>
        <v/>
      </c>
      <c r="S117" s="700" t="str">
        <f>IF($E117="","",INDEX(I_PFC!$A:$N,CU117,S$107))</f>
        <v/>
      </c>
      <c r="T117" s="700" t="str">
        <f>IF($E117="","",INDEX(I_PFC!$A:$N,CV117,T$107))</f>
        <v/>
      </c>
      <c r="U117" s="700" t="str">
        <f>IF($E117="","",INDEX(I_PFC!$A:$N,CW117,U$107))</f>
        <v/>
      </c>
      <c r="V117" s="700" t="str">
        <f>IF($E117="","",INDEX(I_PFC!$A:$N,CX117,V$107))</f>
        <v/>
      </c>
      <c r="W117" s="700" t="str">
        <f>IF($E117="","",INDEX(I_PFC!$A:$N,CY117,W$107))</f>
        <v/>
      </c>
      <c r="X117" s="700" t="str">
        <f>IF($E117="","",INDEX(I_PFC!$A:$N,CZ117,X$107))</f>
        <v/>
      </c>
      <c r="Y117" s="700" t="str">
        <f>IF($E117="","",INDEX(I_PFC!$A:$N,DA117,Y$107))</f>
        <v/>
      </c>
      <c r="Z117" s="700" t="str">
        <f>IF($E117="","",INDEX(I_PFC!$A:$N,DB117,Z$107))</f>
        <v/>
      </c>
      <c r="AA117" s="700" t="str">
        <f>IF($E117="","",INDEX(I_PFC!$A:$N,DC117,AA$107))</f>
        <v/>
      </c>
      <c r="AB117" s="700" t="str">
        <f>IF($E117="","",INDEX(I_PFC!$A:$N,DD117,AB$107))</f>
        <v/>
      </c>
      <c r="AC117" s="700" t="str">
        <f>IF($E117="","",INDEX(I_PFC!$A:$N,DE117,AC$107))</f>
        <v/>
      </c>
      <c r="AD117" s="700" t="str">
        <f>IF($E117="","",INDEX(I_PFC!$A:$N,DF117,AD$107))</f>
        <v/>
      </c>
      <c r="AE117" s="700" t="str">
        <f>IF($E117="","",INDEX(I_PFC!$A:$N,DG117,AE$107))</f>
        <v/>
      </c>
      <c r="AF117" s="700" t="str">
        <f>IF($E117="","",INDEX(I_PFC!$A:$N,DH117,AF$107))</f>
        <v/>
      </c>
      <c r="AG117" s="700" t="str">
        <f>IF($E117="","",INDEX(I_PFC!$A:$N,DI117,AG$107))</f>
        <v/>
      </c>
      <c r="AH117" s="700" t="str">
        <f>IF($E117="","",INDEX(I_PFC!$A:$N,DJ117,AH$107))</f>
        <v/>
      </c>
      <c r="AI117" s="700" t="str">
        <f>IF($E117="","",INDEX(I_PFC!$A:$N,DK117,AI$107))</f>
        <v/>
      </c>
      <c r="AJ117" s="700" t="str">
        <f>IF($E117="","",INDEX(I_PFC!$A:$N,DL117,AJ$107))</f>
        <v/>
      </c>
      <c r="AK117" s="700" t="str">
        <f>IF($E117="","",INDEX(I_PFC!$A:$N,DM117,AK$107))</f>
        <v/>
      </c>
      <c r="AL117" s="700" t="str">
        <f>IF($E117="","",INDEX(I_PFC!$A:$N,DN117,AL$107))</f>
        <v/>
      </c>
      <c r="AM117" s="700" t="str">
        <f>IF($E117="","",INDEX(I_PFC!$A:$N,DO117,AM$107))</f>
        <v/>
      </c>
      <c r="AN117" s="700" t="str">
        <f>IF($E117="","",INDEX(I_PFC!$A:$N,DP117,AN$107))</f>
        <v/>
      </c>
      <c r="AO117" s="700" t="str">
        <f>IF($E117="","",INDEX(I_PFC!$A:$N,DQ117,AO$107))</f>
        <v/>
      </c>
      <c r="AP117" s="700" t="str">
        <f>IF($E117="","",INDEX(I_PFC!$A:$N,DR117,AP$107))</f>
        <v/>
      </c>
      <c r="AQ117" s="700" t="str">
        <f>IF($E117="","",INDEX(I_PFC!$A:$N,DS117,AQ$107))</f>
        <v/>
      </c>
      <c r="AR117" s="700" t="str">
        <f>IF($E117="","",INDEX(I_PFC!$A:$N,DT117,AR$107))</f>
        <v/>
      </c>
      <c r="AS117" s="700" t="str">
        <f>IF($E117="","",INDEX(I_PFC!$A:$N,DU117,AS$107))</f>
        <v/>
      </c>
      <c r="AT117" s="700" t="str">
        <f>IF($E117="","",INDEX(I_PFC!$A:$N,DV117,AT$107))</f>
        <v/>
      </c>
      <c r="AU117" s="700" t="str">
        <f>IF($E117="","",INDEX(I_PFC!$A:$N,DW117,AU$107))</f>
        <v/>
      </c>
      <c r="AV117" s="700" t="str">
        <f>IF($E117="","",INDEX(I_PFC!$A:$N,DX117,AV$107))</f>
        <v/>
      </c>
      <c r="AW117" s="700" t="str">
        <f>IF($E117="","",INDEX(I_PFC!$A:$N,DY117,AW$107))</f>
        <v/>
      </c>
      <c r="AX117" s="700" t="str">
        <f>IF($E117="","",INDEX(I_PFC!$A:$N,DZ117,AX$107))</f>
        <v/>
      </c>
      <c r="AY117" s="700" t="str">
        <f>IF($E117="","",INDEX(I_PFC!$A:$N,EA117,AY$107))</f>
        <v/>
      </c>
      <c r="AZ117" s="700" t="str">
        <f>IF($E117="","",INDEX(I_PFC!$A:$N,EB117,AZ$107))</f>
        <v/>
      </c>
      <c r="BA117" s="700" t="str">
        <f>IF($E117="","",INDEX(I_PFC!$A:$N,EC117,BA$107))</f>
        <v/>
      </c>
      <c r="BB117" s="700" t="str">
        <f>IF($E117="","",INDEX(I_PFC!$A:$N,ED117,BB$107))</f>
        <v/>
      </c>
      <c r="BC117" s="700" t="str">
        <f>IF($E117="","",INDEX(I_PFC!$A:$N,EE117,BC$107))</f>
        <v/>
      </c>
      <c r="BD117" s="700" t="str">
        <f>IF($E117="","",INDEX(I_PFC!$A:$N,EF117,BD$107))</f>
        <v/>
      </c>
      <c r="CJ117" s="679" t="str">
        <f t="shared" si="152"/>
        <v>SourceCategory_</v>
      </c>
      <c r="CK117" s="679" t="b">
        <f>INDEX(I_PFC!$A$50:$A$60,ROWS($CI$111:CI117))="ausblenden"</f>
        <v>0</v>
      </c>
      <c r="CL117" s="679">
        <f t="shared" si="155"/>
        <v>525</v>
      </c>
      <c r="CM117" s="679">
        <f t="shared" si="156"/>
        <v>526</v>
      </c>
      <c r="CN117" s="679">
        <f t="shared" si="156"/>
        <v>527</v>
      </c>
      <c r="CO117" s="679">
        <f t="shared" si="156"/>
        <v>530</v>
      </c>
      <c r="CP117" s="679">
        <f t="shared" si="156"/>
        <v>531</v>
      </c>
      <c r="CQ117" s="679">
        <f t="shared" si="156"/>
        <v>532</v>
      </c>
      <c r="CR117" s="679">
        <f t="shared" si="156"/>
        <v>535</v>
      </c>
      <c r="CS117" s="679">
        <f t="shared" si="156"/>
        <v>536</v>
      </c>
      <c r="CT117" s="679">
        <f t="shared" si="156"/>
        <v>537</v>
      </c>
      <c r="CU117" s="679">
        <f t="shared" si="156"/>
        <v>540</v>
      </c>
      <c r="CV117" s="679">
        <f t="shared" si="156"/>
        <v>541</v>
      </c>
      <c r="CW117" s="679">
        <f t="shared" si="156"/>
        <v>542</v>
      </c>
      <c r="CX117" s="679">
        <f t="shared" si="156"/>
        <v>545</v>
      </c>
      <c r="CY117" s="679">
        <f t="shared" si="156"/>
        <v>546</v>
      </c>
      <c r="CZ117" s="679">
        <f t="shared" si="156"/>
        <v>547</v>
      </c>
      <c r="DA117" s="679">
        <f t="shared" si="156"/>
        <v>553</v>
      </c>
      <c r="DB117" s="679">
        <f t="shared" si="156"/>
        <v>560</v>
      </c>
      <c r="DC117" s="679">
        <f t="shared" si="156"/>
        <v>560</v>
      </c>
      <c r="DD117" s="679">
        <f t="shared" si="156"/>
        <v>560</v>
      </c>
      <c r="DE117" s="679">
        <f t="shared" si="156"/>
        <v>560</v>
      </c>
      <c r="DF117" s="679">
        <f t="shared" si="156"/>
        <v>560</v>
      </c>
      <c r="DG117" s="679">
        <f t="shared" si="156"/>
        <v>560</v>
      </c>
      <c r="DH117" s="679">
        <f t="shared" si="156"/>
        <v>560</v>
      </c>
      <c r="DI117" s="679">
        <f t="shared" si="156"/>
        <v>554</v>
      </c>
      <c r="DJ117" s="679">
        <f t="shared" si="156"/>
        <v>561</v>
      </c>
      <c r="DK117" s="679">
        <f t="shared" si="156"/>
        <v>561</v>
      </c>
      <c r="DL117" s="679">
        <f t="shared" si="156"/>
        <v>561</v>
      </c>
      <c r="DM117" s="679">
        <f t="shared" si="156"/>
        <v>561</v>
      </c>
      <c r="DN117" s="679">
        <f t="shared" si="156"/>
        <v>561</v>
      </c>
      <c r="DO117" s="679">
        <f t="shared" si="156"/>
        <v>561</v>
      </c>
      <c r="DP117" s="679">
        <f t="shared" si="156"/>
        <v>561</v>
      </c>
      <c r="DQ117" s="679">
        <f t="shared" si="156"/>
        <v>555</v>
      </c>
      <c r="DR117" s="679">
        <f t="shared" si="156"/>
        <v>562</v>
      </c>
      <c r="DS117" s="679">
        <f t="shared" si="156"/>
        <v>562</v>
      </c>
      <c r="DT117" s="679">
        <f t="shared" si="156"/>
        <v>562</v>
      </c>
      <c r="DU117" s="679">
        <f t="shared" si="156"/>
        <v>562</v>
      </c>
      <c r="DV117" s="679">
        <f t="shared" si="156"/>
        <v>562</v>
      </c>
      <c r="DW117" s="679">
        <f t="shared" si="156"/>
        <v>562</v>
      </c>
      <c r="DX117" s="679">
        <f t="shared" si="156"/>
        <v>562</v>
      </c>
      <c r="DY117" s="679">
        <f t="shared" si="156"/>
        <v>568</v>
      </c>
      <c r="DZ117" s="679">
        <f t="shared" si="156"/>
        <v>568</v>
      </c>
      <c r="EA117" s="679">
        <f t="shared" si="156"/>
        <v>568</v>
      </c>
      <c r="EB117" s="679">
        <f t="shared" si="156"/>
        <v>568</v>
      </c>
      <c r="EC117" s="679">
        <f t="shared" si="156"/>
        <v>568</v>
      </c>
      <c r="ED117" s="679">
        <f t="shared" si="156"/>
        <v>568</v>
      </c>
      <c r="EE117" s="679">
        <f t="shared" si="156"/>
        <v>573</v>
      </c>
      <c r="EF117" s="679">
        <f t="shared" si="156"/>
        <v>579</v>
      </c>
    </row>
    <row r="118" spans="1:204" x14ac:dyDescent="0.2">
      <c r="B118" s="700" t="str">
        <f>IF(OR(B117="",CK118),"",I_PFC!D57)</f>
        <v/>
      </c>
      <c r="C118" s="701" t="str">
        <f>IF(B118="","",I_PFC!E57)</f>
        <v/>
      </c>
      <c r="D118" s="701" t="str">
        <f>IF(B118="","",I_PFC!H57)</f>
        <v/>
      </c>
      <c r="E118" s="701" t="str">
        <f>IF($B118="","",INDEX(C_InstallationDescription!F:F,MATCH($CJ118,C_InstallationDescription!$Q:$Q,0)))</f>
        <v/>
      </c>
      <c r="F118" s="702" t="str">
        <f>IF($E118="","",INDEX(C_InstallationDescription!L:L,MATCH($CJ118,C_InstallationDescription!$Q:$Q,0)))</f>
        <v/>
      </c>
      <c r="G118" s="701" t="str">
        <f>IF($E118="","",INDEX(C_InstallationDescription!M:M,MATCH($CJ118,C_InstallationDescription!$Q:$Q,0)))</f>
        <v/>
      </c>
      <c r="H118" s="701" t="str">
        <f>IF($E118="","",INDEX(C_InstallationDescription!N:N,MATCH($CJ118,C_InstallationDescription!$Q:$Q,0)))</f>
        <v/>
      </c>
      <c r="I118" s="700" t="str">
        <f>IF(INDEX(I_PFC!$L$50:$L$56,MATCH(B118,I_PFC!$D$50:$D$56,0))="","",INDEX(I_PFC!$L$50:$L$56,MATCH(B118,I_PFC!$D$50:$D$56,0)))</f>
        <v/>
      </c>
      <c r="J118" s="700" t="str">
        <f>IF($E118="","",INDEX(I_PFC!$A:$N,CL118,J$107))</f>
        <v/>
      </c>
      <c r="K118" s="700" t="str">
        <f>IF($E118="","",INDEX(I_PFC!$A:$N,CM118,K$107))</f>
        <v/>
      </c>
      <c r="L118" s="700" t="str">
        <f>IF($E118="","",INDEX(I_PFC!$A:$N,CN118,L$107))</f>
        <v/>
      </c>
      <c r="M118" s="700" t="str">
        <f>IF($E118="","",INDEX(I_PFC!$A:$N,CO118,M$107))</f>
        <v/>
      </c>
      <c r="N118" s="700" t="str">
        <f>IF($E118="","",INDEX(I_PFC!$A:$N,CP118,N$107))</f>
        <v/>
      </c>
      <c r="O118" s="700" t="str">
        <f>IF($E118="","",INDEX(I_PFC!$A:$N,CQ118,O$107))</f>
        <v/>
      </c>
      <c r="P118" s="700" t="str">
        <f>IF($E118="","",INDEX(I_PFC!$A:$N,CR118,P$107))</f>
        <v/>
      </c>
      <c r="Q118" s="700" t="str">
        <f>IF($E118="","",INDEX(I_PFC!$A:$N,CS118,Q$107))</f>
        <v/>
      </c>
      <c r="R118" s="700" t="str">
        <f>IF($E118="","",INDEX(I_PFC!$A:$N,CT118,R$107))</f>
        <v/>
      </c>
      <c r="S118" s="700" t="str">
        <f>IF($E118="","",INDEX(I_PFC!$A:$N,CU118,S$107))</f>
        <v/>
      </c>
      <c r="T118" s="700" t="str">
        <f>IF($E118="","",INDEX(I_PFC!$A:$N,CV118,T$107))</f>
        <v/>
      </c>
      <c r="U118" s="700" t="str">
        <f>IF($E118="","",INDEX(I_PFC!$A:$N,CW118,U$107))</f>
        <v/>
      </c>
      <c r="V118" s="700" t="str">
        <f>IF($E118="","",INDEX(I_PFC!$A:$N,CX118,V$107))</f>
        <v/>
      </c>
      <c r="W118" s="700" t="str">
        <f>IF($E118="","",INDEX(I_PFC!$A:$N,CY118,W$107))</f>
        <v/>
      </c>
      <c r="X118" s="700" t="str">
        <f>IF($E118="","",INDEX(I_PFC!$A:$N,CZ118,X$107))</f>
        <v/>
      </c>
      <c r="Y118" s="700" t="str">
        <f>IF($E118="","",INDEX(I_PFC!$A:$N,DA118,Y$107))</f>
        <v/>
      </c>
      <c r="Z118" s="700" t="str">
        <f>IF($E118="","",INDEX(I_PFC!$A:$N,DB118,Z$107))</f>
        <v/>
      </c>
      <c r="AA118" s="700" t="str">
        <f>IF($E118="","",INDEX(I_PFC!$A:$N,DC118,AA$107))</f>
        <v/>
      </c>
      <c r="AB118" s="700" t="str">
        <f>IF($E118="","",INDEX(I_PFC!$A:$N,DD118,AB$107))</f>
        <v/>
      </c>
      <c r="AC118" s="700" t="str">
        <f>IF($E118="","",INDEX(I_PFC!$A:$N,DE118,AC$107))</f>
        <v/>
      </c>
      <c r="AD118" s="700" t="str">
        <f>IF($E118="","",INDEX(I_PFC!$A:$N,DF118,AD$107))</f>
        <v/>
      </c>
      <c r="AE118" s="700" t="str">
        <f>IF($E118="","",INDEX(I_PFC!$A:$N,DG118,AE$107))</f>
        <v/>
      </c>
      <c r="AF118" s="700" t="str">
        <f>IF($E118="","",INDEX(I_PFC!$A:$N,DH118,AF$107))</f>
        <v/>
      </c>
      <c r="AG118" s="700" t="str">
        <f>IF($E118="","",INDEX(I_PFC!$A:$N,DI118,AG$107))</f>
        <v/>
      </c>
      <c r="AH118" s="700" t="str">
        <f>IF($E118="","",INDEX(I_PFC!$A:$N,DJ118,AH$107))</f>
        <v/>
      </c>
      <c r="AI118" s="700" t="str">
        <f>IF($E118="","",INDEX(I_PFC!$A:$N,DK118,AI$107))</f>
        <v/>
      </c>
      <c r="AJ118" s="700" t="str">
        <f>IF($E118="","",INDEX(I_PFC!$A:$N,DL118,AJ$107))</f>
        <v/>
      </c>
      <c r="AK118" s="700" t="str">
        <f>IF($E118="","",INDEX(I_PFC!$A:$N,DM118,AK$107))</f>
        <v/>
      </c>
      <c r="AL118" s="700" t="str">
        <f>IF($E118="","",INDEX(I_PFC!$A:$N,DN118,AL$107))</f>
        <v/>
      </c>
      <c r="AM118" s="700" t="str">
        <f>IF($E118="","",INDEX(I_PFC!$A:$N,DO118,AM$107))</f>
        <v/>
      </c>
      <c r="AN118" s="700" t="str">
        <f>IF($E118="","",INDEX(I_PFC!$A:$N,DP118,AN$107))</f>
        <v/>
      </c>
      <c r="AO118" s="700" t="str">
        <f>IF($E118="","",INDEX(I_PFC!$A:$N,DQ118,AO$107))</f>
        <v/>
      </c>
      <c r="AP118" s="700" t="str">
        <f>IF($E118="","",INDEX(I_PFC!$A:$N,DR118,AP$107))</f>
        <v/>
      </c>
      <c r="AQ118" s="700" t="str">
        <f>IF($E118="","",INDEX(I_PFC!$A:$N,DS118,AQ$107))</f>
        <v/>
      </c>
      <c r="AR118" s="700" t="str">
        <f>IF($E118="","",INDEX(I_PFC!$A:$N,DT118,AR$107))</f>
        <v/>
      </c>
      <c r="AS118" s="700" t="str">
        <f>IF($E118="","",INDEX(I_PFC!$A:$N,DU118,AS$107))</f>
        <v/>
      </c>
      <c r="AT118" s="700" t="str">
        <f>IF($E118="","",INDEX(I_PFC!$A:$N,DV118,AT$107))</f>
        <v/>
      </c>
      <c r="AU118" s="700" t="str">
        <f>IF($E118="","",INDEX(I_PFC!$A:$N,DW118,AU$107))</f>
        <v/>
      </c>
      <c r="AV118" s="700" t="str">
        <f>IF($E118="","",INDEX(I_PFC!$A:$N,DX118,AV$107))</f>
        <v/>
      </c>
      <c r="AW118" s="700" t="str">
        <f>IF($E118="","",INDEX(I_PFC!$A:$N,DY118,AW$107))</f>
        <v/>
      </c>
      <c r="AX118" s="700" t="str">
        <f>IF($E118="","",INDEX(I_PFC!$A:$N,DZ118,AX$107))</f>
        <v/>
      </c>
      <c r="AY118" s="700" t="str">
        <f>IF($E118="","",INDEX(I_PFC!$A:$N,EA118,AY$107))</f>
        <v/>
      </c>
      <c r="AZ118" s="700" t="str">
        <f>IF($E118="","",INDEX(I_PFC!$A:$N,EB118,AZ$107))</f>
        <v/>
      </c>
      <c r="BA118" s="700" t="str">
        <f>IF($E118="","",INDEX(I_PFC!$A:$N,EC118,BA$107))</f>
        <v/>
      </c>
      <c r="BB118" s="700" t="str">
        <f>IF($E118="","",INDEX(I_PFC!$A:$N,ED118,BB$107))</f>
        <v/>
      </c>
      <c r="BC118" s="700" t="str">
        <f>IF($E118="","",INDEX(I_PFC!$A:$N,EE118,BC$107))</f>
        <v/>
      </c>
      <c r="BD118" s="700" t="str">
        <f>IF($E118="","",INDEX(I_PFC!$A:$N,EF118,BD$107))</f>
        <v/>
      </c>
      <c r="CJ118" s="679" t="str">
        <f t="shared" si="152"/>
        <v>SourceCategory_</v>
      </c>
      <c r="CK118" s="679" t="b">
        <f>INDEX(I_PFC!$A$50:$A$60,ROWS($CI$111:CI118))="ausblenden"</f>
        <v>0</v>
      </c>
      <c r="CL118" s="679">
        <f t="shared" si="155"/>
        <v>597</v>
      </c>
      <c r="CM118" s="679">
        <f t="shared" si="156"/>
        <v>598</v>
      </c>
      <c r="CN118" s="679">
        <f t="shared" si="156"/>
        <v>599</v>
      </c>
      <c r="CO118" s="679">
        <f t="shared" si="156"/>
        <v>602</v>
      </c>
      <c r="CP118" s="679">
        <f t="shared" si="156"/>
        <v>603</v>
      </c>
      <c r="CQ118" s="679">
        <f t="shared" si="156"/>
        <v>604</v>
      </c>
      <c r="CR118" s="679">
        <f t="shared" si="156"/>
        <v>607</v>
      </c>
      <c r="CS118" s="679">
        <f t="shared" si="156"/>
        <v>608</v>
      </c>
      <c r="CT118" s="679">
        <f t="shared" si="156"/>
        <v>609</v>
      </c>
      <c r="CU118" s="679">
        <f t="shared" si="156"/>
        <v>612</v>
      </c>
      <c r="CV118" s="679">
        <f t="shared" si="156"/>
        <v>613</v>
      </c>
      <c r="CW118" s="679">
        <f t="shared" si="156"/>
        <v>614</v>
      </c>
      <c r="CX118" s="679">
        <f t="shared" si="156"/>
        <v>617</v>
      </c>
      <c r="CY118" s="679">
        <f t="shared" si="156"/>
        <v>618</v>
      </c>
      <c r="CZ118" s="679">
        <f t="shared" si="156"/>
        <v>619</v>
      </c>
      <c r="DA118" s="679">
        <f t="shared" si="156"/>
        <v>625</v>
      </c>
      <c r="DB118" s="679">
        <f t="shared" si="156"/>
        <v>632</v>
      </c>
      <c r="DC118" s="679">
        <f t="shared" si="156"/>
        <v>632</v>
      </c>
      <c r="DD118" s="679">
        <f t="shared" si="156"/>
        <v>632</v>
      </c>
      <c r="DE118" s="679">
        <f t="shared" si="156"/>
        <v>632</v>
      </c>
      <c r="DF118" s="679">
        <f t="shared" si="156"/>
        <v>632</v>
      </c>
      <c r="DG118" s="679">
        <f t="shared" si="156"/>
        <v>632</v>
      </c>
      <c r="DH118" s="679">
        <f t="shared" si="156"/>
        <v>632</v>
      </c>
      <c r="DI118" s="679">
        <f t="shared" si="156"/>
        <v>626</v>
      </c>
      <c r="DJ118" s="679">
        <f t="shared" si="156"/>
        <v>633</v>
      </c>
      <c r="DK118" s="679">
        <f t="shared" si="156"/>
        <v>633</v>
      </c>
      <c r="DL118" s="679">
        <f t="shared" ref="DL118:EF120" si="157">DL117+72</f>
        <v>633</v>
      </c>
      <c r="DM118" s="679">
        <f t="shared" si="157"/>
        <v>633</v>
      </c>
      <c r="DN118" s="679">
        <f t="shared" si="157"/>
        <v>633</v>
      </c>
      <c r="DO118" s="679">
        <f t="shared" si="157"/>
        <v>633</v>
      </c>
      <c r="DP118" s="679">
        <f t="shared" si="157"/>
        <v>633</v>
      </c>
      <c r="DQ118" s="679">
        <f t="shared" si="157"/>
        <v>627</v>
      </c>
      <c r="DR118" s="679">
        <f t="shared" si="157"/>
        <v>634</v>
      </c>
      <c r="DS118" s="679">
        <f t="shared" si="157"/>
        <v>634</v>
      </c>
      <c r="DT118" s="679">
        <f t="shared" si="157"/>
        <v>634</v>
      </c>
      <c r="DU118" s="679">
        <f t="shared" si="157"/>
        <v>634</v>
      </c>
      <c r="DV118" s="679">
        <f t="shared" si="157"/>
        <v>634</v>
      </c>
      <c r="DW118" s="679">
        <f t="shared" si="157"/>
        <v>634</v>
      </c>
      <c r="DX118" s="679">
        <f t="shared" si="157"/>
        <v>634</v>
      </c>
      <c r="DY118" s="679">
        <f t="shared" si="157"/>
        <v>640</v>
      </c>
      <c r="DZ118" s="679">
        <f t="shared" si="157"/>
        <v>640</v>
      </c>
      <c r="EA118" s="679">
        <f t="shared" si="157"/>
        <v>640</v>
      </c>
      <c r="EB118" s="679">
        <f t="shared" si="157"/>
        <v>640</v>
      </c>
      <c r="EC118" s="679">
        <f t="shared" si="157"/>
        <v>640</v>
      </c>
      <c r="ED118" s="679">
        <f t="shared" si="157"/>
        <v>640</v>
      </c>
      <c r="EE118" s="679">
        <f t="shared" si="157"/>
        <v>645</v>
      </c>
      <c r="EF118" s="679">
        <f t="shared" si="157"/>
        <v>651</v>
      </c>
    </row>
    <row r="119" spans="1:204" x14ac:dyDescent="0.2">
      <c r="B119" s="700" t="str">
        <f>IF(OR(B118="",CK119),"",I_PFC!D58)</f>
        <v/>
      </c>
      <c r="C119" s="701" t="str">
        <f>IF(B119="","",I_PFC!E58)</f>
        <v/>
      </c>
      <c r="D119" s="701" t="str">
        <f>IF(B119="","",I_PFC!H58)</f>
        <v/>
      </c>
      <c r="E119" s="701" t="str">
        <f>IF($B119="","",INDEX(C_InstallationDescription!F:F,MATCH($CJ119,C_InstallationDescription!$Q:$Q,0)))</f>
        <v/>
      </c>
      <c r="F119" s="702" t="str">
        <f>IF($E119="","",INDEX(C_InstallationDescription!L:L,MATCH($CJ119,C_InstallationDescription!$Q:$Q,0)))</f>
        <v/>
      </c>
      <c r="G119" s="701" t="str">
        <f>IF($E119="","",INDEX(C_InstallationDescription!M:M,MATCH($CJ119,C_InstallationDescription!$Q:$Q,0)))</f>
        <v/>
      </c>
      <c r="H119" s="701" t="str">
        <f>IF($E119="","",INDEX(C_InstallationDescription!N:N,MATCH($CJ119,C_InstallationDescription!$Q:$Q,0)))</f>
        <v/>
      </c>
      <c r="I119" s="700" t="str">
        <f>IF(INDEX(I_PFC!$L$50:$L$56,MATCH(B119,I_PFC!$D$50:$D$56,0))="","",INDEX(I_PFC!$L$50:$L$56,MATCH(B119,I_PFC!$D$50:$D$56,0)))</f>
        <v/>
      </c>
      <c r="J119" s="700" t="str">
        <f>IF($E119="","",INDEX(I_PFC!$A:$N,CL119,J$107))</f>
        <v/>
      </c>
      <c r="K119" s="700" t="str">
        <f>IF($E119="","",INDEX(I_PFC!$A:$N,CM119,K$107))</f>
        <v/>
      </c>
      <c r="L119" s="700" t="str">
        <f>IF($E119="","",INDEX(I_PFC!$A:$N,CN119,L$107))</f>
        <v/>
      </c>
      <c r="M119" s="700" t="str">
        <f>IF($E119="","",INDEX(I_PFC!$A:$N,CO119,M$107))</f>
        <v/>
      </c>
      <c r="N119" s="700" t="str">
        <f>IF($E119="","",INDEX(I_PFC!$A:$N,CP119,N$107))</f>
        <v/>
      </c>
      <c r="O119" s="700" t="str">
        <f>IF($E119="","",INDEX(I_PFC!$A:$N,CQ119,O$107))</f>
        <v/>
      </c>
      <c r="P119" s="700" t="str">
        <f>IF($E119="","",INDEX(I_PFC!$A:$N,CR119,P$107))</f>
        <v/>
      </c>
      <c r="Q119" s="700" t="str">
        <f>IF($E119="","",INDEX(I_PFC!$A:$N,CS119,Q$107))</f>
        <v/>
      </c>
      <c r="R119" s="700" t="str">
        <f>IF($E119="","",INDEX(I_PFC!$A:$N,CT119,R$107))</f>
        <v/>
      </c>
      <c r="S119" s="700" t="str">
        <f>IF($E119="","",INDEX(I_PFC!$A:$N,CU119,S$107))</f>
        <v/>
      </c>
      <c r="T119" s="700" t="str">
        <f>IF($E119="","",INDEX(I_PFC!$A:$N,CV119,T$107))</f>
        <v/>
      </c>
      <c r="U119" s="700" t="str">
        <f>IF($E119="","",INDEX(I_PFC!$A:$N,CW119,U$107))</f>
        <v/>
      </c>
      <c r="V119" s="700" t="str">
        <f>IF($E119="","",INDEX(I_PFC!$A:$N,CX119,V$107))</f>
        <v/>
      </c>
      <c r="W119" s="700" t="str">
        <f>IF($E119="","",INDEX(I_PFC!$A:$N,CY119,W$107))</f>
        <v/>
      </c>
      <c r="X119" s="700" t="str">
        <f>IF($E119="","",INDEX(I_PFC!$A:$N,CZ119,X$107))</f>
        <v/>
      </c>
      <c r="Y119" s="700" t="str">
        <f>IF($E119="","",INDEX(I_PFC!$A:$N,DA119,Y$107))</f>
        <v/>
      </c>
      <c r="Z119" s="700" t="str">
        <f>IF($E119="","",INDEX(I_PFC!$A:$N,DB119,Z$107))</f>
        <v/>
      </c>
      <c r="AA119" s="700" t="str">
        <f>IF($E119="","",INDEX(I_PFC!$A:$N,DC119,AA$107))</f>
        <v/>
      </c>
      <c r="AB119" s="700" t="str">
        <f>IF($E119="","",INDEX(I_PFC!$A:$N,DD119,AB$107))</f>
        <v/>
      </c>
      <c r="AC119" s="700" t="str">
        <f>IF($E119="","",INDEX(I_PFC!$A:$N,DE119,AC$107))</f>
        <v/>
      </c>
      <c r="AD119" s="700" t="str">
        <f>IF($E119="","",INDEX(I_PFC!$A:$N,DF119,AD$107))</f>
        <v/>
      </c>
      <c r="AE119" s="700" t="str">
        <f>IF($E119="","",INDEX(I_PFC!$A:$N,DG119,AE$107))</f>
        <v/>
      </c>
      <c r="AF119" s="700" t="str">
        <f>IF($E119="","",INDEX(I_PFC!$A:$N,DH119,AF$107))</f>
        <v/>
      </c>
      <c r="AG119" s="700" t="str">
        <f>IF($E119="","",INDEX(I_PFC!$A:$N,DI119,AG$107))</f>
        <v/>
      </c>
      <c r="AH119" s="700" t="str">
        <f>IF($E119="","",INDEX(I_PFC!$A:$N,DJ119,AH$107))</f>
        <v/>
      </c>
      <c r="AI119" s="700" t="str">
        <f>IF($E119="","",INDEX(I_PFC!$A:$N,DK119,AI$107))</f>
        <v/>
      </c>
      <c r="AJ119" s="700" t="str">
        <f>IF($E119="","",INDEX(I_PFC!$A:$N,DL119,AJ$107))</f>
        <v/>
      </c>
      <c r="AK119" s="700" t="str">
        <f>IF($E119="","",INDEX(I_PFC!$A:$N,DM119,AK$107))</f>
        <v/>
      </c>
      <c r="AL119" s="700" t="str">
        <f>IF($E119="","",INDEX(I_PFC!$A:$N,DN119,AL$107))</f>
        <v/>
      </c>
      <c r="AM119" s="700" t="str">
        <f>IF($E119="","",INDEX(I_PFC!$A:$N,DO119,AM$107))</f>
        <v/>
      </c>
      <c r="AN119" s="700" t="str">
        <f>IF($E119="","",INDEX(I_PFC!$A:$N,DP119,AN$107))</f>
        <v/>
      </c>
      <c r="AO119" s="700" t="str">
        <f>IF($E119="","",INDEX(I_PFC!$A:$N,DQ119,AO$107))</f>
        <v/>
      </c>
      <c r="AP119" s="700" t="str">
        <f>IF($E119="","",INDEX(I_PFC!$A:$N,DR119,AP$107))</f>
        <v/>
      </c>
      <c r="AQ119" s="700" t="str">
        <f>IF($E119="","",INDEX(I_PFC!$A:$N,DS119,AQ$107))</f>
        <v/>
      </c>
      <c r="AR119" s="700" t="str">
        <f>IF($E119="","",INDEX(I_PFC!$A:$N,DT119,AR$107))</f>
        <v/>
      </c>
      <c r="AS119" s="700" t="str">
        <f>IF($E119="","",INDEX(I_PFC!$A:$N,DU119,AS$107))</f>
        <v/>
      </c>
      <c r="AT119" s="700" t="str">
        <f>IF($E119="","",INDEX(I_PFC!$A:$N,DV119,AT$107))</f>
        <v/>
      </c>
      <c r="AU119" s="700" t="str">
        <f>IF($E119="","",INDEX(I_PFC!$A:$N,DW119,AU$107))</f>
        <v/>
      </c>
      <c r="AV119" s="700" t="str">
        <f>IF($E119="","",INDEX(I_PFC!$A:$N,DX119,AV$107))</f>
        <v/>
      </c>
      <c r="AW119" s="700" t="str">
        <f>IF($E119="","",INDEX(I_PFC!$A:$N,DY119,AW$107))</f>
        <v/>
      </c>
      <c r="AX119" s="700" t="str">
        <f>IF($E119="","",INDEX(I_PFC!$A:$N,DZ119,AX$107))</f>
        <v/>
      </c>
      <c r="AY119" s="700" t="str">
        <f>IF($E119="","",INDEX(I_PFC!$A:$N,EA119,AY$107))</f>
        <v/>
      </c>
      <c r="AZ119" s="700" t="str">
        <f>IF($E119="","",INDEX(I_PFC!$A:$N,EB119,AZ$107))</f>
        <v/>
      </c>
      <c r="BA119" s="700" t="str">
        <f>IF($E119="","",INDEX(I_PFC!$A:$N,EC119,BA$107))</f>
        <v/>
      </c>
      <c r="BB119" s="700" t="str">
        <f>IF($E119="","",INDEX(I_PFC!$A:$N,ED119,BB$107))</f>
        <v/>
      </c>
      <c r="BC119" s="700" t="str">
        <f>IF($E119="","",INDEX(I_PFC!$A:$N,EE119,BC$107))</f>
        <v/>
      </c>
      <c r="BD119" s="700" t="str">
        <f>IF($E119="","",INDEX(I_PFC!$A:$N,EF119,BD$107))</f>
        <v/>
      </c>
      <c r="CJ119" s="679" t="str">
        <f t="shared" si="152"/>
        <v>SourceCategory_</v>
      </c>
      <c r="CK119" s="679" t="b">
        <f>INDEX(I_PFC!$A$50:$A$60,ROWS($CI$111:CI119))="ausblenden"</f>
        <v>0</v>
      </c>
      <c r="CL119" s="679">
        <f t="shared" si="155"/>
        <v>669</v>
      </c>
      <c r="CM119" s="679">
        <f t="shared" ref="CM119:DA120" si="158">CM118+72</f>
        <v>670</v>
      </c>
      <c r="CN119" s="679">
        <f t="shared" si="158"/>
        <v>671</v>
      </c>
      <c r="CO119" s="679">
        <f t="shared" si="158"/>
        <v>674</v>
      </c>
      <c r="CP119" s="679">
        <f t="shared" si="158"/>
        <v>675</v>
      </c>
      <c r="CQ119" s="679">
        <f t="shared" si="158"/>
        <v>676</v>
      </c>
      <c r="CR119" s="679">
        <f t="shared" si="158"/>
        <v>679</v>
      </c>
      <c r="CS119" s="679">
        <f t="shared" si="158"/>
        <v>680</v>
      </c>
      <c r="CT119" s="679">
        <f t="shared" si="158"/>
        <v>681</v>
      </c>
      <c r="CU119" s="679">
        <f t="shared" si="158"/>
        <v>684</v>
      </c>
      <c r="CV119" s="679">
        <f t="shared" si="158"/>
        <v>685</v>
      </c>
      <c r="CW119" s="679">
        <f t="shared" si="158"/>
        <v>686</v>
      </c>
      <c r="CX119" s="679">
        <f t="shared" si="158"/>
        <v>689</v>
      </c>
      <c r="CY119" s="679">
        <f t="shared" si="158"/>
        <v>690</v>
      </c>
      <c r="CZ119" s="679">
        <f t="shared" si="158"/>
        <v>691</v>
      </c>
      <c r="DA119" s="679">
        <f t="shared" si="158"/>
        <v>697</v>
      </c>
      <c r="DB119" s="679">
        <f t="shared" ref="DB119:DK120" si="159">DB118+72</f>
        <v>704</v>
      </c>
      <c r="DC119" s="679">
        <f t="shared" si="159"/>
        <v>704</v>
      </c>
      <c r="DD119" s="679">
        <f t="shared" si="159"/>
        <v>704</v>
      </c>
      <c r="DE119" s="679">
        <f t="shared" si="159"/>
        <v>704</v>
      </c>
      <c r="DF119" s="679">
        <f t="shared" si="159"/>
        <v>704</v>
      </c>
      <c r="DG119" s="679">
        <f t="shared" si="159"/>
        <v>704</v>
      </c>
      <c r="DH119" s="679">
        <f t="shared" si="159"/>
        <v>704</v>
      </c>
      <c r="DI119" s="679">
        <f t="shared" si="159"/>
        <v>698</v>
      </c>
      <c r="DJ119" s="679">
        <f t="shared" si="159"/>
        <v>705</v>
      </c>
      <c r="DK119" s="679">
        <f t="shared" si="159"/>
        <v>705</v>
      </c>
      <c r="DL119" s="679">
        <f t="shared" si="157"/>
        <v>705</v>
      </c>
      <c r="DM119" s="679">
        <f t="shared" si="157"/>
        <v>705</v>
      </c>
      <c r="DN119" s="679">
        <f t="shared" si="157"/>
        <v>705</v>
      </c>
      <c r="DO119" s="679">
        <f t="shared" si="157"/>
        <v>705</v>
      </c>
      <c r="DP119" s="679">
        <f t="shared" si="157"/>
        <v>705</v>
      </c>
      <c r="DQ119" s="679">
        <f t="shared" si="157"/>
        <v>699</v>
      </c>
      <c r="DR119" s="679">
        <f t="shared" si="157"/>
        <v>706</v>
      </c>
      <c r="DS119" s="679">
        <f t="shared" si="157"/>
        <v>706</v>
      </c>
      <c r="DT119" s="679">
        <f t="shared" si="157"/>
        <v>706</v>
      </c>
      <c r="DU119" s="679">
        <f t="shared" si="157"/>
        <v>706</v>
      </c>
      <c r="DV119" s="679">
        <f t="shared" si="157"/>
        <v>706</v>
      </c>
      <c r="DW119" s="679">
        <f t="shared" si="157"/>
        <v>706</v>
      </c>
      <c r="DX119" s="679">
        <f t="shared" si="157"/>
        <v>706</v>
      </c>
      <c r="DY119" s="679">
        <f t="shared" si="157"/>
        <v>712</v>
      </c>
      <c r="DZ119" s="679">
        <f t="shared" si="157"/>
        <v>712</v>
      </c>
      <c r="EA119" s="679">
        <f t="shared" si="157"/>
        <v>712</v>
      </c>
      <c r="EB119" s="679">
        <f t="shared" si="157"/>
        <v>712</v>
      </c>
      <c r="EC119" s="679">
        <f t="shared" si="157"/>
        <v>712</v>
      </c>
      <c r="ED119" s="679">
        <f t="shared" si="157"/>
        <v>712</v>
      </c>
      <c r="EE119" s="679">
        <f t="shared" si="157"/>
        <v>717</v>
      </c>
      <c r="EF119" s="679">
        <f t="shared" si="157"/>
        <v>723</v>
      </c>
    </row>
    <row r="120" spans="1:204" x14ac:dyDescent="0.2">
      <c r="B120" s="700" t="str">
        <f>IF(OR(B119="",CK120),"",I_PFC!D59)</f>
        <v/>
      </c>
      <c r="C120" s="701" t="str">
        <f>IF(B120="","",I_PFC!E59)</f>
        <v/>
      </c>
      <c r="D120" s="701" t="str">
        <f>IF(B120="","",I_PFC!H59)</f>
        <v/>
      </c>
      <c r="E120" s="701" t="str">
        <f>IF($B120="","",INDEX(C_InstallationDescription!F:F,MATCH($CJ120,C_InstallationDescription!$Q:$Q,0)))</f>
        <v/>
      </c>
      <c r="F120" s="702" t="str">
        <f>IF($E120="","",INDEX(C_InstallationDescription!L:L,MATCH($CJ120,C_InstallationDescription!$Q:$Q,0)))</f>
        <v/>
      </c>
      <c r="G120" s="701" t="str">
        <f>IF($E120="","",INDEX(C_InstallationDescription!M:M,MATCH($CJ120,C_InstallationDescription!$Q:$Q,0)))</f>
        <v/>
      </c>
      <c r="H120" s="701" t="str">
        <f>IF($E120="","",INDEX(C_InstallationDescription!N:N,MATCH($CJ120,C_InstallationDescription!$Q:$Q,0)))</f>
        <v/>
      </c>
      <c r="I120" s="700" t="str">
        <f>IF(INDEX(I_PFC!$L$50:$L$56,MATCH(B120,I_PFC!$D$50:$D$56,0))="","",INDEX(I_PFC!$L$50:$L$56,MATCH(B120,I_PFC!$D$50:$D$56,0)))</f>
        <v/>
      </c>
      <c r="J120" s="700" t="str">
        <f>IF($E120="","",INDEX(I_PFC!$A:$N,CL120,J$107))</f>
        <v/>
      </c>
      <c r="K120" s="700" t="str">
        <f>IF($E120="","",INDEX(I_PFC!$A:$N,CM120,K$107))</f>
        <v/>
      </c>
      <c r="L120" s="700" t="str">
        <f>IF($E120="","",INDEX(I_PFC!$A:$N,CN120,L$107))</f>
        <v/>
      </c>
      <c r="M120" s="700" t="str">
        <f>IF($E120="","",INDEX(I_PFC!$A:$N,CO120,M$107))</f>
        <v/>
      </c>
      <c r="N120" s="700" t="str">
        <f>IF($E120="","",INDEX(I_PFC!$A:$N,CP120,N$107))</f>
        <v/>
      </c>
      <c r="O120" s="700" t="str">
        <f>IF($E120="","",INDEX(I_PFC!$A:$N,CQ120,O$107))</f>
        <v/>
      </c>
      <c r="P120" s="700" t="str">
        <f>IF($E120="","",INDEX(I_PFC!$A:$N,CR120,P$107))</f>
        <v/>
      </c>
      <c r="Q120" s="700" t="str">
        <f>IF($E120="","",INDEX(I_PFC!$A:$N,CS120,Q$107))</f>
        <v/>
      </c>
      <c r="R120" s="700" t="str">
        <f>IF($E120="","",INDEX(I_PFC!$A:$N,CT120,R$107))</f>
        <v/>
      </c>
      <c r="S120" s="700" t="str">
        <f>IF($E120="","",INDEX(I_PFC!$A:$N,CU120,S$107))</f>
        <v/>
      </c>
      <c r="T120" s="700" t="str">
        <f>IF($E120="","",INDEX(I_PFC!$A:$N,CV120,T$107))</f>
        <v/>
      </c>
      <c r="U120" s="700" t="str">
        <f>IF($E120="","",INDEX(I_PFC!$A:$N,CW120,U$107))</f>
        <v/>
      </c>
      <c r="V120" s="700" t="str">
        <f>IF($E120="","",INDEX(I_PFC!$A:$N,CX120,V$107))</f>
        <v/>
      </c>
      <c r="W120" s="700" t="str">
        <f>IF($E120="","",INDEX(I_PFC!$A:$N,CY120,W$107))</f>
        <v/>
      </c>
      <c r="X120" s="700" t="str">
        <f>IF($E120="","",INDEX(I_PFC!$A:$N,CZ120,X$107))</f>
        <v/>
      </c>
      <c r="Y120" s="700" t="str">
        <f>IF($E120="","",INDEX(I_PFC!$A:$N,DA120,Y$107))</f>
        <v/>
      </c>
      <c r="Z120" s="700" t="str">
        <f>IF($E120="","",INDEX(I_PFC!$A:$N,DB120,Z$107))</f>
        <v/>
      </c>
      <c r="AA120" s="700" t="str">
        <f>IF($E120="","",INDEX(I_PFC!$A:$N,DC120,AA$107))</f>
        <v/>
      </c>
      <c r="AB120" s="700" t="str">
        <f>IF($E120="","",INDEX(I_PFC!$A:$N,DD120,AB$107))</f>
        <v/>
      </c>
      <c r="AC120" s="700" t="str">
        <f>IF($E120="","",INDEX(I_PFC!$A:$N,DE120,AC$107))</f>
        <v/>
      </c>
      <c r="AD120" s="700" t="str">
        <f>IF($E120="","",INDEX(I_PFC!$A:$N,DF120,AD$107))</f>
        <v/>
      </c>
      <c r="AE120" s="700" t="str">
        <f>IF($E120="","",INDEX(I_PFC!$A:$N,DG120,AE$107))</f>
        <v/>
      </c>
      <c r="AF120" s="700" t="str">
        <f>IF($E120="","",INDEX(I_PFC!$A:$N,DH120,AF$107))</f>
        <v/>
      </c>
      <c r="AG120" s="700" t="str">
        <f>IF($E120="","",INDEX(I_PFC!$A:$N,DI120,AG$107))</f>
        <v/>
      </c>
      <c r="AH120" s="700" t="str">
        <f>IF($E120="","",INDEX(I_PFC!$A:$N,DJ120,AH$107))</f>
        <v/>
      </c>
      <c r="AI120" s="700" t="str">
        <f>IF($E120="","",INDEX(I_PFC!$A:$N,DK120,AI$107))</f>
        <v/>
      </c>
      <c r="AJ120" s="700" t="str">
        <f>IF($E120="","",INDEX(I_PFC!$A:$N,DL120,AJ$107))</f>
        <v/>
      </c>
      <c r="AK120" s="700" t="str">
        <f>IF($E120="","",INDEX(I_PFC!$A:$N,DM120,AK$107))</f>
        <v/>
      </c>
      <c r="AL120" s="700" t="str">
        <f>IF($E120="","",INDEX(I_PFC!$A:$N,DN120,AL$107))</f>
        <v/>
      </c>
      <c r="AM120" s="700" t="str">
        <f>IF($E120="","",INDEX(I_PFC!$A:$N,DO120,AM$107))</f>
        <v/>
      </c>
      <c r="AN120" s="700" t="str">
        <f>IF($E120="","",INDEX(I_PFC!$A:$N,DP120,AN$107))</f>
        <v/>
      </c>
      <c r="AO120" s="700" t="str">
        <f>IF($E120="","",INDEX(I_PFC!$A:$N,DQ120,AO$107))</f>
        <v/>
      </c>
      <c r="AP120" s="700" t="str">
        <f>IF($E120="","",INDEX(I_PFC!$A:$N,DR120,AP$107))</f>
        <v/>
      </c>
      <c r="AQ120" s="700" t="str">
        <f>IF($E120="","",INDEX(I_PFC!$A:$N,DS120,AQ$107))</f>
        <v/>
      </c>
      <c r="AR120" s="700" t="str">
        <f>IF($E120="","",INDEX(I_PFC!$A:$N,DT120,AR$107))</f>
        <v/>
      </c>
      <c r="AS120" s="700" t="str">
        <f>IF($E120="","",INDEX(I_PFC!$A:$N,DU120,AS$107))</f>
        <v/>
      </c>
      <c r="AT120" s="700" t="str">
        <f>IF($E120="","",INDEX(I_PFC!$A:$N,DV120,AT$107))</f>
        <v/>
      </c>
      <c r="AU120" s="700" t="str">
        <f>IF($E120="","",INDEX(I_PFC!$A:$N,DW120,AU$107))</f>
        <v/>
      </c>
      <c r="AV120" s="700" t="str">
        <f>IF($E120="","",INDEX(I_PFC!$A:$N,DX120,AV$107))</f>
        <v/>
      </c>
      <c r="AW120" s="700" t="str">
        <f>IF($E120="","",INDEX(I_PFC!$A:$N,DY120,AW$107))</f>
        <v/>
      </c>
      <c r="AX120" s="700" t="str">
        <f>IF($E120="","",INDEX(I_PFC!$A:$N,DZ120,AX$107))</f>
        <v/>
      </c>
      <c r="AY120" s="700" t="str">
        <f>IF($E120="","",INDEX(I_PFC!$A:$N,EA120,AY$107))</f>
        <v/>
      </c>
      <c r="AZ120" s="700" t="str">
        <f>IF($E120="","",INDEX(I_PFC!$A:$N,EB120,AZ$107))</f>
        <v/>
      </c>
      <c r="BA120" s="700" t="str">
        <f>IF($E120="","",INDEX(I_PFC!$A:$N,EC120,BA$107))</f>
        <v/>
      </c>
      <c r="BB120" s="700" t="str">
        <f>IF($E120="","",INDEX(I_PFC!$A:$N,ED120,BB$107))</f>
        <v/>
      </c>
      <c r="BC120" s="700" t="str">
        <f>IF($E120="","",INDEX(I_PFC!$A:$N,EE120,BC$107))</f>
        <v/>
      </c>
      <c r="BD120" s="700" t="str">
        <f>IF($E120="","",INDEX(I_PFC!$A:$N,EF120,BD$107))</f>
        <v/>
      </c>
      <c r="CJ120" s="679" t="str">
        <f t="shared" si="152"/>
        <v>SourceCategory_</v>
      </c>
      <c r="CK120" s="679" t="b">
        <f>INDEX(I_PFC!$A$50:$A$60,ROWS($CI$111:CI120))="ausblenden"</f>
        <v>0</v>
      </c>
      <c r="CL120" s="679">
        <f t="shared" si="155"/>
        <v>741</v>
      </c>
      <c r="CM120" s="679">
        <f t="shared" si="158"/>
        <v>742</v>
      </c>
      <c r="CN120" s="679">
        <f t="shared" si="158"/>
        <v>743</v>
      </c>
      <c r="CO120" s="679">
        <f t="shared" si="158"/>
        <v>746</v>
      </c>
      <c r="CP120" s="679">
        <f t="shared" si="158"/>
        <v>747</v>
      </c>
      <c r="CQ120" s="679">
        <f t="shared" si="158"/>
        <v>748</v>
      </c>
      <c r="CR120" s="679">
        <f t="shared" si="158"/>
        <v>751</v>
      </c>
      <c r="CS120" s="679">
        <f t="shared" si="158"/>
        <v>752</v>
      </c>
      <c r="CT120" s="679">
        <f t="shared" si="158"/>
        <v>753</v>
      </c>
      <c r="CU120" s="679">
        <f t="shared" si="158"/>
        <v>756</v>
      </c>
      <c r="CV120" s="679">
        <f t="shared" si="158"/>
        <v>757</v>
      </c>
      <c r="CW120" s="679">
        <f t="shared" si="158"/>
        <v>758</v>
      </c>
      <c r="CX120" s="679">
        <f t="shared" si="158"/>
        <v>761</v>
      </c>
      <c r="CY120" s="679">
        <f t="shared" si="158"/>
        <v>762</v>
      </c>
      <c r="CZ120" s="679">
        <f t="shared" si="158"/>
        <v>763</v>
      </c>
      <c r="DA120" s="679">
        <f t="shared" si="158"/>
        <v>769</v>
      </c>
      <c r="DB120" s="679">
        <f t="shared" si="159"/>
        <v>776</v>
      </c>
      <c r="DC120" s="679">
        <f t="shared" si="159"/>
        <v>776</v>
      </c>
      <c r="DD120" s="679">
        <f t="shared" si="159"/>
        <v>776</v>
      </c>
      <c r="DE120" s="679">
        <f t="shared" si="159"/>
        <v>776</v>
      </c>
      <c r="DF120" s="679">
        <f t="shared" si="159"/>
        <v>776</v>
      </c>
      <c r="DG120" s="679">
        <f t="shared" si="159"/>
        <v>776</v>
      </c>
      <c r="DH120" s="679">
        <f t="shared" si="159"/>
        <v>776</v>
      </c>
      <c r="DI120" s="679">
        <f t="shared" si="159"/>
        <v>770</v>
      </c>
      <c r="DJ120" s="679">
        <f t="shared" si="159"/>
        <v>777</v>
      </c>
      <c r="DK120" s="679">
        <f t="shared" si="159"/>
        <v>777</v>
      </c>
      <c r="DL120" s="679">
        <f t="shared" si="157"/>
        <v>777</v>
      </c>
      <c r="DM120" s="679">
        <f t="shared" si="157"/>
        <v>777</v>
      </c>
      <c r="DN120" s="679">
        <f t="shared" si="157"/>
        <v>777</v>
      </c>
      <c r="DO120" s="679">
        <f t="shared" si="157"/>
        <v>777</v>
      </c>
      <c r="DP120" s="679">
        <f t="shared" si="157"/>
        <v>777</v>
      </c>
      <c r="DQ120" s="679">
        <f t="shared" si="157"/>
        <v>771</v>
      </c>
      <c r="DR120" s="679">
        <f t="shared" si="157"/>
        <v>778</v>
      </c>
      <c r="DS120" s="679">
        <f t="shared" si="157"/>
        <v>778</v>
      </c>
      <c r="DT120" s="679">
        <f t="shared" si="157"/>
        <v>778</v>
      </c>
      <c r="DU120" s="679">
        <f t="shared" si="157"/>
        <v>778</v>
      </c>
      <c r="DV120" s="679">
        <f t="shared" si="157"/>
        <v>778</v>
      </c>
      <c r="DW120" s="679">
        <f t="shared" si="157"/>
        <v>778</v>
      </c>
      <c r="DX120" s="679">
        <f t="shared" si="157"/>
        <v>778</v>
      </c>
      <c r="DY120" s="679">
        <f t="shared" si="157"/>
        <v>784</v>
      </c>
      <c r="DZ120" s="679">
        <f t="shared" si="157"/>
        <v>784</v>
      </c>
      <c r="EA120" s="679">
        <f t="shared" si="157"/>
        <v>784</v>
      </c>
      <c r="EB120" s="679">
        <f t="shared" si="157"/>
        <v>784</v>
      </c>
      <c r="EC120" s="679">
        <f t="shared" si="157"/>
        <v>784</v>
      </c>
      <c r="ED120" s="679">
        <f t="shared" si="157"/>
        <v>784</v>
      </c>
      <c r="EE120" s="679">
        <f t="shared" si="157"/>
        <v>789</v>
      </c>
      <c r="EF120" s="679">
        <f t="shared" si="157"/>
        <v>795</v>
      </c>
    </row>
    <row r="121" spans="1:204" ht="12.75" customHeight="1" x14ac:dyDescent="0.2">
      <c r="T121" s="694"/>
      <c r="U121" s="694"/>
    </row>
    <row r="122" spans="1:204" s="698" customFormat="1" hidden="1" x14ac:dyDescent="0.2">
      <c r="A122" s="683" t="s">
        <v>1090</v>
      </c>
      <c r="FA122" s="693"/>
      <c r="FB122" s="693"/>
      <c r="FC122" s="693"/>
      <c r="FD122" s="693"/>
      <c r="FE122" s="693"/>
      <c r="FF122" s="693"/>
      <c r="FG122" s="693"/>
      <c r="FH122" s="693"/>
      <c r="FI122" s="693"/>
      <c r="FJ122" s="693"/>
      <c r="FK122" s="693"/>
      <c r="FL122" s="693"/>
      <c r="FM122" s="693"/>
      <c r="FN122" s="693"/>
      <c r="FO122" s="693"/>
      <c r="FP122" s="693"/>
      <c r="FQ122" s="693"/>
      <c r="FR122" s="693"/>
      <c r="FS122" s="693"/>
      <c r="FT122" s="693"/>
      <c r="FU122" s="693"/>
      <c r="FV122" s="693"/>
      <c r="FW122" s="693"/>
      <c r="FX122" s="693"/>
      <c r="FY122" s="693"/>
      <c r="FZ122" s="693"/>
      <c r="GA122" s="693"/>
      <c r="GB122" s="693"/>
      <c r="GC122" s="693"/>
      <c r="GD122" s="693"/>
      <c r="GE122" s="693"/>
      <c r="GF122" s="693"/>
      <c r="GG122" s="693"/>
      <c r="GH122" s="693"/>
      <c r="GI122" s="693"/>
      <c r="GJ122" s="693"/>
      <c r="GK122" s="693"/>
      <c r="GL122" s="693"/>
      <c r="GM122" s="693"/>
      <c r="GN122" s="693"/>
      <c r="GO122" s="693"/>
      <c r="GP122" s="693"/>
      <c r="GQ122" s="693"/>
      <c r="GR122" s="693"/>
      <c r="GS122" s="693"/>
      <c r="GT122" s="693"/>
      <c r="GU122" s="693"/>
      <c r="GV122" s="693"/>
    </row>
    <row r="123" spans="1:204" ht="35.1" customHeight="1" x14ac:dyDescent="0.4">
      <c r="B123" s="595" t="str">
        <f>Translations!$B$1240</f>
        <v>Tranferred CO2 &amp; N2O</v>
      </c>
      <c r="C123" s="693"/>
      <c r="D123" s="693"/>
      <c r="E123" s="693"/>
      <c r="T123" s="694"/>
      <c r="U123" s="694"/>
    </row>
    <row r="124" spans="1:204" s="694" customFormat="1" ht="24.95" customHeight="1" x14ac:dyDescent="0.2">
      <c r="B124" s="708"/>
      <c r="C124" s="708"/>
      <c r="D124" s="708"/>
      <c r="E124" s="708"/>
      <c r="CJ124" s="695"/>
      <c r="CK124" s="695"/>
      <c r="CL124" s="695"/>
      <c r="CM124" s="695"/>
      <c r="CN124" s="695"/>
      <c r="CO124" s="695"/>
      <c r="CP124" s="695"/>
      <c r="CQ124" s="695"/>
      <c r="CR124" s="695"/>
      <c r="CS124" s="695"/>
      <c r="CT124" s="695"/>
      <c r="CU124" s="695"/>
      <c r="CV124" s="695"/>
      <c r="CW124" s="695"/>
      <c r="CX124" s="695"/>
      <c r="CY124" s="695"/>
      <c r="CZ124" s="695"/>
      <c r="DA124" s="695"/>
      <c r="DB124" s="695"/>
      <c r="DC124" s="695"/>
      <c r="DD124" s="695"/>
      <c r="DE124" s="695"/>
      <c r="DF124" s="695"/>
      <c r="DG124" s="695"/>
      <c r="DH124" s="695"/>
      <c r="DI124" s="695"/>
      <c r="DJ124" s="695"/>
      <c r="DK124" s="695"/>
      <c r="DL124" s="695"/>
      <c r="DM124" s="695"/>
      <c r="DN124" s="695"/>
      <c r="DO124" s="695"/>
      <c r="DP124" s="695"/>
      <c r="DQ124" s="695"/>
      <c r="DR124" s="695"/>
      <c r="DS124" s="695"/>
      <c r="DT124" s="695"/>
      <c r="DU124" s="695"/>
      <c r="DV124" s="695"/>
      <c r="DW124" s="695"/>
      <c r="DX124" s="695"/>
      <c r="DY124" s="695"/>
      <c r="DZ124" s="695"/>
      <c r="EA124" s="695"/>
      <c r="EB124" s="695"/>
      <c r="EC124" s="695"/>
      <c r="ED124" s="695"/>
      <c r="EE124" s="695"/>
      <c r="EF124" s="695"/>
      <c r="EG124" s="695"/>
      <c r="EH124" s="695"/>
      <c r="EI124" s="695"/>
      <c r="EJ124" s="695"/>
      <c r="EK124" s="695"/>
      <c r="EL124" s="695"/>
      <c r="EM124" s="695"/>
      <c r="EN124" s="695"/>
      <c r="EO124" s="695"/>
      <c r="EP124" s="695"/>
      <c r="EQ124" s="695"/>
      <c r="ER124" s="695"/>
      <c r="ES124" s="695"/>
      <c r="ET124" s="695"/>
      <c r="EU124" s="695"/>
      <c r="EV124" s="695"/>
      <c r="EW124" s="695"/>
      <c r="EX124" s="695"/>
      <c r="EY124" s="695"/>
      <c r="EZ124" s="695"/>
    </row>
    <row r="125" spans="1:204" ht="80.099999999999994" customHeight="1" x14ac:dyDescent="0.2">
      <c r="B125" s="596" t="str">
        <f>'J_Transferred GHG'!E53</f>
        <v>Transfer Ref.</v>
      </c>
      <c r="C125" s="596" t="str">
        <f>'J_Transferred GHG'!F53</f>
        <v>Installation Name</v>
      </c>
      <c r="D125" s="596" t="str">
        <f>'J_Transferred GHG'!H53</f>
        <v>Operator Name</v>
      </c>
      <c r="E125" s="596" t="str">
        <f>'J_Transferred GHG'!J53</f>
        <v>Unique ID of Installation</v>
      </c>
      <c r="F125" s="596" t="str">
        <f>'J_Transferred GHG'!K53</f>
        <v>Type of transfer</v>
      </c>
      <c r="G125" s="596" t="str">
        <f>'J_Transferred GHG'!M53</f>
        <v>Measurement approach</v>
      </c>
      <c r="H125" s="694"/>
      <c r="I125" s="694"/>
      <c r="J125" s="694"/>
      <c r="K125" s="694"/>
      <c r="L125" s="694"/>
      <c r="M125" s="694"/>
      <c r="N125" s="694"/>
      <c r="O125" s="694"/>
      <c r="P125" s="694"/>
      <c r="Q125" s="694"/>
      <c r="R125" s="694"/>
      <c r="S125" s="694"/>
      <c r="T125" s="694"/>
      <c r="U125" s="694"/>
      <c r="V125" s="694"/>
      <c r="W125" s="694"/>
      <c r="X125" s="694"/>
      <c r="Y125" s="694"/>
      <c r="Z125" s="694"/>
      <c r="AA125" s="694"/>
      <c r="AB125" s="694"/>
      <c r="AC125" s="694"/>
      <c r="AD125" s="694"/>
      <c r="AE125" s="694"/>
      <c r="AF125" s="694"/>
      <c r="AG125" s="694"/>
      <c r="AH125" s="694"/>
      <c r="AI125" s="694"/>
      <c r="AJ125" s="694"/>
      <c r="AK125" s="694"/>
      <c r="AL125" s="694"/>
      <c r="AM125" s="694"/>
      <c r="AN125" s="694"/>
      <c r="AO125" s="694"/>
      <c r="AP125" s="694"/>
      <c r="AQ125" s="694"/>
      <c r="AR125" s="694"/>
      <c r="AS125" s="694"/>
      <c r="AT125" s="694"/>
      <c r="AU125" s="694"/>
      <c r="AV125" s="694"/>
      <c r="AW125" s="694"/>
      <c r="AX125" s="694"/>
      <c r="AY125" s="694"/>
      <c r="AZ125" s="694"/>
      <c r="BA125" s="694"/>
      <c r="BB125" s="694"/>
      <c r="BC125" s="694"/>
      <c r="BD125" s="694"/>
    </row>
    <row r="126" spans="1:204" x14ac:dyDescent="0.2">
      <c r="B126" s="700" t="str">
        <f>'J_Transferred GHG'!E54</f>
        <v>TR1</v>
      </c>
      <c r="C126" s="701" t="str">
        <f>IF($B126="","",IF(INDEX('J_Transferred GHG'!$F$54:$F$60,ROWS($A$126:A126))="","",INDEX('J_Transferred GHG'!$F$54:$F$60,ROWS($A$126:A126))))</f>
        <v/>
      </c>
      <c r="D126" s="701" t="str">
        <f>IF($B126="","",IF(INDEX('J_Transferred GHG'!$H$54:$H$60,ROWS($A$126:B126))="","",INDEX('J_Transferred GHG'!$H$54:$H$60,ROWS($A$126:B126))))</f>
        <v/>
      </c>
      <c r="E126" s="701" t="str">
        <f>IF($B126="","",IF(INDEX('J_Transferred GHG'!$J$54:$J$60,ROWS($A$126:C126))="","",INDEX('J_Transferred GHG'!$J$54:$J$60,ROWS($A$126:C126))))</f>
        <v/>
      </c>
      <c r="F126" s="701" t="str">
        <f>IF($B126="","",IF(INDEX('J_Transferred GHG'!$K$54:$K$60,ROWS($A$126:D126))="","",INDEX('J_Transferred GHG'!$K$54:$K$60,ROWS($A$126:D126))))</f>
        <v/>
      </c>
      <c r="G126" s="701" t="str">
        <f>IF($B126="","",IF(INDEX('J_Transferred GHG'!$M$54:$M$60,ROWS($A$126:E126))="","",INDEX('J_Transferred GHG'!$M$54:$M$60,ROWS($A$126:E126))))</f>
        <v/>
      </c>
      <c r="H126" s="694"/>
      <c r="I126" s="694"/>
      <c r="J126" s="694"/>
      <c r="K126" s="694"/>
      <c r="L126" s="694"/>
      <c r="M126" s="694"/>
      <c r="N126" s="694"/>
      <c r="O126" s="694"/>
      <c r="P126" s="694"/>
      <c r="Q126" s="694"/>
      <c r="R126" s="694"/>
      <c r="S126" s="694"/>
      <c r="T126" s="694"/>
      <c r="U126" s="694"/>
      <c r="V126" s="694"/>
      <c r="W126" s="694"/>
      <c r="X126" s="694"/>
      <c r="Y126" s="694"/>
      <c r="Z126" s="694"/>
      <c r="AA126" s="694"/>
      <c r="AB126" s="694"/>
      <c r="AC126" s="694"/>
      <c r="AD126" s="694"/>
      <c r="AE126" s="694"/>
      <c r="AF126" s="694"/>
      <c r="AG126" s="694"/>
      <c r="AH126" s="694"/>
      <c r="AI126" s="694"/>
      <c r="AJ126" s="694"/>
      <c r="AK126" s="694"/>
      <c r="AL126" s="694"/>
      <c r="AM126" s="694"/>
      <c r="AN126" s="694"/>
      <c r="AO126" s="694"/>
      <c r="AP126" s="694"/>
      <c r="AQ126" s="694"/>
      <c r="AR126" s="694"/>
      <c r="AS126" s="694"/>
      <c r="AT126" s="694"/>
      <c r="AU126" s="694"/>
      <c r="AV126" s="694"/>
      <c r="AW126" s="694"/>
      <c r="AX126" s="694"/>
      <c r="AY126" s="694"/>
      <c r="AZ126" s="694"/>
      <c r="BA126" s="694"/>
      <c r="BB126" s="694"/>
      <c r="BC126" s="694"/>
      <c r="BD126" s="694"/>
      <c r="CK126" s="679" t="b">
        <f>INDEX('J_Transferred GHG'!$A$54:$A$64,ROWS($CI$126:CI126))="ausblenden"</f>
        <v>0</v>
      </c>
    </row>
    <row r="127" spans="1:204" x14ac:dyDescent="0.2">
      <c r="B127" s="700" t="str">
        <f>'J_Transferred GHG'!E55</f>
        <v>TR2</v>
      </c>
      <c r="C127" s="701" t="str">
        <f>IF($B127="","",IF(INDEX('J_Transferred GHG'!$F$54:$F$60,ROWS($A$126:A127))="","",INDEX('J_Transferred GHG'!$F$54:$F$60,ROWS($A$126:A127))))</f>
        <v/>
      </c>
      <c r="D127" s="701" t="str">
        <f>IF($B127="","",IF(INDEX('J_Transferred GHG'!$H$54:$H$60,ROWS($A$126:B127))="","",INDEX('J_Transferred GHG'!$H$54:$H$60,ROWS($A$126:B127))))</f>
        <v/>
      </c>
      <c r="E127" s="701" t="str">
        <f>IF($B127="","",IF(INDEX('J_Transferred GHG'!$J$54:$J$60,ROWS($A$126:C127))="","",INDEX('J_Transferred GHG'!$J$54:$J$60,ROWS($A$126:C127))))</f>
        <v/>
      </c>
      <c r="F127" s="701" t="str">
        <f>IF($B127="","",IF(INDEX('J_Transferred GHG'!$K$54:$K$60,ROWS($A$126:D127))="","",INDEX('J_Transferred GHG'!$K$54:$K$60,ROWS($A$126:D127))))</f>
        <v/>
      </c>
      <c r="G127" s="701" t="str">
        <f>IF($B127="","",IF(INDEX('J_Transferred GHG'!$M$54:$M$60,ROWS($A$126:E127))="","",INDEX('J_Transferred GHG'!$M$54:$M$60,ROWS($A$126:E127))))</f>
        <v/>
      </c>
      <c r="H127" s="694"/>
      <c r="I127" s="694"/>
      <c r="J127" s="694"/>
      <c r="K127" s="694"/>
      <c r="L127" s="694"/>
      <c r="M127" s="694"/>
      <c r="N127" s="694"/>
      <c r="O127" s="694"/>
      <c r="P127" s="694"/>
      <c r="Q127" s="694"/>
      <c r="R127" s="694"/>
      <c r="S127" s="694"/>
      <c r="T127" s="694"/>
      <c r="U127" s="694"/>
      <c r="V127" s="694"/>
      <c r="W127" s="694"/>
      <c r="X127" s="694"/>
      <c r="Y127" s="694"/>
      <c r="Z127" s="694"/>
      <c r="AA127" s="694"/>
      <c r="AB127" s="694"/>
      <c r="AC127" s="694"/>
      <c r="AD127" s="694"/>
      <c r="AE127" s="694"/>
      <c r="AF127" s="694"/>
      <c r="AG127" s="694"/>
      <c r="AH127" s="694"/>
      <c r="AI127" s="694"/>
      <c r="AJ127" s="694"/>
      <c r="AK127" s="694"/>
      <c r="AL127" s="694"/>
      <c r="AM127" s="694"/>
      <c r="AN127" s="694"/>
      <c r="AO127" s="694"/>
      <c r="AP127" s="694"/>
      <c r="AQ127" s="694"/>
      <c r="AR127" s="694"/>
      <c r="AS127" s="694"/>
      <c r="AT127" s="694"/>
      <c r="AU127" s="694"/>
      <c r="AV127" s="694"/>
      <c r="AW127" s="694"/>
      <c r="AX127" s="694"/>
      <c r="AY127" s="694"/>
      <c r="AZ127" s="694"/>
      <c r="BA127" s="694"/>
      <c r="BB127" s="694"/>
      <c r="BC127" s="694"/>
      <c r="BD127" s="694"/>
      <c r="CK127" s="679" t="b">
        <f>INDEX('J_Transferred GHG'!$A$54:$A$64,ROWS($CI$126:CI127))="ausblenden"</f>
        <v>0</v>
      </c>
    </row>
    <row r="128" spans="1:204" x14ac:dyDescent="0.2">
      <c r="B128" s="700" t="str">
        <f>'J_Transferred GHG'!E56</f>
        <v>TR3</v>
      </c>
      <c r="C128" s="701" t="str">
        <f>IF($B128="","",IF(INDEX('J_Transferred GHG'!$F$54:$F$60,ROWS($A$126:A128))="","",INDEX('J_Transferred GHG'!$F$54:$F$60,ROWS($A$126:A128))))</f>
        <v/>
      </c>
      <c r="D128" s="701" t="str">
        <f>IF($B128="","",IF(INDEX('J_Transferred GHG'!$H$54:$H$60,ROWS($A$126:B128))="","",INDEX('J_Transferred GHG'!$H$54:$H$60,ROWS($A$126:B128))))</f>
        <v/>
      </c>
      <c r="E128" s="701" t="str">
        <f>IF($B128="","",IF(INDEX('J_Transferred GHG'!$J$54:$J$60,ROWS($A$126:C128))="","",INDEX('J_Transferred GHG'!$J$54:$J$60,ROWS($A$126:C128))))</f>
        <v/>
      </c>
      <c r="F128" s="701" t="str">
        <f>IF($B128="","",IF(INDEX('J_Transferred GHG'!$K$54:$K$60,ROWS($A$126:D128))="","",INDEX('J_Transferred GHG'!$K$54:$K$60,ROWS($A$126:D128))))</f>
        <v/>
      </c>
      <c r="G128" s="701" t="str">
        <f>IF($B128="","",IF(INDEX('J_Transferred GHG'!$M$54:$M$60,ROWS($A$126:E128))="","",INDEX('J_Transferred GHG'!$M$54:$M$60,ROWS($A$126:E128))))</f>
        <v/>
      </c>
      <c r="H128" s="694"/>
      <c r="I128" s="694"/>
      <c r="J128" s="694"/>
      <c r="K128" s="694"/>
      <c r="L128" s="694"/>
      <c r="M128" s="694"/>
      <c r="N128" s="694"/>
      <c r="O128" s="694"/>
      <c r="P128" s="694"/>
      <c r="Q128" s="694"/>
      <c r="R128" s="694"/>
      <c r="S128" s="694"/>
      <c r="T128" s="694"/>
      <c r="U128" s="694"/>
      <c r="V128" s="694"/>
      <c r="W128" s="694"/>
      <c r="X128" s="694"/>
      <c r="Y128" s="694"/>
      <c r="Z128" s="694"/>
      <c r="AA128" s="694"/>
      <c r="AB128" s="694"/>
      <c r="AC128" s="694"/>
      <c r="AD128" s="694"/>
      <c r="AE128" s="694"/>
      <c r="AF128" s="694"/>
      <c r="AG128" s="694"/>
      <c r="AH128" s="694"/>
      <c r="AI128" s="694"/>
      <c r="AJ128" s="694"/>
      <c r="AK128" s="694"/>
      <c r="AL128" s="694"/>
      <c r="AM128" s="694"/>
      <c r="AN128" s="694"/>
      <c r="AO128" s="694"/>
      <c r="AP128" s="694"/>
      <c r="AQ128" s="694"/>
      <c r="AR128" s="694"/>
      <c r="AS128" s="694"/>
      <c r="AT128" s="694"/>
      <c r="AU128" s="694"/>
      <c r="AV128" s="694"/>
      <c r="AW128" s="694"/>
      <c r="AX128" s="694"/>
      <c r="AY128" s="694"/>
      <c r="AZ128" s="694"/>
      <c r="BA128" s="694"/>
      <c r="BB128" s="694"/>
      <c r="BC128" s="694"/>
      <c r="BD128" s="694"/>
      <c r="CK128" s="679" t="b">
        <f>INDEX('J_Transferred GHG'!$A$54:$A$64,ROWS($CI$126:CI128))="ausblenden"</f>
        <v>0</v>
      </c>
    </row>
    <row r="129" spans="2:89" x14ac:dyDescent="0.2">
      <c r="B129" s="700" t="str">
        <f>'J_Transferred GHG'!E57</f>
        <v>TR4</v>
      </c>
      <c r="C129" s="701" t="str">
        <f>IF($B129="","",IF(INDEX('J_Transferred GHG'!$F$54:$F$60,ROWS($A$126:A129))="","",INDEX('J_Transferred GHG'!$F$54:$F$60,ROWS($A$126:A129))))</f>
        <v/>
      </c>
      <c r="D129" s="701" t="str">
        <f>IF($B129="","",IF(INDEX('J_Transferred GHG'!$H$54:$H$60,ROWS($A$126:B129))="","",INDEX('J_Transferred GHG'!$H$54:$H$60,ROWS($A$126:B129))))</f>
        <v/>
      </c>
      <c r="E129" s="701" t="str">
        <f>IF($B129="","",IF(INDEX('J_Transferred GHG'!$J$54:$J$60,ROWS($A$126:C129))="","",INDEX('J_Transferred GHG'!$J$54:$J$60,ROWS($A$126:C129))))</f>
        <v/>
      </c>
      <c r="F129" s="701" t="str">
        <f>IF($B129="","",IF(INDEX('J_Transferred GHG'!$K$54:$K$60,ROWS($A$126:D129))="","",INDEX('J_Transferred GHG'!$K$54:$K$60,ROWS($A$126:D129))))</f>
        <v/>
      </c>
      <c r="G129" s="701" t="str">
        <f>IF($B129="","",IF(INDEX('J_Transferred GHG'!$M$54:$M$60,ROWS($A$126:E129))="","",INDEX('J_Transferred GHG'!$M$54:$M$60,ROWS($A$126:E129))))</f>
        <v/>
      </c>
      <c r="H129" s="694"/>
      <c r="I129" s="694"/>
      <c r="J129" s="694"/>
      <c r="K129" s="694"/>
      <c r="L129" s="694"/>
      <c r="M129" s="694"/>
      <c r="N129" s="694"/>
      <c r="O129" s="694"/>
      <c r="P129" s="694"/>
      <c r="Q129" s="694"/>
      <c r="R129" s="694"/>
      <c r="S129" s="694"/>
      <c r="T129" s="694"/>
      <c r="U129" s="694"/>
      <c r="V129" s="694"/>
      <c r="W129" s="694"/>
      <c r="X129" s="694"/>
      <c r="Y129" s="694"/>
      <c r="Z129" s="694"/>
      <c r="AA129" s="694"/>
      <c r="AB129" s="694"/>
      <c r="AC129" s="694"/>
      <c r="AD129" s="694"/>
      <c r="AE129" s="694"/>
      <c r="AF129" s="694"/>
      <c r="AG129" s="694"/>
      <c r="AH129" s="694"/>
      <c r="AI129" s="694"/>
      <c r="AJ129" s="694"/>
      <c r="AK129" s="694"/>
      <c r="AL129" s="694"/>
      <c r="AM129" s="694"/>
      <c r="AN129" s="694"/>
      <c r="AO129" s="694"/>
      <c r="AP129" s="694"/>
      <c r="AQ129" s="694"/>
      <c r="AR129" s="694"/>
      <c r="AS129" s="694"/>
      <c r="AT129" s="694"/>
      <c r="AU129" s="694"/>
      <c r="AV129" s="694"/>
      <c r="AW129" s="694"/>
      <c r="AX129" s="694"/>
      <c r="AY129" s="694"/>
      <c r="AZ129" s="694"/>
      <c r="BA129" s="694"/>
      <c r="BB129" s="694"/>
      <c r="BC129" s="694"/>
      <c r="BD129" s="694"/>
      <c r="CK129" s="679" t="b">
        <f>INDEX('J_Transferred GHG'!$A$54:$A$64,ROWS($CI$126:CI129))="ausblenden"</f>
        <v>0</v>
      </c>
    </row>
    <row r="130" spans="2:89" x14ac:dyDescent="0.2">
      <c r="B130" s="700" t="str">
        <f>'J_Transferred GHG'!E58</f>
        <v>TR5</v>
      </c>
      <c r="C130" s="701" t="str">
        <f>IF($B130="","",IF(INDEX('J_Transferred GHG'!$F$54:$F$60,ROWS($A$126:A130))="","",INDEX('J_Transferred GHG'!$F$54:$F$60,ROWS($A$126:A130))))</f>
        <v/>
      </c>
      <c r="D130" s="701" t="str">
        <f>IF($B130="","",IF(INDEX('J_Transferred GHG'!$H$54:$H$60,ROWS($A$126:B130))="","",INDEX('J_Transferred GHG'!$H$54:$H$60,ROWS($A$126:B130))))</f>
        <v/>
      </c>
      <c r="E130" s="701" t="str">
        <f>IF($B130="","",IF(INDEX('J_Transferred GHG'!$J$54:$J$60,ROWS($A$126:C130))="","",INDEX('J_Transferred GHG'!$J$54:$J$60,ROWS($A$126:C130))))</f>
        <v/>
      </c>
      <c r="F130" s="701" t="str">
        <f>IF($B130="","",IF(INDEX('J_Transferred GHG'!$K$54:$K$60,ROWS($A$126:D130))="","",INDEX('J_Transferred GHG'!$K$54:$K$60,ROWS($A$126:D130))))</f>
        <v/>
      </c>
      <c r="G130" s="701" t="str">
        <f>IF($B130="","",IF(INDEX('J_Transferred GHG'!$M$54:$M$60,ROWS($A$126:E130))="","",INDEX('J_Transferred GHG'!$M$54:$M$60,ROWS($A$126:E130))))</f>
        <v/>
      </c>
      <c r="H130" s="694"/>
      <c r="I130" s="694"/>
      <c r="J130" s="694"/>
      <c r="K130" s="694"/>
      <c r="L130" s="694"/>
      <c r="M130" s="694"/>
      <c r="N130" s="694"/>
      <c r="O130" s="694"/>
      <c r="P130" s="694"/>
      <c r="Q130" s="694"/>
      <c r="R130" s="694"/>
      <c r="S130" s="694"/>
      <c r="T130" s="694"/>
      <c r="U130" s="694"/>
      <c r="V130" s="694"/>
      <c r="W130" s="694"/>
      <c r="X130" s="694"/>
      <c r="Y130" s="694"/>
      <c r="Z130" s="694"/>
      <c r="AA130" s="694"/>
      <c r="AB130" s="694"/>
      <c r="AC130" s="694"/>
      <c r="AD130" s="694"/>
      <c r="AE130" s="694"/>
      <c r="AF130" s="694"/>
      <c r="AG130" s="694"/>
      <c r="AH130" s="694"/>
      <c r="AI130" s="694"/>
      <c r="AJ130" s="694"/>
      <c r="AK130" s="694"/>
      <c r="AL130" s="694"/>
      <c r="AM130" s="694"/>
      <c r="AN130" s="694"/>
      <c r="AO130" s="694"/>
      <c r="AP130" s="694"/>
      <c r="AQ130" s="694"/>
      <c r="AR130" s="694"/>
      <c r="AS130" s="694"/>
      <c r="AT130" s="694"/>
      <c r="AU130" s="694"/>
      <c r="AV130" s="694"/>
      <c r="AW130" s="694"/>
      <c r="AX130" s="694"/>
      <c r="AY130" s="694"/>
      <c r="AZ130" s="694"/>
      <c r="BA130" s="694"/>
      <c r="BB130" s="694"/>
      <c r="BC130" s="694"/>
      <c r="BD130" s="694"/>
      <c r="CK130" s="679" t="b">
        <f>INDEX('J_Transferred GHG'!$A$54:$A$64,ROWS($CI$126:CI130))="ausblenden"</f>
        <v>0</v>
      </c>
    </row>
    <row r="131" spans="2:89" x14ac:dyDescent="0.2">
      <c r="B131" s="700" t="str">
        <f>IF(OR(B130="",CK131),"",I_PFC!D70)</f>
        <v/>
      </c>
      <c r="C131" s="701" t="str">
        <f>IF($B131="","",IF(INDEX('J_Transferred GHG'!$F$54:$F$60,ROWS($A$126:A131))="","",INDEX('J_Transferred GHG'!$F$54:$F$60,ROWS($A$126:A131))))</f>
        <v/>
      </c>
      <c r="D131" s="701" t="str">
        <f>IF($B131="","",IF(INDEX('J_Transferred GHG'!$H$54:$H$60,ROWS($A$126:B131))="","",INDEX('J_Transferred GHG'!$H$54:$H$60,ROWS($A$126:B131))))</f>
        <v/>
      </c>
      <c r="E131" s="701" t="str">
        <f>IF($B131="","",IF(INDEX('J_Transferred GHG'!$J$54:$J$60,ROWS($A$126:C131))="","",INDEX('J_Transferred GHG'!$J$54:$J$60,ROWS($A$126:C131))))</f>
        <v/>
      </c>
      <c r="F131" s="701" t="str">
        <f>IF($B131="","",IF(INDEX('J_Transferred GHG'!$K$54:$K$60,ROWS($A$126:D131))="","",INDEX('J_Transferred GHG'!$K$54:$K$60,ROWS($A$126:D131))))</f>
        <v/>
      </c>
      <c r="G131" s="701" t="str">
        <f>IF($B131="","",IF(INDEX('J_Transferred GHG'!$M$54:$M$60,ROWS($A$126:E131))="","",INDEX('J_Transferred GHG'!$M$54:$M$60,ROWS($A$126:E131))))</f>
        <v/>
      </c>
      <c r="H131" s="694"/>
      <c r="I131" s="694"/>
      <c r="J131" s="694"/>
      <c r="K131" s="694"/>
      <c r="L131" s="694"/>
      <c r="M131" s="694"/>
      <c r="N131" s="694"/>
      <c r="O131" s="694"/>
      <c r="P131" s="694"/>
      <c r="Q131" s="694"/>
      <c r="R131" s="694"/>
      <c r="S131" s="694"/>
      <c r="T131" s="694"/>
      <c r="U131" s="694"/>
      <c r="V131" s="694"/>
      <c r="W131" s="694"/>
      <c r="X131" s="694"/>
      <c r="Y131" s="694"/>
      <c r="Z131" s="694"/>
      <c r="AA131" s="694"/>
      <c r="AB131" s="694"/>
      <c r="AC131" s="694"/>
      <c r="AD131" s="694"/>
      <c r="AE131" s="694"/>
      <c r="AF131" s="694"/>
      <c r="AG131" s="694"/>
      <c r="AH131" s="694"/>
      <c r="AI131" s="694"/>
      <c r="AJ131" s="694"/>
      <c r="AK131" s="694"/>
      <c r="AL131" s="694"/>
      <c r="AM131" s="694"/>
      <c r="AN131" s="694"/>
      <c r="AO131" s="694"/>
      <c r="AP131" s="694"/>
      <c r="AQ131" s="694"/>
      <c r="AR131" s="694"/>
      <c r="AS131" s="694"/>
      <c r="AT131" s="694"/>
      <c r="AU131" s="694"/>
      <c r="AV131" s="694"/>
      <c r="AW131" s="694"/>
      <c r="AX131" s="694"/>
      <c r="AY131" s="694"/>
      <c r="AZ131" s="694"/>
      <c r="BA131" s="694"/>
      <c r="BB131" s="694"/>
      <c r="BC131" s="694"/>
      <c r="BD131" s="694"/>
      <c r="CK131" s="679" t="b">
        <f>INDEX('J_Transferred GHG'!$A$54:$A$64,ROWS($CI$126:CI131))="ausblenden"</f>
        <v>1</v>
      </c>
    </row>
    <row r="132" spans="2:89" x14ac:dyDescent="0.2">
      <c r="B132" s="700" t="str">
        <f>IF(OR(B131="",CK132),"",I_PFC!D71)</f>
        <v/>
      </c>
      <c r="C132" s="701" t="str">
        <f>IF($B132="","",IF(INDEX('J_Transferred GHG'!$F$54:$F$60,ROWS($A$126:A132))="","",INDEX('J_Transferred GHG'!$F$54:$F$60,ROWS($A$126:A132))))</f>
        <v/>
      </c>
      <c r="D132" s="701" t="str">
        <f>IF($B132="","",IF(INDEX('J_Transferred GHG'!$H$54:$H$60,ROWS($A$126:B132))="","",INDEX('J_Transferred GHG'!$H$54:$H$60,ROWS($A$126:B132))))</f>
        <v/>
      </c>
      <c r="E132" s="701" t="str">
        <f>IF($B132="","",IF(INDEX('J_Transferred GHG'!$J$54:$J$60,ROWS($A$126:C132))="","",INDEX('J_Transferred GHG'!$J$54:$J$60,ROWS($A$126:C132))))</f>
        <v/>
      </c>
      <c r="F132" s="701" t="str">
        <f>IF($B132="","",IF(INDEX('J_Transferred GHG'!$K$54:$K$60,ROWS($A$126:D132))="","",INDEX('J_Transferred GHG'!$K$54:$K$60,ROWS($A$126:D132))))</f>
        <v/>
      </c>
      <c r="G132" s="701" t="str">
        <f>IF($B132="","",IF(INDEX('J_Transferred GHG'!$M$54:$M$60,ROWS($A$126:E132))="","",INDEX('J_Transferred GHG'!$M$54:$M$60,ROWS($A$126:E132))))</f>
        <v/>
      </c>
      <c r="H132" s="694"/>
      <c r="I132" s="694"/>
      <c r="J132" s="694"/>
      <c r="K132" s="694"/>
      <c r="L132" s="694"/>
      <c r="M132" s="694"/>
      <c r="N132" s="694"/>
      <c r="O132" s="694"/>
      <c r="P132" s="694"/>
      <c r="Q132" s="694"/>
      <c r="R132" s="694"/>
      <c r="S132" s="694"/>
      <c r="T132" s="694"/>
      <c r="U132" s="694"/>
      <c r="V132" s="694"/>
      <c r="W132" s="694"/>
      <c r="X132" s="694"/>
      <c r="Y132" s="694"/>
      <c r="Z132" s="694"/>
      <c r="AA132" s="694"/>
      <c r="AB132" s="694"/>
      <c r="AC132" s="694"/>
      <c r="AD132" s="694"/>
      <c r="AE132" s="694"/>
      <c r="AF132" s="694"/>
      <c r="AG132" s="694"/>
      <c r="AH132" s="694"/>
      <c r="AI132" s="694"/>
      <c r="AJ132" s="694"/>
      <c r="AK132" s="694"/>
      <c r="AL132" s="694"/>
      <c r="AM132" s="694"/>
      <c r="AN132" s="694"/>
      <c r="AO132" s="694"/>
      <c r="AP132" s="694"/>
      <c r="AQ132" s="694"/>
      <c r="AR132" s="694"/>
      <c r="AS132" s="694"/>
      <c r="AT132" s="694"/>
      <c r="AU132" s="694"/>
      <c r="AV132" s="694"/>
      <c r="AW132" s="694"/>
      <c r="AX132" s="694"/>
      <c r="AY132" s="694"/>
      <c r="AZ132" s="694"/>
      <c r="BA132" s="694"/>
      <c r="BB132" s="694"/>
      <c r="BC132" s="694"/>
      <c r="BD132" s="694"/>
      <c r="CK132" s="679" t="b">
        <f>INDEX('J_Transferred GHG'!$A$54:$A$64,ROWS($CI$126:CI132))="ausblenden"</f>
        <v>0</v>
      </c>
    </row>
    <row r="133" spans="2:89" x14ac:dyDescent="0.2">
      <c r="B133" s="700" t="str">
        <f>IF(OR(B132="",CK133),"",I_PFC!D72)</f>
        <v/>
      </c>
      <c r="C133" s="701" t="str">
        <f>IF($B133="","",IF(INDEX('J_Transferred GHG'!$F$54:$F$60,ROWS($A$126:A133))="","",INDEX('J_Transferred GHG'!$F$54:$F$60,ROWS($A$126:A133))))</f>
        <v/>
      </c>
      <c r="D133" s="701" t="str">
        <f>IF($B133="","",IF(INDEX('J_Transferred GHG'!$H$54:$H$60,ROWS($A$126:B133))="","",INDEX('J_Transferred GHG'!$H$54:$H$60,ROWS($A$126:B133))))</f>
        <v/>
      </c>
      <c r="E133" s="701" t="str">
        <f>IF($B133="","",IF(INDEX('J_Transferred GHG'!$J$54:$J$60,ROWS($A$126:C133))="","",INDEX('J_Transferred GHG'!$J$54:$J$60,ROWS($A$126:C133))))</f>
        <v/>
      </c>
      <c r="F133" s="701" t="str">
        <f>IF($B133="","",IF(INDEX('J_Transferred GHG'!$K$54:$K$60,ROWS($A$126:D133))="","",INDEX('J_Transferred GHG'!$K$54:$K$60,ROWS($A$126:D133))))</f>
        <v/>
      </c>
      <c r="G133" s="701" t="str">
        <f>IF($B133="","",IF(INDEX('J_Transferred GHG'!$M$54:$M$60,ROWS($A$126:E133))="","",INDEX('J_Transferred GHG'!$M$54:$M$60,ROWS($A$126:E133))))</f>
        <v/>
      </c>
      <c r="H133" s="694"/>
      <c r="I133" s="694"/>
      <c r="J133" s="694"/>
      <c r="K133" s="694"/>
      <c r="L133" s="694"/>
      <c r="M133" s="694"/>
      <c r="N133" s="694"/>
      <c r="O133" s="694"/>
      <c r="P133" s="694"/>
      <c r="Q133" s="694"/>
      <c r="R133" s="694"/>
      <c r="S133" s="694"/>
      <c r="T133" s="694"/>
      <c r="U133" s="694"/>
      <c r="V133" s="694"/>
      <c r="W133" s="694"/>
      <c r="X133" s="694"/>
      <c r="Y133" s="694"/>
      <c r="Z133" s="694"/>
      <c r="AA133" s="694"/>
      <c r="AB133" s="694"/>
      <c r="AC133" s="694"/>
      <c r="AD133" s="694"/>
      <c r="AE133" s="694"/>
      <c r="AF133" s="694"/>
      <c r="AG133" s="694"/>
      <c r="AH133" s="694"/>
      <c r="AI133" s="694"/>
      <c r="AJ133" s="694"/>
      <c r="AK133" s="694"/>
      <c r="AL133" s="694"/>
      <c r="AM133" s="694"/>
      <c r="AN133" s="694"/>
      <c r="AO133" s="694"/>
      <c r="AP133" s="694"/>
      <c r="AQ133" s="694"/>
      <c r="AR133" s="694"/>
      <c r="AS133" s="694"/>
      <c r="AT133" s="694"/>
      <c r="AU133" s="694"/>
      <c r="AV133" s="694"/>
      <c r="AW133" s="694"/>
      <c r="AX133" s="694"/>
      <c r="AY133" s="694"/>
      <c r="AZ133" s="694"/>
      <c r="BA133" s="694"/>
      <c r="BB133" s="694"/>
      <c r="BC133" s="694"/>
      <c r="BD133" s="694"/>
      <c r="CK133" s="679" t="b">
        <f>INDEX('J_Transferred GHG'!$A$54:$A$64,ROWS($CI$126:CI133))="ausblenden"</f>
        <v>0</v>
      </c>
    </row>
    <row r="134" spans="2:89" x14ac:dyDescent="0.2">
      <c r="B134" s="700" t="str">
        <f>IF(OR(B133="",CK134),"",I_PFC!D73)</f>
        <v/>
      </c>
      <c r="C134" s="701" t="str">
        <f>IF($B134="","",IF(INDEX('J_Transferred GHG'!$F$54:$F$60,ROWS($A$126:A134))="","",INDEX('J_Transferred GHG'!$F$54:$F$60,ROWS($A$126:A134))))</f>
        <v/>
      </c>
      <c r="D134" s="701" t="str">
        <f>IF($B134="","",IF(INDEX('J_Transferred GHG'!$H$54:$H$60,ROWS($A$126:B134))="","",INDEX('J_Transferred GHG'!$H$54:$H$60,ROWS($A$126:B134))))</f>
        <v/>
      </c>
      <c r="E134" s="701" t="str">
        <f>IF($B134="","",IF(INDEX('J_Transferred GHG'!$J$54:$J$60,ROWS($A$126:C134))="","",INDEX('J_Transferred GHG'!$J$54:$J$60,ROWS($A$126:C134))))</f>
        <v/>
      </c>
      <c r="F134" s="701" t="str">
        <f>IF($B134="","",IF(INDEX('J_Transferred GHG'!$K$54:$K$60,ROWS($A$126:D134))="","",INDEX('J_Transferred GHG'!$K$54:$K$60,ROWS($A$126:D134))))</f>
        <v/>
      </c>
      <c r="G134" s="701" t="str">
        <f>IF($B134="","",IF(INDEX('J_Transferred GHG'!$M$54:$M$60,ROWS($A$126:E134))="","",INDEX('J_Transferred GHG'!$M$54:$M$60,ROWS($A$126:E134))))</f>
        <v/>
      </c>
      <c r="H134" s="694"/>
      <c r="I134" s="694"/>
      <c r="J134" s="694"/>
      <c r="K134" s="694"/>
      <c r="L134" s="694"/>
      <c r="M134" s="694"/>
      <c r="N134" s="694"/>
      <c r="O134" s="694"/>
      <c r="P134" s="694"/>
      <c r="Q134" s="694"/>
      <c r="R134" s="694"/>
      <c r="S134" s="694"/>
      <c r="T134" s="694"/>
      <c r="U134" s="694"/>
      <c r="V134" s="694"/>
      <c r="W134" s="694"/>
      <c r="X134" s="694"/>
      <c r="Y134" s="694"/>
      <c r="Z134" s="694"/>
      <c r="AA134" s="694"/>
      <c r="AB134" s="694"/>
      <c r="AC134" s="694"/>
      <c r="AD134" s="694"/>
      <c r="AE134" s="694"/>
      <c r="AF134" s="694"/>
      <c r="AG134" s="694"/>
      <c r="AH134" s="694"/>
      <c r="AI134" s="694"/>
      <c r="AJ134" s="694"/>
      <c r="AK134" s="694"/>
      <c r="AL134" s="694"/>
      <c r="AM134" s="694"/>
      <c r="AN134" s="694"/>
      <c r="AO134" s="694"/>
      <c r="AP134" s="694"/>
      <c r="AQ134" s="694"/>
      <c r="AR134" s="694"/>
      <c r="AS134" s="694"/>
      <c r="AT134" s="694"/>
      <c r="AU134" s="694"/>
      <c r="AV134" s="694"/>
      <c r="AW134" s="694"/>
      <c r="AX134" s="694"/>
      <c r="AY134" s="694"/>
      <c r="AZ134" s="694"/>
      <c r="BA134" s="694"/>
      <c r="BB134" s="694"/>
      <c r="BC134" s="694"/>
      <c r="BD134" s="694"/>
      <c r="CK134" s="679" t="b">
        <f>INDEX('J_Transferred GHG'!$A$54:$A$64,ROWS($CI$126:CI134))="ausblenden"</f>
        <v>0</v>
      </c>
    </row>
    <row r="135" spans="2:89" x14ac:dyDescent="0.2">
      <c r="B135" s="700" t="str">
        <f>IF(OR(B134="",CK135),"",I_PFC!D74)</f>
        <v/>
      </c>
      <c r="C135" s="701" t="str">
        <f>IF($B135="","",IF(INDEX('J_Transferred GHG'!$F$54:$F$60,ROWS($A$126:A135))="","",INDEX('J_Transferred GHG'!$F$54:$F$60,ROWS($A$126:A135))))</f>
        <v/>
      </c>
      <c r="D135" s="701" t="str">
        <f>IF($B135="","",IF(INDEX('J_Transferred GHG'!$H$54:$H$60,ROWS($A$126:B135))="","",INDEX('J_Transferred GHG'!$H$54:$H$60,ROWS($A$126:B135))))</f>
        <v/>
      </c>
      <c r="E135" s="701" t="str">
        <f>IF($B135="","",IF(INDEX('J_Transferred GHG'!$J$54:$J$60,ROWS($A$126:C135))="","",INDEX('J_Transferred GHG'!$J$54:$J$60,ROWS($A$126:C135))))</f>
        <v/>
      </c>
      <c r="F135" s="701" t="str">
        <f>IF($B135="","",IF(INDEX('J_Transferred GHG'!$K$54:$K$60,ROWS($A$126:D135))="","",INDEX('J_Transferred GHG'!$K$54:$K$60,ROWS($A$126:D135))))</f>
        <v/>
      </c>
      <c r="G135" s="701" t="str">
        <f>IF($B135="","",IF(INDEX('J_Transferred GHG'!$M$54:$M$60,ROWS($A$126:E135))="","",INDEX('J_Transferred GHG'!$M$54:$M$60,ROWS($A$126:E135))))</f>
        <v/>
      </c>
      <c r="H135" s="694"/>
      <c r="I135" s="694"/>
      <c r="J135" s="694"/>
      <c r="K135" s="694"/>
      <c r="L135" s="694"/>
      <c r="M135" s="694"/>
      <c r="N135" s="694"/>
      <c r="O135" s="694"/>
      <c r="P135" s="694"/>
      <c r="Q135" s="694"/>
      <c r="R135" s="694"/>
      <c r="S135" s="694"/>
      <c r="T135" s="694"/>
      <c r="U135" s="694"/>
      <c r="V135" s="694"/>
      <c r="W135" s="694"/>
      <c r="X135" s="694"/>
      <c r="Y135" s="694"/>
      <c r="Z135" s="694"/>
      <c r="AA135" s="694"/>
      <c r="AB135" s="694"/>
      <c r="AC135" s="694"/>
      <c r="AD135" s="694"/>
      <c r="AE135" s="694"/>
      <c r="AF135" s="694"/>
      <c r="AG135" s="694"/>
      <c r="AH135" s="694"/>
      <c r="AI135" s="694"/>
      <c r="AJ135" s="694"/>
      <c r="AK135" s="694"/>
      <c r="AL135" s="694"/>
      <c r="AM135" s="694"/>
      <c r="AN135" s="694"/>
      <c r="AO135" s="694"/>
      <c r="AP135" s="694"/>
      <c r="AQ135" s="694"/>
      <c r="AR135" s="694"/>
      <c r="AS135" s="694"/>
      <c r="AT135" s="694"/>
      <c r="AU135" s="694"/>
      <c r="AV135" s="694"/>
      <c r="AW135" s="694"/>
      <c r="AX135" s="694"/>
      <c r="AY135" s="694"/>
      <c r="AZ135" s="694"/>
      <c r="BA135" s="694"/>
      <c r="BB135" s="694"/>
      <c r="BC135" s="694"/>
      <c r="BD135" s="694"/>
      <c r="CK135" s="679" t="b">
        <f>INDEX('J_Transferred GHG'!$A$54:$A$64,ROWS($CI$126:CI135))="ausblenden"</f>
        <v>0</v>
      </c>
    </row>
    <row r="136" spans="2:89" x14ac:dyDescent="0.2">
      <c r="T136" s="694"/>
      <c r="U136" s="694"/>
    </row>
    <row r="137" spans="2:89" x14ac:dyDescent="0.2">
      <c r="T137" s="694"/>
      <c r="U137" s="694"/>
    </row>
    <row r="138" spans="2:89" x14ac:dyDescent="0.2">
      <c r="T138" s="694"/>
      <c r="U138" s="694"/>
    </row>
    <row r="139" spans="2:89" x14ac:dyDescent="0.2">
      <c r="T139" s="694"/>
      <c r="U139" s="694"/>
    </row>
  </sheetData>
  <sheetProtection sheet="1" objects="1" scenarios="1" formatCells="0" formatColumns="0" formatRows="0"/>
  <mergeCells count="19">
    <mergeCell ref="AO109:AV109"/>
    <mergeCell ref="AW109:BB109"/>
    <mergeCell ref="AV9:BC9"/>
    <mergeCell ref="BD9:BK9"/>
    <mergeCell ref="BL9:BS9"/>
    <mergeCell ref="AN9:AU9"/>
    <mergeCell ref="N3:T3"/>
    <mergeCell ref="Z3:AF3"/>
    <mergeCell ref="I89:M89"/>
    <mergeCell ref="J109:L109"/>
    <mergeCell ref="M109:O109"/>
    <mergeCell ref="P109:R109"/>
    <mergeCell ref="S109:U109"/>
    <mergeCell ref="V109:X109"/>
    <mergeCell ref="Y109:AF109"/>
    <mergeCell ref="O9:S9"/>
    <mergeCell ref="X9:AE9"/>
    <mergeCell ref="AF9:AM9"/>
    <mergeCell ref="AG109:AN109"/>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tabColor indexed="11"/>
  </sheetPr>
  <dimension ref="A1:K33"/>
  <sheetViews>
    <sheetView workbookViewId="0">
      <selection sqref="A1:IV65536"/>
    </sheetView>
  </sheetViews>
  <sheetFormatPr defaultColWidth="9.140625" defaultRowHeight="12.75" x14ac:dyDescent="0.2"/>
  <cols>
    <col min="1" max="1" width="9.140625" customWidth="1"/>
    <col min="2" max="2" width="34.42578125" customWidth="1"/>
    <col min="3" max="9" width="9.140625" style="584" customWidth="1"/>
    <col min="10" max="10" width="32.28515625" style="584" customWidth="1"/>
    <col min="11" max="11" width="32.28515625" customWidth="1"/>
  </cols>
  <sheetData>
    <row r="1" spans="1:11" ht="23.25" x14ac:dyDescent="0.35">
      <c r="A1" s="587" t="s">
        <v>156</v>
      </c>
    </row>
    <row r="3" spans="1:11" x14ac:dyDescent="0.2">
      <c r="B3" s="1268" t="s">
        <v>134</v>
      </c>
      <c r="C3" s="580"/>
      <c r="D3" s="1271" t="s">
        <v>128</v>
      </c>
      <c r="E3" s="1273"/>
      <c r="F3" s="1271" t="s">
        <v>133</v>
      </c>
      <c r="G3" s="1272"/>
      <c r="H3" s="1272"/>
      <c r="I3" s="1273"/>
      <c r="J3" s="1274" t="s">
        <v>136</v>
      </c>
      <c r="K3" s="1274" t="s">
        <v>132</v>
      </c>
    </row>
    <row r="4" spans="1:11" x14ac:dyDescent="0.2">
      <c r="B4" s="1269"/>
      <c r="C4" s="580"/>
      <c r="D4" s="580" t="s">
        <v>129</v>
      </c>
      <c r="E4" s="580" t="s">
        <v>131</v>
      </c>
      <c r="F4" s="580" t="s">
        <v>130</v>
      </c>
      <c r="G4" s="580" t="s">
        <v>130</v>
      </c>
      <c r="H4" s="580" t="s">
        <v>130</v>
      </c>
      <c r="I4" s="580" t="s">
        <v>130</v>
      </c>
      <c r="J4" s="1274"/>
      <c r="K4" s="1274"/>
    </row>
    <row r="5" spans="1:11" x14ac:dyDescent="0.2">
      <c r="B5" s="1270"/>
      <c r="C5" s="580" t="s">
        <v>119</v>
      </c>
      <c r="D5" s="1271" t="s">
        <v>119</v>
      </c>
      <c r="E5" s="1273"/>
      <c r="F5" s="580" t="s">
        <v>119</v>
      </c>
      <c r="G5" s="580" t="s">
        <v>119</v>
      </c>
      <c r="H5" s="580" t="s">
        <v>119</v>
      </c>
      <c r="I5" s="580" t="s">
        <v>119</v>
      </c>
      <c r="J5" s="1274"/>
      <c r="K5" s="1274"/>
    </row>
    <row r="6" spans="1:11" x14ac:dyDescent="0.2">
      <c r="B6" s="581" t="s">
        <v>137</v>
      </c>
      <c r="C6" s="585">
        <v>1</v>
      </c>
      <c r="D6" s="585" t="s">
        <v>123</v>
      </c>
      <c r="E6" s="585" t="s">
        <v>123</v>
      </c>
      <c r="F6" s="285" t="s">
        <v>126</v>
      </c>
      <c r="G6" s="285" t="s">
        <v>127</v>
      </c>
      <c r="H6" s="285" t="s">
        <v>135</v>
      </c>
      <c r="I6" s="285"/>
      <c r="J6" s="582" t="s">
        <v>1353</v>
      </c>
      <c r="K6" s="583"/>
    </row>
    <row r="7" spans="1:11" x14ac:dyDescent="0.2">
      <c r="B7" s="581"/>
      <c r="C7" s="585"/>
      <c r="D7" s="1266">
        <v>1</v>
      </c>
      <c r="E7" s="1267"/>
      <c r="F7" s="285">
        <v>1</v>
      </c>
      <c r="G7" s="285">
        <v>1</v>
      </c>
      <c r="H7" s="285">
        <v>1</v>
      </c>
      <c r="I7" s="285"/>
      <c r="J7" s="582"/>
      <c r="K7" s="583"/>
    </row>
    <row r="8" spans="1:11" x14ac:dyDescent="0.2">
      <c r="B8" s="581" t="s">
        <v>117</v>
      </c>
      <c r="C8" s="585">
        <v>1</v>
      </c>
      <c r="D8" s="585" t="s">
        <v>123</v>
      </c>
      <c r="E8" s="585" t="s">
        <v>123</v>
      </c>
      <c r="F8" s="285" t="s">
        <v>126</v>
      </c>
      <c r="G8" s="285" t="s">
        <v>127</v>
      </c>
      <c r="H8" s="285" t="s">
        <v>135</v>
      </c>
      <c r="I8" s="285"/>
      <c r="J8" s="582" t="s">
        <v>903</v>
      </c>
      <c r="K8" s="583"/>
    </row>
    <row r="9" spans="1:11" x14ac:dyDescent="0.2">
      <c r="B9" s="581"/>
      <c r="C9" s="585"/>
      <c r="D9" s="1266">
        <v>1</v>
      </c>
      <c r="E9" s="1267"/>
      <c r="F9" s="285">
        <v>1</v>
      </c>
      <c r="G9" s="285">
        <v>1</v>
      </c>
      <c r="H9" s="285">
        <v>1</v>
      </c>
      <c r="I9" s="285"/>
      <c r="J9" s="582"/>
      <c r="K9" s="583"/>
    </row>
    <row r="10" spans="1:11" x14ac:dyDescent="0.2">
      <c r="B10" s="581" t="s">
        <v>138</v>
      </c>
      <c r="C10" s="585">
        <v>1</v>
      </c>
      <c r="D10" s="585" t="s">
        <v>123</v>
      </c>
      <c r="E10" s="585" t="s">
        <v>123</v>
      </c>
      <c r="F10" s="285" t="s">
        <v>126</v>
      </c>
      <c r="G10" s="285" t="s">
        <v>127</v>
      </c>
      <c r="H10" s="285" t="s">
        <v>135</v>
      </c>
      <c r="I10" s="285"/>
      <c r="J10" s="582" t="s">
        <v>1384</v>
      </c>
      <c r="K10" s="583" t="s">
        <v>6</v>
      </c>
    </row>
    <row r="11" spans="1:11" x14ac:dyDescent="0.2">
      <c r="B11" s="581"/>
      <c r="C11" s="585"/>
      <c r="D11" s="1266">
        <v>1</v>
      </c>
      <c r="E11" s="1267"/>
      <c r="F11" s="285">
        <v>1</v>
      </c>
      <c r="G11" s="285">
        <v>1</v>
      </c>
      <c r="H11" s="285">
        <v>1</v>
      </c>
      <c r="I11" s="285"/>
      <c r="J11" s="582"/>
      <c r="K11" s="583"/>
    </row>
    <row r="12" spans="1:11" x14ac:dyDescent="0.2">
      <c r="B12" s="581" t="s">
        <v>144</v>
      </c>
      <c r="C12" s="585">
        <v>1</v>
      </c>
      <c r="D12" s="585" t="s">
        <v>123</v>
      </c>
      <c r="E12" s="585" t="s">
        <v>123</v>
      </c>
      <c r="F12" s="285" t="s">
        <v>126</v>
      </c>
      <c r="G12" s="285" t="s">
        <v>127</v>
      </c>
      <c r="H12" s="285" t="s">
        <v>135</v>
      </c>
      <c r="I12" s="285"/>
      <c r="J12" s="582" t="s">
        <v>1372</v>
      </c>
      <c r="K12" s="583" t="s">
        <v>1375</v>
      </c>
    </row>
    <row r="13" spans="1:11" x14ac:dyDescent="0.2">
      <c r="B13" s="581"/>
      <c r="C13" s="585"/>
      <c r="D13" s="1266">
        <v>1</v>
      </c>
      <c r="E13" s="1267"/>
      <c r="F13" s="285">
        <v>1</v>
      </c>
      <c r="G13" s="285">
        <v>1</v>
      </c>
      <c r="H13" s="285">
        <v>1</v>
      </c>
      <c r="I13" s="285"/>
      <c r="J13" s="582"/>
      <c r="K13" s="583"/>
    </row>
    <row r="14" spans="1:11" x14ac:dyDescent="0.2">
      <c r="B14" s="581" t="s">
        <v>143</v>
      </c>
      <c r="C14" s="585">
        <v>1</v>
      </c>
      <c r="D14" s="585"/>
      <c r="E14" s="585"/>
      <c r="F14" s="285" t="s">
        <v>125</v>
      </c>
      <c r="G14" s="285"/>
      <c r="H14" s="285"/>
      <c r="I14" s="285"/>
      <c r="J14" s="582" t="s">
        <v>1508</v>
      </c>
      <c r="K14" s="583" t="s">
        <v>118</v>
      </c>
    </row>
    <row r="15" spans="1:11" x14ac:dyDescent="0.2">
      <c r="B15" s="581"/>
      <c r="C15" s="585"/>
      <c r="D15" s="1266"/>
      <c r="E15" s="1267"/>
      <c r="F15" s="285">
        <v>1</v>
      </c>
      <c r="G15" s="285"/>
      <c r="H15" s="285"/>
      <c r="I15" s="285"/>
      <c r="J15" s="582"/>
      <c r="K15" s="583"/>
    </row>
    <row r="16" spans="1:11" x14ac:dyDescent="0.2">
      <c r="B16" s="581" t="s">
        <v>142</v>
      </c>
      <c r="C16" s="585">
        <v>1</v>
      </c>
      <c r="D16" s="585" t="s">
        <v>801</v>
      </c>
      <c r="E16" s="585" t="s">
        <v>801</v>
      </c>
      <c r="F16" s="285"/>
      <c r="G16" s="285"/>
      <c r="H16" s="285"/>
      <c r="I16" s="285"/>
      <c r="J16" s="582" t="s">
        <v>2</v>
      </c>
      <c r="K16" s="583"/>
    </row>
    <row r="17" spans="2:11" x14ac:dyDescent="0.2">
      <c r="B17" s="581"/>
      <c r="C17" s="585"/>
      <c r="D17" s="1266">
        <v>1</v>
      </c>
      <c r="E17" s="1267"/>
      <c r="F17" s="285"/>
      <c r="G17" s="285"/>
      <c r="H17" s="285"/>
      <c r="I17" s="285"/>
      <c r="J17" s="582"/>
      <c r="K17" s="583"/>
    </row>
    <row r="18" spans="2:11" x14ac:dyDescent="0.2">
      <c r="B18" s="581" t="s">
        <v>141</v>
      </c>
      <c r="C18" s="585">
        <v>1</v>
      </c>
      <c r="D18" s="585" t="s">
        <v>801</v>
      </c>
      <c r="E18" s="585" t="s">
        <v>801</v>
      </c>
      <c r="F18" s="285"/>
      <c r="G18" s="285"/>
      <c r="H18" s="285"/>
      <c r="I18" s="285"/>
      <c r="J18" s="582" t="s">
        <v>859</v>
      </c>
      <c r="K18" s="583"/>
    </row>
    <row r="19" spans="2:11" x14ac:dyDescent="0.2">
      <c r="B19" s="581"/>
      <c r="C19" s="585"/>
      <c r="D19" s="1266">
        <v>1</v>
      </c>
      <c r="E19" s="1267"/>
      <c r="F19" s="285"/>
      <c r="G19" s="285"/>
      <c r="H19" s="285"/>
      <c r="I19" s="285"/>
      <c r="J19" s="582"/>
      <c r="K19" s="583"/>
    </row>
    <row r="20" spans="2:11" x14ac:dyDescent="0.2">
      <c r="B20" s="581" t="s">
        <v>139</v>
      </c>
      <c r="C20" s="585">
        <v>1</v>
      </c>
      <c r="D20" s="585" t="s">
        <v>123</v>
      </c>
      <c r="E20" s="585" t="s">
        <v>123</v>
      </c>
      <c r="F20" s="285" t="s">
        <v>126</v>
      </c>
      <c r="G20" s="285" t="s">
        <v>127</v>
      </c>
      <c r="H20" s="285" t="s">
        <v>135</v>
      </c>
      <c r="I20" s="285"/>
      <c r="J20" s="582" t="s">
        <v>4</v>
      </c>
      <c r="K20" s="583"/>
    </row>
    <row r="21" spans="2:11" x14ac:dyDescent="0.2">
      <c r="B21" s="581"/>
      <c r="C21" s="585"/>
      <c r="D21" s="1266">
        <v>1</v>
      </c>
      <c r="E21" s="1267"/>
      <c r="F21" s="285">
        <v>1</v>
      </c>
      <c r="G21" s="285">
        <v>1</v>
      </c>
      <c r="H21" s="285">
        <v>1</v>
      </c>
      <c r="I21" s="285"/>
      <c r="J21" s="582"/>
      <c r="K21" s="583"/>
    </row>
    <row r="22" spans="2:11" x14ac:dyDescent="0.2">
      <c r="B22" s="581" t="s">
        <v>140</v>
      </c>
      <c r="C22" s="585">
        <v>1</v>
      </c>
      <c r="D22" s="585" t="s">
        <v>123</v>
      </c>
      <c r="E22" s="585" t="s">
        <v>123</v>
      </c>
      <c r="F22" s="285" t="s">
        <v>126</v>
      </c>
      <c r="G22" s="285" t="s">
        <v>127</v>
      </c>
      <c r="H22" s="285" t="s">
        <v>135</v>
      </c>
      <c r="I22" s="285"/>
      <c r="J22" s="582" t="s">
        <v>3</v>
      </c>
      <c r="K22" s="583"/>
    </row>
    <row r="23" spans="2:11" x14ac:dyDescent="0.2">
      <c r="B23" s="581"/>
      <c r="C23" s="585"/>
      <c r="D23" s="1266">
        <v>1</v>
      </c>
      <c r="E23" s="1267"/>
      <c r="F23" s="285">
        <v>1</v>
      </c>
      <c r="G23" s="285">
        <v>1</v>
      </c>
      <c r="H23" s="285">
        <v>1</v>
      </c>
      <c r="I23" s="285"/>
      <c r="J23" s="582"/>
      <c r="K23" s="583"/>
    </row>
    <row r="24" spans="2:11" x14ac:dyDescent="0.2">
      <c r="B24" s="581" t="s">
        <v>121</v>
      </c>
      <c r="C24" s="585">
        <v>2</v>
      </c>
      <c r="D24" s="585" t="s">
        <v>123</v>
      </c>
      <c r="E24" s="585" t="s">
        <v>123</v>
      </c>
      <c r="F24" s="285" t="s">
        <v>124</v>
      </c>
      <c r="G24" s="285" t="s">
        <v>125</v>
      </c>
      <c r="H24" s="285" t="s">
        <v>126</v>
      </c>
      <c r="I24" s="285" t="s">
        <v>127</v>
      </c>
      <c r="J24" s="582" t="s">
        <v>7</v>
      </c>
      <c r="K24" s="583"/>
    </row>
    <row r="25" spans="2:11" x14ac:dyDescent="0.2">
      <c r="B25" s="581"/>
      <c r="C25" s="585"/>
      <c r="D25" s="1266">
        <v>2</v>
      </c>
      <c r="E25" s="1267"/>
      <c r="F25" s="285">
        <v>1</v>
      </c>
      <c r="G25" s="285">
        <v>2</v>
      </c>
      <c r="H25" s="285">
        <v>2</v>
      </c>
      <c r="I25" s="285">
        <v>1</v>
      </c>
      <c r="J25" s="582"/>
      <c r="K25" s="583"/>
    </row>
    <row r="26" spans="2:11" x14ac:dyDescent="0.2">
      <c r="B26" s="581" t="s">
        <v>122</v>
      </c>
      <c r="C26" s="585">
        <v>2</v>
      </c>
      <c r="D26" s="585" t="s">
        <v>1188</v>
      </c>
      <c r="E26" s="585" t="s">
        <v>120</v>
      </c>
      <c r="F26" s="285" t="s">
        <v>124</v>
      </c>
      <c r="G26" s="285" t="s">
        <v>125</v>
      </c>
      <c r="H26" s="285" t="s">
        <v>126</v>
      </c>
      <c r="I26" s="285" t="s">
        <v>127</v>
      </c>
      <c r="J26" s="582" t="s">
        <v>7</v>
      </c>
      <c r="K26" s="583"/>
    </row>
    <row r="27" spans="2:11" x14ac:dyDescent="0.2">
      <c r="B27" s="581"/>
      <c r="C27" s="585"/>
      <c r="D27" s="1266">
        <v>2</v>
      </c>
      <c r="E27" s="1267"/>
      <c r="F27" s="285">
        <v>1</v>
      </c>
      <c r="G27" s="285">
        <v>2</v>
      </c>
      <c r="H27" s="285">
        <v>2</v>
      </c>
      <c r="I27" s="285">
        <v>1</v>
      </c>
      <c r="J27" s="582"/>
      <c r="K27" s="583"/>
    </row>
    <row r="28" spans="2:11" x14ac:dyDescent="0.2">
      <c r="B28" s="581" t="s">
        <v>145</v>
      </c>
      <c r="C28" s="585">
        <v>1</v>
      </c>
      <c r="D28" s="585" t="s">
        <v>123</v>
      </c>
      <c r="E28" s="585" t="s">
        <v>123</v>
      </c>
      <c r="F28" s="285"/>
      <c r="G28" s="285"/>
      <c r="H28" s="285"/>
      <c r="I28" s="285"/>
      <c r="J28" s="582" t="s">
        <v>34</v>
      </c>
      <c r="K28" s="583"/>
    </row>
    <row r="29" spans="2:11" x14ac:dyDescent="0.2">
      <c r="B29" s="581"/>
      <c r="C29" s="585"/>
      <c r="D29" s="1266">
        <v>1</v>
      </c>
      <c r="E29" s="1267"/>
      <c r="F29" s="285"/>
      <c r="G29" s="285"/>
      <c r="H29" s="285"/>
      <c r="I29" s="285"/>
      <c r="J29" s="582"/>
      <c r="K29" s="583"/>
    </row>
    <row r="30" spans="2:11" x14ac:dyDescent="0.2">
      <c r="B30" s="581" t="s">
        <v>146</v>
      </c>
      <c r="C30" s="585">
        <v>1</v>
      </c>
      <c r="D30" s="585" t="s">
        <v>123</v>
      </c>
      <c r="E30" s="585" t="s">
        <v>123</v>
      </c>
      <c r="F30" s="285"/>
      <c r="G30" s="285"/>
      <c r="H30" s="285"/>
      <c r="I30" s="285"/>
      <c r="J30" s="582" t="s">
        <v>67</v>
      </c>
      <c r="K30" s="583"/>
    </row>
    <row r="31" spans="2:11" x14ac:dyDescent="0.2">
      <c r="B31" s="581"/>
      <c r="C31" s="585"/>
      <c r="D31" s="1266">
        <v>1</v>
      </c>
      <c r="E31" s="1267"/>
      <c r="F31" s="285"/>
      <c r="G31" s="285"/>
      <c r="H31" s="285"/>
      <c r="I31" s="285"/>
      <c r="J31" s="582"/>
      <c r="K31" s="583"/>
    </row>
    <row r="32" spans="2:11" x14ac:dyDescent="0.2">
      <c r="B32" s="581"/>
      <c r="C32" s="585"/>
      <c r="D32" s="585"/>
      <c r="E32" s="585"/>
      <c r="F32" s="285"/>
      <c r="G32" s="285"/>
      <c r="H32" s="285"/>
      <c r="I32" s="285"/>
      <c r="J32" s="582"/>
      <c r="K32" s="583"/>
    </row>
    <row r="33" spans="2:11" x14ac:dyDescent="0.2">
      <c r="B33" s="581"/>
      <c r="C33" s="585"/>
      <c r="D33" s="1266"/>
      <c r="E33" s="1267"/>
      <c r="F33" s="285"/>
      <c r="G33" s="285"/>
      <c r="H33" s="285"/>
      <c r="I33" s="285"/>
      <c r="J33" s="582"/>
      <c r="K33" s="583"/>
    </row>
  </sheetData>
  <sheetProtection sheet="1" objects="1" scenarios="1" formatCells="0" formatColumns="0" formatRows="0"/>
  <mergeCells count="20">
    <mergeCell ref="F3:I3"/>
    <mergeCell ref="D19:E19"/>
    <mergeCell ref="D21:E21"/>
    <mergeCell ref="K3:K5"/>
    <mergeCell ref="D3:E3"/>
    <mergeCell ref="D5:E5"/>
    <mergeCell ref="J3:J5"/>
    <mergeCell ref="D15:E15"/>
    <mergeCell ref="D17:E17"/>
    <mergeCell ref="D7:E7"/>
    <mergeCell ref="B3:B5"/>
    <mergeCell ref="D9:E9"/>
    <mergeCell ref="D11:E11"/>
    <mergeCell ref="D29:E29"/>
    <mergeCell ref="D13:E13"/>
    <mergeCell ref="D33:E33"/>
    <mergeCell ref="D23:E23"/>
    <mergeCell ref="D25:E25"/>
    <mergeCell ref="D27:E27"/>
    <mergeCell ref="D31:E31"/>
  </mergeCells>
  <phoneticPr fontId="94" type="noConversion"/>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6">
    <tabColor indexed="12"/>
  </sheetPr>
  <dimension ref="B2"/>
  <sheetViews>
    <sheetView workbookViewId="0">
      <selection sqref="A1:IV65536"/>
    </sheetView>
  </sheetViews>
  <sheetFormatPr defaultColWidth="9.140625" defaultRowHeight="12.75" x14ac:dyDescent="0.2"/>
  <sheetData>
    <row r="2" spans="2:2" ht="23.25" x14ac:dyDescent="0.35">
      <c r="B2" s="159" t="s">
        <v>155</v>
      </c>
    </row>
  </sheetData>
  <sheetProtection sheet="1" objects="1" scenarios="1" formatCells="0" formatColumns="0" formatRows="0"/>
  <phoneticPr fontId="73" type="noConversion"/>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5">
    <tabColor indexed="12"/>
    <pageSetUpPr fitToPage="1"/>
  </sheetPr>
  <dimension ref="A2:AR823"/>
  <sheetViews>
    <sheetView zoomScale="70" zoomScaleNormal="70" workbookViewId="0"/>
  </sheetViews>
  <sheetFormatPr defaultColWidth="9.140625" defaultRowHeight="12.75" outlineLevelRow="1" x14ac:dyDescent="0.2"/>
  <cols>
    <col min="1" max="1" width="23.28515625" style="21" customWidth="1"/>
    <col min="2" max="5" width="12.7109375" style="21" customWidth="1"/>
    <col min="6" max="6" width="24.28515625" style="21" customWidth="1"/>
    <col min="7" max="44" width="12.7109375" style="21" customWidth="1"/>
    <col min="45" max="16384" width="9.140625" style="21"/>
  </cols>
  <sheetData>
    <row r="2" spans="1:3" x14ac:dyDescent="0.2">
      <c r="A2" s="17" t="s">
        <v>1049</v>
      </c>
      <c r="B2" s="17" t="b">
        <v>1</v>
      </c>
      <c r="C2" s="17" t="b">
        <v>0</v>
      </c>
    </row>
    <row r="3" spans="1:3" x14ac:dyDescent="0.2">
      <c r="A3" s="17" t="s">
        <v>1354</v>
      </c>
      <c r="B3" s="17" t="str">
        <f>Translations!$B$441</f>
        <v>Standard method: Fuel, Article 24(1)</v>
      </c>
    </row>
    <row r="4" spans="1:3" x14ac:dyDescent="0.2">
      <c r="A4" s="17" t="s">
        <v>1355</v>
      </c>
      <c r="B4" s="17" t="str">
        <f>Translations!$B$783</f>
        <v>Standard method: Process, Article 24(2)</v>
      </c>
    </row>
    <row r="5" spans="1:3" x14ac:dyDescent="0.2">
      <c r="A5" s="17" t="s">
        <v>1356</v>
      </c>
      <c r="B5" s="17" t="str">
        <f>Translations!$B$784</f>
        <v>Mass balance method, Article 25</v>
      </c>
    </row>
    <row r="6" spans="1:3" x14ac:dyDescent="0.2">
      <c r="A6" s="17" t="s">
        <v>1166</v>
      </c>
      <c r="B6" s="17" t="s">
        <v>1167</v>
      </c>
    </row>
    <row r="7" spans="1:3" x14ac:dyDescent="0.2">
      <c r="A7" s="17" t="s">
        <v>1532</v>
      </c>
      <c r="B7" s="17" t="s">
        <v>1533</v>
      </c>
    </row>
    <row r="8" spans="1:3" x14ac:dyDescent="0.2">
      <c r="A8" s="17" t="s">
        <v>1535</v>
      </c>
      <c r="B8" s="17" t="s">
        <v>1536</v>
      </c>
    </row>
    <row r="9" spans="1:3" x14ac:dyDescent="0.2">
      <c r="A9" s="17" t="s">
        <v>1542</v>
      </c>
      <c r="B9" s="17" t="s">
        <v>1549</v>
      </c>
    </row>
    <row r="10" spans="1:3" x14ac:dyDescent="0.2">
      <c r="A10" s="17" t="s">
        <v>1543</v>
      </c>
      <c r="B10" s="17" t="s">
        <v>1548</v>
      </c>
    </row>
    <row r="11" spans="1:3" x14ac:dyDescent="0.2">
      <c r="A11" s="17" t="s">
        <v>1544</v>
      </c>
      <c r="B11" s="17" t="s">
        <v>1547</v>
      </c>
    </row>
    <row r="12" spans="1:3" x14ac:dyDescent="0.2">
      <c r="A12" s="17" t="s">
        <v>1545</v>
      </c>
      <c r="B12" s="17" t="s">
        <v>1546</v>
      </c>
    </row>
    <row r="13" spans="1:3" x14ac:dyDescent="0.2">
      <c r="A13" s="17" t="s">
        <v>879</v>
      </c>
      <c r="B13" s="17" t="s">
        <v>880</v>
      </c>
    </row>
    <row r="14" spans="1:3" x14ac:dyDescent="0.2">
      <c r="A14" s="17" t="s">
        <v>1237</v>
      </c>
      <c r="B14" s="17" t="s">
        <v>1239</v>
      </c>
    </row>
    <row r="15" spans="1:3" x14ac:dyDescent="0.2">
      <c r="A15" s="17" t="s">
        <v>1238</v>
      </c>
      <c r="B15" s="17" t="s">
        <v>1240</v>
      </c>
    </row>
    <row r="16" spans="1:3" x14ac:dyDescent="0.2">
      <c r="A16" s="17" t="s">
        <v>797</v>
      </c>
      <c r="B16" s="17" t="s">
        <v>798</v>
      </c>
    </row>
    <row r="17" spans="1:3" x14ac:dyDescent="0.2">
      <c r="A17" s="17" t="s">
        <v>799</v>
      </c>
      <c r="B17" s="17" t="s">
        <v>800</v>
      </c>
    </row>
    <row r="18" spans="1:3" x14ac:dyDescent="0.2">
      <c r="A18" s="17" t="s">
        <v>626</v>
      </c>
      <c r="B18" s="17" t="s">
        <v>627</v>
      </c>
    </row>
    <row r="19" spans="1:3" x14ac:dyDescent="0.2">
      <c r="A19" s="17" t="s">
        <v>1550</v>
      </c>
      <c r="B19" s="17" t="str">
        <f>Translations!$B$785</f>
        <v xml:space="preserve">&lt;&lt;&lt; Click here to proceed to next sheet &gt;&gt;&gt; </v>
      </c>
    </row>
    <row r="20" spans="1:3" x14ac:dyDescent="0.2">
      <c r="A20" s="17" t="s">
        <v>1099</v>
      </c>
      <c r="B20" s="17" t="str">
        <f>Translations!$B$786</f>
        <v>Source Stream</v>
      </c>
    </row>
    <row r="21" spans="1:3" x14ac:dyDescent="0.2">
      <c r="A21" s="17" t="s">
        <v>1100</v>
      </c>
      <c r="B21" s="17" t="str">
        <f>Translations!$B$787</f>
        <v>Measurement Point</v>
      </c>
    </row>
    <row r="22" spans="1:3" x14ac:dyDescent="0.2">
      <c r="A22" s="17" t="s">
        <v>806</v>
      </c>
      <c r="B22" s="17" t="str">
        <f>Translations!$B$149</f>
        <v>Operator</v>
      </c>
      <c r="C22" s="17" t="str">
        <f>Translations!$B$788</f>
        <v>Trade partner</v>
      </c>
    </row>
    <row r="23" spans="1:3" x14ac:dyDescent="0.2">
      <c r="A23" s="17" t="s">
        <v>807</v>
      </c>
      <c r="B23" s="17" t="str">
        <f>Translations!$B$789</f>
        <v>Batch</v>
      </c>
      <c r="C23" s="17" t="str">
        <f>Translations!$B$457</f>
        <v>Continual</v>
      </c>
    </row>
    <row r="24" spans="1:3" x14ac:dyDescent="0.2">
      <c r="A24" s="17" t="s">
        <v>435</v>
      </c>
      <c r="B24" s="17" t="str">
        <f>Translations!$B$790</f>
        <v xml:space="preserve">Detailed instructions for data entries in this tool can be found at  the first  occurrence of this entry section. </v>
      </c>
      <c r="C24" s="17"/>
    </row>
    <row r="25" spans="1:3" x14ac:dyDescent="0.2">
      <c r="A25" s="17" t="s">
        <v>1529</v>
      </c>
      <c r="B25" s="17" t="str">
        <f>Translations!$B$530</f>
        <v>n.a.</v>
      </c>
    </row>
    <row r="26" spans="1:3" x14ac:dyDescent="0.2">
      <c r="A26" s="17" t="s">
        <v>632</v>
      </c>
      <c r="B26" s="17" t="str">
        <f>Translations!$B$791</f>
        <v>relevant</v>
      </c>
    </row>
    <row r="27" spans="1:3" x14ac:dyDescent="0.2">
      <c r="A27" s="17" t="s">
        <v>633</v>
      </c>
      <c r="B27" s="17" t="str">
        <f>Translations!$B$792</f>
        <v>not relevant</v>
      </c>
    </row>
    <row r="28" spans="1:3" x14ac:dyDescent="0.2">
      <c r="A28" s="17" t="s">
        <v>872</v>
      </c>
      <c r="B28" s="17" t="str">
        <f>Translations!$B$793</f>
        <v>not applicable!</v>
      </c>
    </row>
    <row r="29" spans="1:3" x14ac:dyDescent="0.2">
      <c r="A29" s="17" t="s">
        <v>874</v>
      </c>
      <c r="B29" s="17" t="str">
        <f>Translations!$B$794</f>
        <v>Uncertainty shall not be more than</v>
      </c>
    </row>
    <row r="30" spans="1:3" x14ac:dyDescent="0.2">
      <c r="A30" s="17" t="s">
        <v>830</v>
      </c>
      <c r="B30" s="17" t="str">
        <f>Translations!$B$795</f>
        <v>(n.a.; use estimation based on best practice)</v>
      </c>
    </row>
    <row r="31" spans="1:3" x14ac:dyDescent="0.2">
      <c r="A31" s="17" t="s">
        <v>1550</v>
      </c>
      <c r="B31" s="17" t="str">
        <f>Translations!$B$785</f>
        <v xml:space="preserve">&lt;&lt;&lt; Click here to proceed to next sheet &gt;&gt;&gt; </v>
      </c>
    </row>
    <row r="32" spans="1:3" x14ac:dyDescent="0.2">
      <c r="A32" s="17" t="s">
        <v>1551</v>
      </c>
      <c r="B32" s="17" t="str">
        <f>Translations!$B$796</f>
        <v>Please enter data in this section</v>
      </c>
    </row>
    <row r="33" spans="1:34" x14ac:dyDescent="0.2">
      <c r="A33" s="17" t="s">
        <v>1102</v>
      </c>
      <c r="B33" s="17" t="str">
        <f>Translations!$B$797</f>
        <v>Please go to the next points below</v>
      </c>
    </row>
    <row r="34" spans="1:34" x14ac:dyDescent="0.2">
      <c r="A34" s="17" t="s">
        <v>1442</v>
      </c>
      <c r="B34" s="17" t="str">
        <f>Translations!$B$798</f>
        <v>Please justify why historic data is not available or inappropriate</v>
      </c>
    </row>
    <row r="35" spans="1:34" x14ac:dyDescent="0.2">
      <c r="A35" s="17" t="s">
        <v>876</v>
      </c>
      <c r="B35" s="17" t="str">
        <f>Translations!$B$799</f>
        <v>No tier</v>
      </c>
    </row>
    <row r="36" spans="1:34" x14ac:dyDescent="0.2">
      <c r="A36" s="17" t="s">
        <v>1441</v>
      </c>
      <c r="B36" s="17" t="str">
        <f>Translations!$B$800</f>
        <v>This rule does not apply for installations with N2O activities!</v>
      </c>
    </row>
    <row r="37" spans="1:34" x14ac:dyDescent="0.2">
      <c r="A37" s="17" t="s">
        <v>1264</v>
      </c>
      <c r="B37" s="17" t="str">
        <f>Translations!$B$801</f>
        <v>De-minimis threshold exceeded!</v>
      </c>
    </row>
    <row r="38" spans="1:34" x14ac:dyDescent="0.2">
      <c r="A38" s="17" t="s">
        <v>1265</v>
      </c>
      <c r="B38" s="17" t="str">
        <f>Translations!$B$802</f>
        <v>Minor threshold exceeded!</v>
      </c>
    </row>
    <row r="39" spans="1:34" x14ac:dyDescent="0.2">
      <c r="A39" s="17" t="s">
        <v>387</v>
      </c>
      <c r="B39" s="17" t="str">
        <f>Translations!$B$803</f>
        <v>Sum not within 5% of annual emissions (section 6.c)!</v>
      </c>
    </row>
    <row r="40" spans="1:34" x14ac:dyDescent="0.2">
      <c r="A40" s="17" t="s">
        <v>394</v>
      </c>
      <c r="B40" s="17" t="str">
        <f>Translations!$B$804</f>
        <v>Use by Competent Authority only</v>
      </c>
      <c r="C40" s="17" t="str">
        <f>Translations!$B$805</f>
        <v>To be filled in by operator</v>
      </c>
      <c r="E40" s="136"/>
    </row>
    <row r="41" spans="1:34" customFormat="1" x14ac:dyDescent="0.2">
      <c r="A41" s="17" t="s">
        <v>1453</v>
      </c>
      <c r="B41" s="6" t="str">
        <f>Translations!$B$806</f>
        <v>Austria</v>
      </c>
      <c r="C41" s="6" t="str">
        <f>Translations!$B$807</f>
        <v>Belgium</v>
      </c>
      <c r="D41" s="65" t="str">
        <f>Translations!$B$808</f>
        <v>Bulgaria</v>
      </c>
      <c r="E41" s="12" t="str">
        <f>Translations!$B$809</f>
        <v>Croatia</v>
      </c>
      <c r="F41" s="65" t="str">
        <f>Translations!$B$810</f>
        <v>Cyprus</v>
      </c>
      <c r="G41" s="65" t="str">
        <f>Translations!$B$811</f>
        <v>Czech Republic</v>
      </c>
      <c r="H41" s="65" t="str">
        <f>Translations!$B$812</f>
        <v>Denmark</v>
      </c>
      <c r="I41" s="65" t="str">
        <f>Translations!$B$813</f>
        <v>Estonia</v>
      </c>
      <c r="J41" s="65" t="str">
        <f>Translations!$B$814</f>
        <v>Finland</v>
      </c>
      <c r="K41" s="65" t="str">
        <f>Translations!$B$815</f>
        <v>France</v>
      </c>
      <c r="L41" s="65" t="str">
        <f>Translations!$B$816</f>
        <v>Germany</v>
      </c>
      <c r="M41" s="65" t="str">
        <f>Translations!$B$817</f>
        <v>Greece</v>
      </c>
      <c r="N41" s="65" t="str">
        <f>Translations!$B$818</f>
        <v>Hungary</v>
      </c>
      <c r="O41" s="65" t="str">
        <f>Translations!$B$819</f>
        <v>Iceland</v>
      </c>
      <c r="P41" s="65" t="str">
        <f>Translations!$B$820</f>
        <v>Ireland</v>
      </c>
      <c r="Q41" s="65" t="str">
        <f>Translations!$B$821</f>
        <v>Italy</v>
      </c>
      <c r="R41" s="65" t="str">
        <f>Translations!$B$822</f>
        <v>Latvia</v>
      </c>
      <c r="S41" s="65" t="str">
        <f>Translations!$B$823</f>
        <v>Liechtenstein</v>
      </c>
      <c r="T41" s="65" t="str">
        <f>Translations!$B$824</f>
        <v>Lithuania</v>
      </c>
      <c r="U41" s="65" t="str">
        <f>Translations!$B$825</f>
        <v>Luxembourg</v>
      </c>
      <c r="V41" s="65" t="str">
        <f>Translations!$B$826</f>
        <v>Malta</v>
      </c>
      <c r="W41" s="65" t="str">
        <f>Translations!$B$827</f>
        <v>Netherlands</v>
      </c>
      <c r="X41" s="65" t="str">
        <f>Translations!$B$828</f>
        <v>Norway</v>
      </c>
      <c r="Y41" s="65" t="str">
        <f>Translations!$B$829</f>
        <v>Poland</v>
      </c>
      <c r="Z41" s="65" t="str">
        <f>Translations!$B$830</f>
        <v>Portugal</v>
      </c>
      <c r="AA41" s="65" t="str">
        <f>Translations!$B$831</f>
        <v>Romania</v>
      </c>
      <c r="AB41" s="65" t="str">
        <f>Translations!$B$832</f>
        <v>Slovakia</v>
      </c>
      <c r="AC41" s="65" t="str">
        <f>Translations!$B$833</f>
        <v>Slovenia</v>
      </c>
      <c r="AD41" s="65" t="str">
        <f>Translations!$B$834</f>
        <v>Spain</v>
      </c>
      <c r="AE41" s="65" t="str">
        <f>Translations!$B$835</f>
        <v>Sweden</v>
      </c>
      <c r="AF41" s="65" t="str">
        <f>Translations!$B$836</f>
        <v>United Kingdom</v>
      </c>
      <c r="AG41" s="21"/>
      <c r="AH41" s="21"/>
    </row>
    <row r="42" spans="1:34" customFormat="1" x14ac:dyDescent="0.2">
      <c r="A42" s="17" t="s">
        <v>1454</v>
      </c>
      <c r="B42" s="6" t="s">
        <v>1424</v>
      </c>
      <c r="C42" s="6" t="s">
        <v>1425</v>
      </c>
      <c r="D42" s="65" t="s">
        <v>1426</v>
      </c>
      <c r="E42" s="12" t="s">
        <v>1249</v>
      </c>
      <c r="F42" s="65" t="s">
        <v>1427</v>
      </c>
      <c r="G42" s="65" t="s">
        <v>1428</v>
      </c>
      <c r="H42" s="65" t="s">
        <v>1429</v>
      </c>
      <c r="I42" s="65" t="s">
        <v>1430</v>
      </c>
      <c r="J42" s="65" t="s">
        <v>1431</v>
      </c>
      <c r="K42" s="65" t="s">
        <v>1432</v>
      </c>
      <c r="L42" s="65" t="s">
        <v>1433</v>
      </c>
      <c r="M42" s="65" t="s">
        <v>1434</v>
      </c>
      <c r="N42" s="65" t="s">
        <v>1435</v>
      </c>
      <c r="O42" s="65" t="s">
        <v>1455</v>
      </c>
      <c r="P42" s="65" t="s">
        <v>1436</v>
      </c>
      <c r="Q42" s="65" t="s">
        <v>1437</v>
      </c>
      <c r="R42" s="65" t="s">
        <v>1438</v>
      </c>
      <c r="S42" s="65" t="s">
        <v>1253</v>
      </c>
      <c r="T42" s="65" t="s">
        <v>576</v>
      </c>
      <c r="U42" s="65" t="s">
        <v>577</v>
      </c>
      <c r="V42" s="65" t="s">
        <v>578</v>
      </c>
      <c r="W42" s="65" t="s">
        <v>579</v>
      </c>
      <c r="X42" s="65" t="s">
        <v>594</v>
      </c>
      <c r="Y42" s="65" t="s">
        <v>580</v>
      </c>
      <c r="Z42" s="65" t="s">
        <v>581</v>
      </c>
      <c r="AA42" s="65" t="s">
        <v>582</v>
      </c>
      <c r="AB42" s="65" t="s">
        <v>583</v>
      </c>
      <c r="AC42" s="65" t="s">
        <v>584</v>
      </c>
      <c r="AD42" s="65" t="s">
        <v>585</v>
      </c>
      <c r="AE42" s="65" t="s">
        <v>586</v>
      </c>
      <c r="AF42" s="65" t="s">
        <v>587</v>
      </c>
      <c r="AG42" s="21"/>
      <c r="AH42" s="21"/>
    </row>
    <row r="43" spans="1:34" x14ac:dyDescent="0.2">
      <c r="A43" s="17" t="s">
        <v>1113</v>
      </c>
      <c r="B43" s="6" t="str">
        <f>Translations!$B$140</f>
        <v>submitted to competent authority</v>
      </c>
      <c r="C43" s="6" t="str">
        <f>Translations!$B$145</f>
        <v>approved by competent authority</v>
      </c>
      <c r="D43" s="6" t="str">
        <f>Translations!$B$837</f>
        <v>rejected by competent authority</v>
      </c>
      <c r="E43" s="6" t="str">
        <f>Translations!$B$142</f>
        <v>returned with remarks</v>
      </c>
      <c r="F43" s="6" t="str">
        <f>Translations!$B$838</f>
        <v>working draft</v>
      </c>
      <c r="G43" s="6"/>
    </row>
    <row r="44" spans="1:34" x14ac:dyDescent="0.2">
      <c r="A44" s="17" t="s">
        <v>226</v>
      </c>
      <c r="B44" s="17" t="str">
        <f>Translations!$B$839</f>
        <v>Relevant sections: 6 (except d), 7, 8</v>
      </c>
    </row>
    <row r="45" spans="1:34" x14ac:dyDescent="0.2">
      <c r="A45" s="17" t="s">
        <v>227</v>
      </c>
      <c r="B45" s="17" t="str">
        <f>Translations!$B$840</f>
        <v>Relevant sections: 6 (except e), 9, 10, 11</v>
      </c>
    </row>
    <row r="46" spans="1:34" x14ac:dyDescent="0.2">
      <c r="A46" s="17" t="s">
        <v>228</v>
      </c>
      <c r="B46" s="17" t="str">
        <f>Translations!$B$841</f>
        <v>Relevant sections: 12</v>
      </c>
    </row>
    <row r="47" spans="1:34" x14ac:dyDescent="0.2">
      <c r="A47" s="17" t="s">
        <v>229</v>
      </c>
      <c r="B47" s="17" t="str">
        <f>Translations!$B$842</f>
        <v>Relevant sections: 6 (except e), 9, 10, 11, 13</v>
      </c>
    </row>
    <row r="48" spans="1:34" x14ac:dyDescent="0.2">
      <c r="A48" s="17" t="s">
        <v>230</v>
      </c>
      <c r="B48" s="17" t="str">
        <f>Translations!$B$843</f>
        <v>Relevant sections: 6 (except d), 7, 14, 15, 16</v>
      </c>
    </row>
    <row r="49" spans="1:8" x14ac:dyDescent="0.2">
      <c r="A49" s="17" t="s">
        <v>231</v>
      </c>
      <c r="B49" s="17" t="s">
        <v>1779</v>
      </c>
    </row>
    <row r="50" spans="1:8" x14ac:dyDescent="0.2">
      <c r="A50" s="17" t="s">
        <v>1781</v>
      </c>
      <c r="B50" s="17" t="s">
        <v>1816</v>
      </c>
    </row>
    <row r="51" spans="1:8" x14ac:dyDescent="0.2">
      <c r="A51" s="17" t="s">
        <v>416</v>
      </c>
      <c r="B51" s="72" t="s">
        <v>1588</v>
      </c>
      <c r="C51" s="72" t="s">
        <v>1589</v>
      </c>
      <c r="D51" s="72" t="str">
        <f>Translations!$B$845</f>
        <v>CO2 transfer</v>
      </c>
      <c r="E51" s="17" t="str">
        <f>Translations!$B$1241</f>
        <v>N2O transfer</v>
      </c>
    </row>
    <row r="52" spans="1:8" x14ac:dyDescent="0.2">
      <c r="A52" s="17" t="s">
        <v>1504</v>
      </c>
      <c r="B52" s="72" t="str">
        <f>Translations!$B$846</f>
        <v>Calculation with special provisions for PFC (Annex IV section 8)</v>
      </c>
    </row>
    <row r="53" spans="1:8" x14ac:dyDescent="0.2">
      <c r="A53" s="17" t="s">
        <v>27</v>
      </c>
      <c r="B53" s="254" t="str">
        <f>Translations!$B$847</f>
        <v>Receiving inherent CO2</v>
      </c>
      <c r="C53" s="254" t="str">
        <f>Translations!$B$848</f>
        <v>Exporting inherent CO2 to ETS installation</v>
      </c>
      <c r="D53" s="254" t="str">
        <f>Translations!$B$849</f>
        <v>Exporting inherent CO2 to non-ETS consumer</v>
      </c>
      <c r="E53" s="254" t="str">
        <f>Translations!$B$850</f>
        <v>Receiving transferred CO2</v>
      </c>
      <c r="F53" s="254" t="str">
        <f>Translations!$B$851</f>
        <v>Exporting transferred CO2</v>
      </c>
      <c r="G53" s="454" t="str">
        <f>Translations!$B$1243</f>
        <v>Receiving transferred N2O</v>
      </c>
      <c r="H53" s="454" t="str">
        <f>Translations!$B$1244</f>
        <v>Exporting transferred N2O</v>
      </c>
    </row>
    <row r="54" spans="1:8" x14ac:dyDescent="0.2">
      <c r="A54" s="12" t="s">
        <v>28</v>
      </c>
      <c r="B54" s="254" t="str">
        <f>Translations!$B$852</f>
        <v>Use of own instruments</v>
      </c>
      <c r="C54" s="254" t="str">
        <f>Translations!$B$853</f>
        <v>use of other installation's instruments</v>
      </c>
      <c r="D54" s="254" t="str">
        <f>Translations!$B$854</f>
        <v>Use both partners' instruments</v>
      </c>
    </row>
    <row r="55" spans="1:8" x14ac:dyDescent="0.2">
      <c r="A55" s="17" t="s">
        <v>1777</v>
      </c>
      <c r="B55" s="72" t="str">
        <f>Translations!$B$855</f>
        <v>Method A</v>
      </c>
      <c r="C55" s="12" t="str">
        <f>Translations!$B$856</f>
        <v>Method B</v>
      </c>
    </row>
    <row r="56" spans="1:8" x14ac:dyDescent="0.2">
      <c r="A56" s="17" t="s">
        <v>1711</v>
      </c>
      <c r="B56" s="73" t="str">
        <f>EUconst_NA</f>
        <v>n.a.</v>
      </c>
      <c r="C56" s="88" t="str">
        <f>Translations!$B$1245</f>
        <v>June</v>
      </c>
      <c r="D56" s="88" t="str">
        <f>Translations!$B$1246</f>
        <v>July</v>
      </c>
      <c r="E56" s="88" t="str">
        <f>Translations!$B$1247</f>
        <v>August</v>
      </c>
      <c r="F56" s="88" t="str">
        <f>Translations!$B$1248</f>
        <v>September</v>
      </c>
    </row>
    <row r="58" spans="1:8" s="137" customFormat="1" x14ac:dyDescent="0.2"/>
    <row r="60" spans="1:8" customFormat="1" x14ac:dyDescent="0.2">
      <c r="A60" s="136" t="str">
        <f>Translations!$B$857</f>
        <v>AnnexIActivities</v>
      </c>
    </row>
    <row r="61" spans="1:8" customFormat="1" x14ac:dyDescent="0.2">
      <c r="A61" s="17" t="str">
        <f>Translations!$B1307</f>
        <v>Combustion of fuels</v>
      </c>
    </row>
    <row r="62" spans="1:8" customFormat="1" x14ac:dyDescent="0.2">
      <c r="A62" s="17" t="str">
        <f>Translations!$B$1274</f>
        <v>Municipal waste incineration</v>
      </c>
    </row>
    <row r="63" spans="1:8" customFormat="1" x14ac:dyDescent="0.2">
      <c r="A63" s="17" t="str">
        <f>Translations!$B1308</f>
        <v xml:space="preserve">Refining of oil </v>
      </c>
    </row>
    <row r="64" spans="1:8" customFormat="1" x14ac:dyDescent="0.2">
      <c r="A64" s="17" t="str">
        <f>Translations!$B1309</f>
        <v>Production of coke</v>
      </c>
    </row>
    <row r="65" spans="1:1" customFormat="1" x14ac:dyDescent="0.2">
      <c r="A65" s="17" t="str">
        <f>Translations!$B1310</f>
        <v>Metal ore roasting or sintering</v>
      </c>
    </row>
    <row r="66" spans="1:1" customFormat="1" x14ac:dyDescent="0.2">
      <c r="A66" s="17" t="str">
        <f>Translations!$B1311</f>
        <v>Production of iron or steel</v>
      </c>
    </row>
    <row r="67" spans="1:1" customFormat="1" x14ac:dyDescent="0.2">
      <c r="A67" s="17" t="str">
        <f>Translations!$B1312</f>
        <v>Production or processing of ferrous metals</v>
      </c>
    </row>
    <row r="68" spans="1:1" customFormat="1" x14ac:dyDescent="0.2">
      <c r="A68" s="17" t="str">
        <f>Translations!$B1313</f>
        <v>Production of primary aluminium</v>
      </c>
    </row>
    <row r="69" spans="1:1" customFormat="1" x14ac:dyDescent="0.2">
      <c r="A69" s="17" t="str">
        <f>Translations!$B1314</f>
        <v>Production of secondary aluminium</v>
      </c>
    </row>
    <row r="70" spans="1:1" customFormat="1" x14ac:dyDescent="0.2">
      <c r="A70" s="17" t="str">
        <f>Translations!$B1315</f>
        <v>Production or processing of non-ferrous metals</v>
      </c>
    </row>
    <row r="71" spans="1:1" customFormat="1" x14ac:dyDescent="0.2">
      <c r="A71" s="17" t="str">
        <f>Translations!$B1316</f>
        <v>Production of cement clinker</v>
      </c>
    </row>
    <row r="72" spans="1:1" customFormat="1" x14ac:dyDescent="0.2">
      <c r="A72" s="17" t="str">
        <f>Translations!$B1317</f>
        <v>Production of lime, or calcination of dolomite/magnesite</v>
      </c>
    </row>
    <row r="73" spans="1:1" customFormat="1" x14ac:dyDescent="0.2">
      <c r="A73" s="17" t="str">
        <f>Translations!$B1318</f>
        <v>Manufacture of glass</v>
      </c>
    </row>
    <row r="74" spans="1:1" customFormat="1" x14ac:dyDescent="0.2">
      <c r="A74" s="17" t="str">
        <f>Translations!$B1319</f>
        <v>Manufacture of ceramics</v>
      </c>
    </row>
    <row r="75" spans="1:1" customFormat="1" x14ac:dyDescent="0.2">
      <c r="A75" s="17" t="str">
        <f>Translations!$B1320</f>
        <v>Manufacture of mineral wool</v>
      </c>
    </row>
    <row r="76" spans="1:1" customFormat="1" x14ac:dyDescent="0.2">
      <c r="A76" s="17" t="str">
        <f>Translations!$B1321</f>
        <v>Production or processing of gypsum or plasterboard</v>
      </c>
    </row>
    <row r="77" spans="1:1" customFormat="1" x14ac:dyDescent="0.2">
      <c r="A77" s="17" t="str">
        <f>Translations!$B1322</f>
        <v>Production of pulp</v>
      </c>
    </row>
    <row r="78" spans="1:1" customFormat="1" x14ac:dyDescent="0.2">
      <c r="A78" s="17" t="str">
        <f>Translations!$B1323</f>
        <v>Production of paper or cardboard</v>
      </c>
    </row>
    <row r="79" spans="1:1" customFormat="1" x14ac:dyDescent="0.2">
      <c r="A79" s="17" t="str">
        <f>Translations!$B1324</f>
        <v>Production of carbon black</v>
      </c>
    </row>
    <row r="80" spans="1:1" customFormat="1" x14ac:dyDescent="0.2">
      <c r="A80" s="17" t="str">
        <f>Translations!$B1325</f>
        <v>Production of nitric acid</v>
      </c>
    </row>
    <row r="81" spans="1:1" customFormat="1" x14ac:dyDescent="0.2">
      <c r="A81" s="17" t="str">
        <f>Translations!$B1326</f>
        <v>Production of adipic acid</v>
      </c>
    </row>
    <row r="82" spans="1:1" customFormat="1" x14ac:dyDescent="0.2">
      <c r="A82" s="17" t="str">
        <f>Translations!$B1327</f>
        <v>Production of glyoxal and glyoxylic acid</v>
      </c>
    </row>
    <row r="83" spans="1:1" customFormat="1" x14ac:dyDescent="0.2">
      <c r="A83" s="17" t="str">
        <f>Translations!$B1328</f>
        <v>Production of ammonia</v>
      </c>
    </row>
    <row r="84" spans="1:1" customFormat="1" x14ac:dyDescent="0.2">
      <c r="A84" s="17" t="str">
        <f>Translations!$B1329</f>
        <v>Production of bulk chemicals</v>
      </c>
    </row>
    <row r="85" spans="1:1" customFormat="1" x14ac:dyDescent="0.2">
      <c r="A85" s="17" t="str">
        <f>Translations!$B1330</f>
        <v>Production of hydrogen and synthesis gas</v>
      </c>
    </row>
    <row r="86" spans="1:1" customFormat="1" x14ac:dyDescent="0.2">
      <c r="A86" s="17" t="str">
        <f>Translations!$B1331</f>
        <v>Production of soda ash and sodium bicarbonate</v>
      </c>
    </row>
    <row r="87" spans="1:1" customFormat="1" x14ac:dyDescent="0.2">
      <c r="A87" s="17" t="str">
        <f>Translations!$B1332</f>
        <v>Capture of greenhouse gases under Directive 2009/31/EC</v>
      </c>
    </row>
    <row r="88" spans="1:1" customFormat="1" x14ac:dyDescent="0.2">
      <c r="A88" s="17" t="str">
        <f>Translations!$B1333</f>
        <v>Transport of greenhouse gases under Directive 2009/31/EC</v>
      </c>
    </row>
    <row r="89" spans="1:1" customFormat="1" x14ac:dyDescent="0.2">
      <c r="A89" s="17" t="str">
        <f>Translations!$B1334</f>
        <v>Storage of greenhouse gases under Directive 2009/31/EC</v>
      </c>
    </row>
    <row r="90" spans="1:1" customFormat="1" x14ac:dyDescent="0.2"/>
    <row r="91" spans="1:1" customFormat="1" x14ac:dyDescent="0.2">
      <c r="A91" s="136" t="str">
        <f>Translations!$B$884</f>
        <v>SpecifiedEmissions2</v>
      </c>
    </row>
    <row r="92" spans="1:1" customFormat="1" x14ac:dyDescent="0.2">
      <c r="A92" s="72" t="s">
        <v>1588</v>
      </c>
    </row>
    <row r="93" spans="1:1" customFormat="1" x14ac:dyDescent="0.2">
      <c r="A93" s="72" t="s">
        <v>1589</v>
      </c>
    </row>
    <row r="94" spans="1:1" customFormat="1" x14ac:dyDescent="0.2">
      <c r="A94" s="72" t="str">
        <f>Translations!$B$885</f>
        <v>PFCs</v>
      </c>
    </row>
    <row r="95" spans="1:1" customFormat="1" x14ac:dyDescent="0.2">
      <c r="A95" s="72" t="str">
        <f>Translations!$B$886</f>
        <v>CO2 &amp; N2O</v>
      </c>
    </row>
    <row r="96" spans="1:1" customFormat="1" x14ac:dyDescent="0.2">
      <c r="A96" s="72" t="str">
        <f>Translations!$B$887</f>
        <v>CO2 &amp; PFCs</v>
      </c>
    </row>
    <row r="97" spans="1:1" customFormat="1" x14ac:dyDescent="0.2"/>
    <row r="98" spans="1:1" customFormat="1" x14ac:dyDescent="0.2">
      <c r="A98" s="136" t="str">
        <f>Translations!$B$888</f>
        <v>SourceCategory</v>
      </c>
    </row>
    <row r="99" spans="1:1" customFormat="1" x14ac:dyDescent="0.2">
      <c r="A99" s="72" t="str">
        <f>Translations!$B$313</f>
        <v>Major</v>
      </c>
    </row>
    <row r="100" spans="1:1" customFormat="1" x14ac:dyDescent="0.2">
      <c r="A100" s="72" t="str">
        <f>Translations!$B$889</f>
        <v>Minor</v>
      </c>
    </row>
    <row r="101" spans="1:1" customFormat="1" x14ac:dyDescent="0.2">
      <c r="A101" s="72" t="str">
        <f>Translations!$B$890</f>
        <v>De-minimis</v>
      </c>
    </row>
    <row r="102" spans="1:1" customFormat="1" x14ac:dyDescent="0.2"/>
    <row r="103" spans="1:1" customFormat="1" x14ac:dyDescent="0.2">
      <c r="A103" s="136" t="str">
        <f>Translations!$B$891</f>
        <v>SourceCategoryCEMS</v>
      </c>
    </row>
    <row r="104" spans="1:1" customFormat="1" x14ac:dyDescent="0.2">
      <c r="A104" s="72" t="str">
        <f>Translations!$B$313</f>
        <v>Major</v>
      </c>
    </row>
    <row r="105" spans="1:1" customFormat="1" x14ac:dyDescent="0.2">
      <c r="A105" s="72" t="str">
        <f>Translations!$B$889</f>
        <v>Minor</v>
      </c>
    </row>
    <row r="106" spans="1:1" customFormat="1" x14ac:dyDescent="0.2">
      <c r="A106" s="136"/>
    </row>
    <row r="107" spans="1:1" customFormat="1" x14ac:dyDescent="0.2">
      <c r="A107" s="136"/>
    </row>
    <row r="108" spans="1:1" customFormat="1" x14ac:dyDescent="0.2">
      <c r="A108" s="136" t="str">
        <f>Translations!$B$892</f>
        <v>AnalysisFrequency</v>
      </c>
    </row>
    <row r="109" spans="1:1" customFormat="1" x14ac:dyDescent="0.2">
      <c r="A109" s="72" t="str">
        <f>Translations!$B$893</f>
        <v>Continuous</v>
      </c>
    </row>
    <row r="110" spans="1:1" customFormat="1" x14ac:dyDescent="0.2">
      <c r="A110" s="72" t="str">
        <f>Translations!$B$894</f>
        <v>Daily</v>
      </c>
    </row>
    <row r="111" spans="1:1" customFormat="1" x14ac:dyDescent="0.2">
      <c r="A111" s="72" t="str">
        <f>Translations!$B$542</f>
        <v>Weekly</v>
      </c>
    </row>
    <row r="112" spans="1:1" customFormat="1" x14ac:dyDescent="0.2">
      <c r="A112" s="72" t="str">
        <f>Translations!$B$895</f>
        <v>Monthly</v>
      </c>
    </row>
    <row r="113" spans="1:1" customFormat="1" x14ac:dyDescent="0.2">
      <c r="A113" s="72" t="str">
        <f>Translations!$B$896</f>
        <v>Quarterly</v>
      </c>
    </row>
    <row r="114" spans="1:1" customFormat="1" x14ac:dyDescent="0.2">
      <c r="A114" s="72" t="str">
        <f>Translations!$B$897</f>
        <v>Biannual</v>
      </c>
    </row>
    <row r="115" spans="1:1" customFormat="1" x14ac:dyDescent="0.2">
      <c r="A115" s="72" t="str">
        <f>Translations!$B$898</f>
        <v>Annual</v>
      </c>
    </row>
    <row r="116" spans="1:1" customFormat="1" x14ac:dyDescent="0.2">
      <c r="A116" s="72"/>
    </row>
    <row r="117" spans="1:1" customFormat="1" x14ac:dyDescent="0.2"/>
    <row r="118" spans="1:1" customFormat="1" x14ac:dyDescent="0.2">
      <c r="A118" s="136" t="str">
        <f>Translations!$B$899</f>
        <v>OperationType</v>
      </c>
    </row>
    <row r="119" spans="1:1" customFormat="1" x14ac:dyDescent="0.2">
      <c r="A119" s="72" t="str">
        <f>Translations!$B$900</f>
        <v>Typical operation</v>
      </c>
    </row>
    <row r="120" spans="1:1" customFormat="1" x14ac:dyDescent="0.2">
      <c r="A120" s="72" t="str">
        <f>Translations!$B$901</f>
        <v>Non-typical operation</v>
      </c>
    </row>
    <row r="121" spans="1:1" customFormat="1" x14ac:dyDescent="0.2">
      <c r="A121" s="72" t="str">
        <f>Translations!$B$584</f>
        <v>Typical and non-typical operation</v>
      </c>
    </row>
    <row r="122" spans="1:1" customFormat="1" x14ac:dyDescent="0.2"/>
    <row r="123" spans="1:1" customFormat="1" x14ac:dyDescent="0.2">
      <c r="A123" s="136" t="str">
        <f>Translations!$B$902</f>
        <v>PFCMethods</v>
      </c>
    </row>
    <row r="124" spans="1:1" customFormat="1" x14ac:dyDescent="0.2">
      <c r="A124" s="72" t="str">
        <f>Translations!$B$903</f>
        <v>Method A - Slope Method</v>
      </c>
    </row>
    <row r="125" spans="1:1" customFormat="1" x14ac:dyDescent="0.2">
      <c r="A125" s="72" t="str">
        <f>Translations!$B$904</f>
        <v>Method B - Overvoltage Method</v>
      </c>
    </row>
    <row r="126" spans="1:1" customFormat="1" x14ac:dyDescent="0.2"/>
    <row r="127" spans="1:1" customFormat="1" x14ac:dyDescent="0.2">
      <c r="A127" s="136" t="str">
        <f>Translations!$B$905</f>
        <v>PFCCellTypes</v>
      </c>
    </row>
    <row r="128" spans="1:1" customFormat="1" x14ac:dyDescent="0.2">
      <c r="A128" s="158" t="str">
        <f>Translations!$B$906</f>
        <v>Centre Worked Pre-Bake (CWPB)</v>
      </c>
    </row>
    <row r="129" spans="1:3" customFormat="1" x14ac:dyDescent="0.2">
      <c r="A129" s="158" t="str">
        <f>Translations!$B$907</f>
        <v>Vertical Stud Søderberg (VSS)</v>
      </c>
    </row>
    <row r="130" spans="1:3" customFormat="1" x14ac:dyDescent="0.2">
      <c r="A130" s="158" t="str">
        <f>Translations!$B$908</f>
        <v>Side-Worked Pre-Bake (SWPB)</v>
      </c>
    </row>
    <row r="131" spans="1:3" customFormat="1" x14ac:dyDescent="0.2">
      <c r="A131" s="158" t="str">
        <f>Translations!$B$909</f>
        <v>Horizontal Stud Søderberg (HSS)</v>
      </c>
    </row>
    <row r="132" spans="1:3" customFormat="1" x14ac:dyDescent="0.2"/>
    <row r="133" spans="1:3" customFormat="1" x14ac:dyDescent="0.2">
      <c r="A133" s="136" t="str">
        <f>Translations!$B$910</f>
        <v>MeteringDevices</v>
      </c>
    </row>
    <row r="134" spans="1:3" customFormat="1" x14ac:dyDescent="0.2">
      <c r="A134" s="72" t="str">
        <f>Translations!$B$366</f>
        <v>Rotary meter</v>
      </c>
    </row>
    <row r="135" spans="1:3" customFormat="1" x14ac:dyDescent="0.2">
      <c r="A135" s="72" t="str">
        <f>Translations!$B$911</f>
        <v>Turbine meter</v>
      </c>
    </row>
    <row r="136" spans="1:3" customFormat="1" x14ac:dyDescent="0.2">
      <c r="A136" s="72" t="str">
        <f>Translations!$B$912</f>
        <v>Bellows meter</v>
      </c>
    </row>
    <row r="137" spans="1:3" customFormat="1" x14ac:dyDescent="0.2">
      <c r="A137" s="72" t="str">
        <f>Translations!$B$913</f>
        <v>Orifice meter</v>
      </c>
    </row>
    <row r="138" spans="1:3" customFormat="1" x14ac:dyDescent="0.2">
      <c r="A138" s="72" t="str">
        <f>Translations!$B$914</f>
        <v>Venturi meter</v>
      </c>
    </row>
    <row r="139" spans="1:3" customFormat="1" x14ac:dyDescent="0.2">
      <c r="A139" s="72" t="str">
        <f>Translations!$B$915</f>
        <v>Ultrasonic meter</v>
      </c>
    </row>
    <row r="140" spans="1:3" customFormat="1" x14ac:dyDescent="0.2">
      <c r="A140" s="72" t="str">
        <f>Translations!$B$916</f>
        <v>Vortex meter</v>
      </c>
      <c r="C140" s="140"/>
    </row>
    <row r="141" spans="1:3" customFormat="1" x14ac:dyDescent="0.2">
      <c r="A141" s="72" t="str">
        <f>Translations!$B$917</f>
        <v>Coriolis meter</v>
      </c>
    </row>
    <row r="142" spans="1:3" customFormat="1" x14ac:dyDescent="0.2">
      <c r="A142" s="72" t="str">
        <f>Translations!$B$918</f>
        <v>Ovalrad meter</v>
      </c>
    </row>
    <row r="143" spans="1:3" customFormat="1" x14ac:dyDescent="0.2">
      <c r="A143" s="72" t="str">
        <f>Translations!$B$919</f>
        <v>Electronic volume conversion instrument (EVCI)</v>
      </c>
    </row>
    <row r="144" spans="1:3" customFormat="1" x14ac:dyDescent="0.2">
      <c r="A144" s="72" t="str">
        <f>Translations!$B$920</f>
        <v>Gas Chromatograph</v>
      </c>
    </row>
    <row r="145" spans="1:1" customFormat="1" x14ac:dyDescent="0.2">
      <c r="A145" s="17" t="str">
        <f>Translations!$B$367</f>
        <v>Weigh bridge</v>
      </c>
    </row>
    <row r="146" spans="1:1" customFormat="1" x14ac:dyDescent="0.2">
      <c r="A146" s="17" t="str">
        <f>Translations!$B$921</f>
        <v>Weighing conveyor belt</v>
      </c>
    </row>
    <row r="147" spans="1:1" customFormat="1" x14ac:dyDescent="0.2">
      <c r="A147" s="72"/>
    </row>
    <row r="148" spans="1:1" customFormat="1" x14ac:dyDescent="0.2"/>
    <row r="149" spans="1:1" customFormat="1" x14ac:dyDescent="0.2">
      <c r="A149" s="136" t="s">
        <v>1685</v>
      </c>
    </row>
    <row r="150" spans="1:1" customFormat="1" x14ac:dyDescent="0.2">
      <c r="A150" s="72" t="str">
        <f>Translations!$B$1249</f>
        <v>Monitoring and Reporting Regulation, Annex VI</v>
      </c>
    </row>
    <row r="151" spans="1:1" customFormat="1" x14ac:dyDescent="0.2">
      <c r="A151" s="72" t="str">
        <f>Translations!$B$1250</f>
        <v>National Inventory</v>
      </c>
    </row>
    <row r="152" spans="1:1" customFormat="1" x14ac:dyDescent="0.2">
      <c r="A152" s="72"/>
    </row>
    <row r="153" spans="1:1" customFormat="1" x14ac:dyDescent="0.2"/>
    <row r="154" spans="1:1" customFormat="1" x14ac:dyDescent="0.2">
      <c r="A154" s="136" t="str">
        <f>Translations!$B$922</f>
        <v>MeasurementTiers</v>
      </c>
    </row>
    <row r="155" spans="1:1" customFormat="1" x14ac:dyDescent="0.2">
      <c r="A155" s="73">
        <v>1</v>
      </c>
    </row>
    <row r="156" spans="1:1" customFormat="1" x14ac:dyDescent="0.2">
      <c r="A156" s="73">
        <v>2</v>
      </c>
    </row>
    <row r="157" spans="1:1" customFormat="1" x14ac:dyDescent="0.2">
      <c r="A157" s="73">
        <v>3</v>
      </c>
    </row>
    <row r="158" spans="1:1" customFormat="1" x14ac:dyDescent="0.2">
      <c r="A158" s="73">
        <v>4</v>
      </c>
    </row>
    <row r="159" spans="1:1" customFormat="1" x14ac:dyDescent="0.2"/>
    <row r="160" spans="1:1" customFormat="1" x14ac:dyDescent="0.2">
      <c r="A160" s="136" t="str">
        <f>Translations!$B$923</f>
        <v>PFCTiers</v>
      </c>
    </row>
    <row r="161" spans="1:3" customFormat="1" x14ac:dyDescent="0.2">
      <c r="A161" s="73">
        <v>1</v>
      </c>
    </row>
    <row r="162" spans="1:3" customFormat="1" x14ac:dyDescent="0.2">
      <c r="A162" s="73">
        <v>2</v>
      </c>
    </row>
    <row r="163" spans="1:3" customFormat="1" x14ac:dyDescent="0.2"/>
    <row r="164" spans="1:3" customFormat="1" x14ac:dyDescent="0.2">
      <c r="A164" s="136" t="str">
        <f>Translations!$B$924</f>
        <v>BiomassTiers</v>
      </c>
    </row>
    <row r="165" spans="1:3" customFormat="1" x14ac:dyDescent="0.2">
      <c r="A165" s="73">
        <v>1</v>
      </c>
    </row>
    <row r="166" spans="1:3" customFormat="1" x14ac:dyDescent="0.2">
      <c r="A166" s="73">
        <v>2</v>
      </c>
    </row>
    <row r="167" spans="1:3" customFormat="1" x14ac:dyDescent="0.2">
      <c r="A167" s="88" t="s">
        <v>1759</v>
      </c>
    </row>
    <row r="168" spans="1:3" customFormat="1" x14ac:dyDescent="0.2">
      <c r="A168" s="88" t="s">
        <v>1760</v>
      </c>
    </row>
    <row r="169" spans="1:3" customFormat="1" x14ac:dyDescent="0.2">
      <c r="A169" s="72" t="str">
        <f>EUconst_NoTier</f>
        <v>No tier</v>
      </c>
    </row>
    <row r="170" spans="1:3" customFormat="1" x14ac:dyDescent="0.2">
      <c r="A170" s="72" t="str">
        <f>EUconst_NA</f>
        <v>n.a.</v>
      </c>
    </row>
    <row r="171" spans="1:3" customFormat="1" x14ac:dyDescent="0.2">
      <c r="A171" s="138"/>
    </row>
    <row r="172" spans="1:3" customFormat="1" x14ac:dyDescent="0.2">
      <c r="A172" s="136" t="str">
        <f>Translations!$B$925</f>
        <v>ConversionFactorTiers</v>
      </c>
    </row>
    <row r="173" spans="1:3" customFormat="1" x14ac:dyDescent="0.2">
      <c r="A173" s="73">
        <v>1</v>
      </c>
    </row>
    <row r="174" spans="1:3" customFormat="1" x14ac:dyDescent="0.2">
      <c r="A174" s="73">
        <v>2</v>
      </c>
    </row>
    <row r="175" spans="1:3" x14ac:dyDescent="0.2">
      <c r="A175" s="72" t="str">
        <f>EUconst_NoTier</f>
        <v>No tier</v>
      </c>
      <c r="C175"/>
    </row>
    <row r="176" spans="1:3" x14ac:dyDescent="0.2">
      <c r="A176" s="72" t="str">
        <f>EUconst_NA</f>
        <v>n.a.</v>
      </c>
      <c r="C176"/>
    </row>
    <row r="178" spans="1:1" x14ac:dyDescent="0.2">
      <c r="A178" s="136" t="str">
        <f>Translations!$B$926</f>
        <v>ActivityDataTiers</v>
      </c>
    </row>
    <row r="179" spans="1:1" x14ac:dyDescent="0.2">
      <c r="A179" s="139">
        <v>1</v>
      </c>
    </row>
    <row r="180" spans="1:1" x14ac:dyDescent="0.2">
      <c r="A180" s="73">
        <v>2</v>
      </c>
    </row>
    <row r="181" spans="1:1" x14ac:dyDescent="0.2">
      <c r="A181" s="73">
        <v>3</v>
      </c>
    </row>
    <row r="182" spans="1:1" x14ac:dyDescent="0.2">
      <c r="A182" s="73">
        <v>4</v>
      </c>
    </row>
    <row r="183" spans="1:1" x14ac:dyDescent="0.2">
      <c r="A183" s="72" t="str">
        <f>EUconst_NoTier</f>
        <v>No tier</v>
      </c>
    </row>
    <row r="184" spans="1:1" x14ac:dyDescent="0.2">
      <c r="A184" s="72" t="str">
        <f>EUconst_NA</f>
        <v>n.a.</v>
      </c>
    </row>
    <row r="185" spans="1:1" x14ac:dyDescent="0.2">
      <c r="A185"/>
    </row>
    <row r="186" spans="1:1" x14ac:dyDescent="0.2">
      <c r="A186" s="136" t="str">
        <f>Translations!$B$927</f>
        <v>NCVTiers</v>
      </c>
    </row>
    <row r="187" spans="1:1" x14ac:dyDescent="0.2">
      <c r="A187" s="73">
        <v>1</v>
      </c>
    </row>
    <row r="188" spans="1:1" x14ac:dyDescent="0.2">
      <c r="A188" s="72" t="s">
        <v>1325</v>
      </c>
    </row>
    <row r="189" spans="1:1" x14ac:dyDescent="0.2">
      <c r="A189" s="72" t="str">
        <f>Translations!$B$928</f>
        <v>2b</v>
      </c>
    </row>
    <row r="190" spans="1:1" x14ac:dyDescent="0.2">
      <c r="A190" s="73">
        <v>3</v>
      </c>
    </row>
    <row r="191" spans="1:1" x14ac:dyDescent="0.2">
      <c r="A191" s="72" t="str">
        <f>EUconst_NoTier</f>
        <v>No tier</v>
      </c>
    </row>
    <row r="192" spans="1:1" x14ac:dyDescent="0.2">
      <c r="A192" s="72" t="str">
        <f>EUconst_NA</f>
        <v>n.a.</v>
      </c>
    </row>
    <row r="193" spans="1:1" x14ac:dyDescent="0.2">
      <c r="A193"/>
    </row>
    <row r="194" spans="1:1" x14ac:dyDescent="0.2">
      <c r="A194" s="136" t="str">
        <f>Translations!$B$929</f>
        <v>EFTiers</v>
      </c>
    </row>
    <row r="195" spans="1:1" x14ac:dyDescent="0.2">
      <c r="A195" s="73">
        <v>1</v>
      </c>
    </row>
    <row r="196" spans="1:1" x14ac:dyDescent="0.2">
      <c r="A196" s="73">
        <v>2</v>
      </c>
    </row>
    <row r="197" spans="1:1" x14ac:dyDescent="0.2">
      <c r="A197" s="72" t="s">
        <v>1325</v>
      </c>
    </row>
    <row r="198" spans="1:1" x14ac:dyDescent="0.2">
      <c r="A198" s="72" t="str">
        <f>Translations!$B$928</f>
        <v>2b</v>
      </c>
    </row>
    <row r="199" spans="1:1" x14ac:dyDescent="0.2">
      <c r="A199" s="73">
        <v>3</v>
      </c>
    </row>
    <row r="200" spans="1:1" x14ac:dyDescent="0.2">
      <c r="A200" s="72" t="str">
        <f>EUconst_NoTier</f>
        <v>No tier</v>
      </c>
    </row>
    <row r="201" spans="1:1" x14ac:dyDescent="0.2">
      <c r="A201" s="72" t="str">
        <f>EUconst_NA</f>
        <v>n.a.</v>
      </c>
    </row>
    <row r="203" spans="1:1" x14ac:dyDescent="0.2">
      <c r="A203" s="136" t="str">
        <f>Translations!$B$930</f>
        <v>CarbonContentTiers</v>
      </c>
    </row>
    <row r="204" spans="1:1" x14ac:dyDescent="0.2">
      <c r="A204" s="73">
        <v>1</v>
      </c>
    </row>
    <row r="205" spans="1:1" x14ac:dyDescent="0.2">
      <c r="A205" s="72" t="s">
        <v>1325</v>
      </c>
    </row>
    <row r="206" spans="1:1" x14ac:dyDescent="0.2">
      <c r="A206" s="72" t="str">
        <f>Translations!$B$928</f>
        <v>2b</v>
      </c>
    </row>
    <row r="207" spans="1:1" x14ac:dyDescent="0.2">
      <c r="A207" s="73">
        <v>3</v>
      </c>
    </row>
    <row r="208" spans="1:1" x14ac:dyDescent="0.2">
      <c r="A208" s="72" t="str">
        <f>EUconst_NoTier</f>
        <v>No tier</v>
      </c>
    </row>
    <row r="209" spans="1:1" x14ac:dyDescent="0.2">
      <c r="A209" s="72" t="str">
        <f>EUconst_NA</f>
        <v>n.a.</v>
      </c>
    </row>
    <row r="211" spans="1:1" x14ac:dyDescent="0.2">
      <c r="A211" s="21" t="s">
        <v>148</v>
      </c>
    </row>
    <row r="212" spans="1:1" x14ac:dyDescent="0.2">
      <c r="A212" s="88" t="str">
        <f>Translations!$B$1251</f>
        <v>GJ/t</v>
      </c>
    </row>
    <row r="213" spans="1:1" x14ac:dyDescent="0.2">
      <c r="A213" s="88" t="str">
        <f>Translations!$B$1252</f>
        <v>GJ/1000Nm³</v>
      </c>
    </row>
    <row r="214" spans="1:1" x14ac:dyDescent="0.2">
      <c r="A214" s="73"/>
    </row>
    <row r="216" spans="1:1" x14ac:dyDescent="0.2">
      <c r="A216" s="21" t="s">
        <v>147</v>
      </c>
    </row>
    <row r="217" spans="1:1" x14ac:dyDescent="0.2">
      <c r="A217" s="88" t="str">
        <f>Translations!$B$1253</f>
        <v>tCO2/TJ</v>
      </c>
    </row>
    <row r="218" spans="1:1" x14ac:dyDescent="0.2">
      <c r="A218" s="88" t="str">
        <f>Translations!$B$1254</f>
        <v>tCO2/t</v>
      </c>
    </row>
    <row r="219" spans="1:1" x14ac:dyDescent="0.2">
      <c r="A219" s="88" t="str">
        <f>Translations!$B$1255</f>
        <v>tCO2/1000Nm³</v>
      </c>
    </row>
    <row r="220" spans="1:1" x14ac:dyDescent="0.2">
      <c r="A220" s="88"/>
    </row>
    <row r="222" spans="1:1" x14ac:dyDescent="0.2">
      <c r="A222" s="21" t="s">
        <v>149</v>
      </c>
    </row>
    <row r="223" spans="1:1" x14ac:dyDescent="0.2">
      <c r="A223" s="88" t="s">
        <v>997</v>
      </c>
    </row>
    <row r="224" spans="1:1" x14ac:dyDescent="0.2">
      <c r="A224" s="88"/>
    </row>
    <row r="227" spans="1:15" s="137" customFormat="1" x14ac:dyDescent="0.2"/>
    <row r="229" spans="1:15" x14ac:dyDescent="0.2">
      <c r="B229" s="69" t="str">
        <f>Translations!$B$931</f>
        <v>Directive Annex I</v>
      </c>
      <c r="C229" s="69" t="s">
        <v>1619</v>
      </c>
      <c r="D229" s="7"/>
      <c r="E229" s="1275" t="s">
        <v>1618</v>
      </c>
      <c r="F229" s="1275"/>
      <c r="G229" s="1275"/>
      <c r="H229" s="1275"/>
      <c r="I229" s="1275"/>
      <c r="L229" s="69" t="str">
        <f>Translations!$B$212</f>
        <v>GHG emitted</v>
      </c>
      <c r="M229" s="69"/>
      <c r="N229" s="69"/>
      <c r="O229" s="141" t="s">
        <v>1646</v>
      </c>
    </row>
    <row r="230" spans="1:15" x14ac:dyDescent="0.2">
      <c r="A230" s="21">
        <v>1</v>
      </c>
      <c r="B230" s="12" t="str">
        <f>IF(LEN(Translations!$B$933)&gt;250,LEFT(Translations!$B$933,250),Translations!$B$933)</f>
        <v>Combustion of fuels in installations with a total rated thermal input exceeding 20 MW (except in installations for the incineration of hazardous or municipal waste)</v>
      </c>
      <c r="C230" s="604" t="str">
        <f t="shared" ref="C230:C258" si="0">INDEX(AnnexIActivities,A230)</f>
        <v>Combustion of fuels</v>
      </c>
      <c r="D230" s="7"/>
      <c r="E230" s="619"/>
      <c r="F230" s="619"/>
      <c r="G230" s="619"/>
      <c r="H230" s="619"/>
      <c r="I230" s="620"/>
      <c r="J230" s="620"/>
      <c r="K230" s="620"/>
      <c r="L230" s="605" t="s">
        <v>1588</v>
      </c>
      <c r="M230" s="605"/>
      <c r="N230" s="605"/>
      <c r="O230" s="621"/>
    </row>
    <row r="231" spans="1:15" x14ac:dyDescent="0.2">
      <c r="A231" s="21">
        <f>A230+1</f>
        <v>2</v>
      </c>
      <c r="B231" s="12" t="str">
        <f>IF(LEN(Translations!$B$933)&gt;250,LEFT(Translations!$B$933,250),Translations!$B$933)</f>
        <v>Combustion of fuels in installations with a total rated thermal input exceeding 20 MW (except in installations for the incineration of hazardous or municipal waste)</v>
      </c>
      <c r="C231" s="604" t="str">
        <f>INDEX(AnnexIActivities,A231)</f>
        <v>Municipal waste incineration</v>
      </c>
      <c r="D231" s="7"/>
      <c r="E231" s="619"/>
      <c r="F231" s="619"/>
      <c r="G231" s="619"/>
      <c r="H231" s="619"/>
      <c r="I231" s="620"/>
      <c r="J231" s="620"/>
      <c r="K231" s="620"/>
      <c r="L231" s="605" t="s">
        <v>1588</v>
      </c>
      <c r="M231" s="605"/>
      <c r="N231" s="605"/>
      <c r="O231" s="621" t="str">
        <f>IFERROR(MATCH(C231,$B$265:$B$325,0),"")</f>
        <v/>
      </c>
    </row>
    <row r="232" spans="1:15" x14ac:dyDescent="0.2">
      <c r="A232" s="21">
        <f>A231+1</f>
        <v>3</v>
      </c>
      <c r="B232" s="12" t="str">
        <f>Translations!$B$858</f>
        <v xml:space="preserve">Refining of mineral oil </v>
      </c>
      <c r="C232" s="604" t="str">
        <f t="shared" si="0"/>
        <v xml:space="preserve">Refining of oil </v>
      </c>
      <c r="D232" s="7"/>
      <c r="E232" s="622" t="str">
        <f>IFERROR(IF(INDEX($B$265:$B$334,$O232+COLUMNS($E229:E229)-1)&lt;&gt;$C232,"",INDEX(EUConst_TierActivityListNames,$O232+COLUMNS($E229:E229)-1)),"")</f>
        <v>Refineries: Mass balance</v>
      </c>
      <c r="F232" s="622" t="str">
        <f>IFERROR(IF(INDEX($B$265:$B$334,$O232+COLUMNS($E229:F229)-1)&lt;&gt;$C232,"",INDEX(EUConst_TierActivityListNames,$O232+COLUMNS($E229:F229)-1)),"")</f>
        <v/>
      </c>
      <c r="G232" s="622" t="str">
        <f>IFERROR(IF(INDEX($B$265:$B$334,$O232+COLUMNS($E229:G229)-1)&lt;&gt;$C232,"",INDEX(EUConst_TierActivityListNames,$O232+COLUMNS($E229:G229)-1)),"")</f>
        <v/>
      </c>
      <c r="H232" s="622" t="str">
        <f>IFERROR(IF(INDEX($B$265:$B$334,$O232+COLUMNS($E229:H229)-1)&lt;&gt;$C232,"",INDEX(EUConst_TierActivityListNames,$O232+COLUMNS($E229:H229)-1)),"")</f>
        <v/>
      </c>
      <c r="I232" s="622" t="str">
        <f>IFERROR(IF(INDEX($B$265:$B$334,$O232+COLUMNS($E229:I229)-1)&lt;&gt;$C232,"",INDEX(EUConst_TierActivityListNames,$O232+COLUMNS($E229:I229)-1)),"")</f>
        <v/>
      </c>
      <c r="J232" s="622" t="str">
        <f>IFERROR(IF(INDEX($B$265:$B$334,$O232+COLUMNS($E229:J229)-1)&lt;&gt;$C232,"",INDEX(EUConst_TierActivityListNames,$O232+COLUMNS($E229:J229)-1)),"")</f>
        <v/>
      </c>
      <c r="K232" s="622" t="str">
        <f>IFERROR(IF(INDEX($B$265:$B$334,$O232+COLUMNS($E229:K229)-1)&lt;&gt;$C232,"",INDEX(EUConst_TierActivityListNames,$O232+COLUMNS($E229:K229)-1)),"")</f>
        <v/>
      </c>
      <c r="L232" s="605" t="s">
        <v>1588</v>
      </c>
      <c r="M232" s="605"/>
      <c r="N232" s="605"/>
      <c r="O232" s="621">
        <f>IFERROR(MATCH(C232,$B$265:$B$334,0),"")</f>
        <v>10</v>
      </c>
    </row>
    <row r="233" spans="1:15" x14ac:dyDescent="0.2">
      <c r="A233" s="21">
        <f>A232+1</f>
        <v>4</v>
      </c>
      <c r="B233" s="12" t="str">
        <f>Translations!$B$859</f>
        <v>Production of coke</v>
      </c>
      <c r="C233" s="604" t="str">
        <f t="shared" si="0"/>
        <v>Production of coke</v>
      </c>
      <c r="D233" s="7"/>
      <c r="E233" s="622" t="str">
        <f>IFERROR(IF(INDEX($B$265:$B$334,$O233+COLUMNS($E230:E230)-1)&lt;&gt;$C233,"",INDEX(EUConst_TierActivityListNames,$O233+COLUMNS($E230:E230)-1)),"")</f>
        <v>Coke: Fuel as process input</v>
      </c>
      <c r="F233" s="622" t="str">
        <f>IFERROR(IF(INDEX($B$265:$B$334,$O233+COLUMNS($E230:F230)-1)&lt;&gt;$C233,"",INDEX(EUConst_TierActivityListNames,$O233+COLUMNS($E230:F230)-1)),"")</f>
        <v>Coke: Process (method A): carbonate only</v>
      </c>
      <c r="G233" s="622" t="str">
        <f>IFERROR(IF(INDEX($B$265:$B$334,$O233+COLUMNS($E230:G230)-1)&lt;&gt;$C233,"",INDEX(EUConst_TierActivityListNames,$O233+COLUMNS($E230:G230)-1)),"")</f>
        <v>Coke: Process (method A): mixed (carbonate + non-carbonate)</v>
      </c>
      <c r="H233" s="622" t="str">
        <f>IFERROR(IF(INDEX($B$265:$B$334,$O233+COLUMNS($E230:H230)-1)&lt;&gt;$C233,"",INDEX(EUConst_TierActivityListNames,$O233+COLUMNS($E230:H230)-1)),"")</f>
        <v>Coke: Process (method A): non-carbonate</v>
      </c>
      <c r="I233" s="622" t="str">
        <f>IFERROR(IF(INDEX($B$265:$B$334,$O233+COLUMNS($E230:I230)-1)&lt;&gt;$C233,"",INDEX(EUConst_TierActivityListNames,$O233+COLUMNS($E230:I230)-1)),"")</f>
        <v>Coke: Process (method B): oxide output</v>
      </c>
      <c r="J233" s="622" t="str">
        <f>IFERROR(IF(INDEX($B$265:$B$334,$O233+COLUMNS($E230:J230)-1)&lt;&gt;$C233,"",INDEX(EUConst_TierActivityListNames,$O233+COLUMNS($E230:J230)-1)),"")</f>
        <v>Coke: Mass balance</v>
      </c>
      <c r="K233" s="622" t="str">
        <f>IFERROR(IF(INDEX($B$265:$B$334,$O233+COLUMNS($E230:K230)-1)&lt;&gt;$C233,"",INDEX(EUConst_TierActivityListNames,$O233+COLUMNS($E230:K230)-1)),"")</f>
        <v/>
      </c>
      <c r="L233" s="605" t="s">
        <v>1588</v>
      </c>
      <c r="M233" s="605"/>
      <c r="N233" s="605"/>
      <c r="O233" s="621">
        <f t="shared" ref="O233:O258" si="1">IFERROR(MATCH(C233,$B$265:$B$334,0),"")</f>
        <v>13</v>
      </c>
    </row>
    <row r="234" spans="1:15" x14ac:dyDescent="0.2">
      <c r="A234" s="21">
        <f t="shared" ref="A234:A258" si="2">A233+1</f>
        <v>5</v>
      </c>
      <c r="B234" s="12" t="str">
        <f>IF(LEN(Translations!$B$934)&gt;250,LEFT(Translations!$B$934,250),Translations!$B$934)</f>
        <v xml:space="preserve">Metal ore (including sulphide ore) roasting or sintering, including pelletisation </v>
      </c>
      <c r="C234" s="604" t="str">
        <f t="shared" si="0"/>
        <v>Metal ore roasting or sintering</v>
      </c>
      <c r="D234" s="7"/>
      <c r="E234" s="622" t="str">
        <f>IFERROR(IF(INDEX($B$265:$B$334,$O234+COLUMNS($E231:E231)-1)&lt;&gt;$C234,"",INDEX(EUConst_TierActivityListNames,$O234+COLUMNS($E231:E231)-1)),"")</f>
        <v>Metal ore: Process (method A): carbonate only</v>
      </c>
      <c r="F234" s="622" t="str">
        <f>IFERROR(IF(INDEX($B$265:$B$334,$O234+COLUMNS($E231:F231)-1)&lt;&gt;$C234,"",INDEX(EUConst_TierActivityListNames,$O234+COLUMNS($E231:F231)-1)),"")</f>
        <v>Metal ore: Process (method A): mixed (carbonate + non-carbonate)</v>
      </c>
      <c r="G234" s="622" t="str">
        <f>IFERROR(IF(INDEX($B$265:$B$334,$O234+COLUMNS($E231:G231)-1)&lt;&gt;$C234,"",INDEX(EUConst_TierActivityListNames,$O234+COLUMNS($E231:G231)-1)),"")</f>
        <v>Metal ore: Process (method A): non-carbonate</v>
      </c>
      <c r="H234" s="622" t="str">
        <f>IFERROR(IF(INDEX($B$265:$B$334,$O234+COLUMNS($E231:H231)-1)&lt;&gt;$C234,"",INDEX(EUConst_TierActivityListNames,$O234+COLUMNS($E231:H231)-1)),"")</f>
        <v>Metal ore: Process (method B): oxide output</v>
      </c>
      <c r="I234" s="622" t="str">
        <f>IFERROR(IF(INDEX($B$265:$B$334,$O234+COLUMNS($E231:I231)-1)&lt;&gt;$C234,"",INDEX(EUConst_TierActivityListNames,$O234+COLUMNS($E231:I231)-1)),"")</f>
        <v>Metal ore: Mass balance</v>
      </c>
      <c r="J234" s="622" t="str">
        <f>IFERROR(IF(INDEX($B$265:$B$334,$O234+COLUMNS($E231:J231)-1)&lt;&gt;$C234,"",INDEX(EUConst_TierActivityListNames,$O234+COLUMNS($E231:J231)-1)),"")</f>
        <v/>
      </c>
      <c r="K234" s="622" t="str">
        <f>IFERROR(IF(INDEX($B$265:$B$334,$O234+COLUMNS($E231:K231)-1)&lt;&gt;$C234,"",INDEX(EUConst_TierActivityListNames,$O234+COLUMNS($E231:K231)-1)),"")</f>
        <v/>
      </c>
      <c r="L234" s="605" t="s">
        <v>1588</v>
      </c>
      <c r="M234" s="605"/>
      <c r="N234" s="605"/>
      <c r="O234" s="621">
        <f t="shared" si="1"/>
        <v>19</v>
      </c>
    </row>
    <row r="235" spans="1:15" x14ac:dyDescent="0.2">
      <c r="A235" s="21">
        <f t="shared" si="2"/>
        <v>6</v>
      </c>
      <c r="B235" s="12" t="str">
        <f>IF(LEN(Translations!$B$935)&gt;250,LEFT(Translations!$B$935,250),Translations!$B$935)</f>
        <v xml:space="preserve">Production of pig iron or steel (primary or secondary fusion) including continuous casting, with a capacity exceeding 2,5 tonnes per hour </v>
      </c>
      <c r="C235" s="604" t="str">
        <f t="shared" si="0"/>
        <v>Production of iron or steel</v>
      </c>
      <c r="D235" s="7"/>
      <c r="E235" s="622" t="str">
        <f>IFERROR(IF(INDEX($B$265:$B$334,$O235+COLUMNS($E232:E232)-1)&lt;&gt;$C235,"",INDEX(EUConst_TierActivityListNames,$O235+COLUMNS($E232:E232)-1)),"")</f>
        <v>Iron &amp; steel: Fuel as process input</v>
      </c>
      <c r="F235" s="622" t="str">
        <f>IFERROR(IF(INDEX($B$265:$B$334,$O235+COLUMNS($E232:F232)-1)&lt;&gt;$C235,"",INDEX(EUConst_TierActivityListNames,$O235+COLUMNS($E232:F232)-1)),"")</f>
        <v>Iron &amp; steel: Process (method A): carbonate only</v>
      </c>
      <c r="G235" s="622" t="str">
        <f>IFERROR(IF(INDEX($B$265:$B$334,$O235+COLUMNS($E232:G232)-1)&lt;&gt;$C235,"",INDEX(EUConst_TierActivityListNames,$O235+COLUMNS($E232:G232)-1)),"")</f>
        <v>Iron &amp; steel: Process (method A): mixed (carbonate + non-carbonate)</v>
      </c>
      <c r="H235" s="622" t="str">
        <f>IFERROR(IF(INDEX($B$265:$B$334,$O235+COLUMNS($E232:H232)-1)&lt;&gt;$C235,"",INDEX(EUConst_TierActivityListNames,$O235+COLUMNS($E232:H232)-1)),"")</f>
        <v>Iron &amp; steel: Process (method A): non-carbonate</v>
      </c>
      <c r="I235" s="622" t="str">
        <f>IFERROR(IF(INDEX($B$265:$B$334,$O235+COLUMNS($E232:I232)-1)&lt;&gt;$C235,"",INDEX(EUConst_TierActivityListNames,$O235+COLUMNS($E232:I232)-1)),"")</f>
        <v>Iron &amp; steel: Process (method B): oxide output</v>
      </c>
      <c r="J235" s="622" t="str">
        <f>IFERROR(IF(INDEX($B$265:$B$334,$O235+COLUMNS($E232:J232)-1)&lt;&gt;$C235,"",INDEX(EUConst_TierActivityListNames,$O235+COLUMNS($E232:J232)-1)),"")</f>
        <v>Iron &amp; steel: Mass balance</v>
      </c>
      <c r="K235" s="622" t="str">
        <f>IFERROR(IF(INDEX($B$265:$B$334,$O235+COLUMNS($E232:K232)-1)&lt;&gt;$C235,"",INDEX(EUConst_TierActivityListNames,$O235+COLUMNS($E232:K232)-1)),"")</f>
        <v/>
      </c>
      <c r="L235" s="605" t="s">
        <v>1588</v>
      </c>
      <c r="M235" s="605"/>
      <c r="N235" s="605"/>
      <c r="O235" s="621">
        <f t="shared" si="1"/>
        <v>24</v>
      </c>
    </row>
    <row r="236" spans="1:15" x14ac:dyDescent="0.2">
      <c r="A236" s="21">
        <f t="shared" si="2"/>
        <v>7</v>
      </c>
      <c r="B236" s="12" t="str">
        <f>IF(LEN(Translations!$B$936)&gt;250,LEFT(Translations!$B$936,250),Translations!$B$936)</f>
        <v>Production or processing of ferrous metals (including ferro-alloys) where combustion units with a total rated thermal input exceeding 20 MW are operated. Processing includes, inter alia, rolling mills, re-heaters, annealing furnaces, smitheries, foun</v>
      </c>
      <c r="C236" s="604" t="str">
        <f t="shared" si="0"/>
        <v>Production or processing of ferrous metals</v>
      </c>
      <c r="D236" s="7"/>
      <c r="E236" s="622" t="str">
        <f>IFERROR(IF(INDEX($B$265:$B$334,$O236+COLUMNS($E233:E233)-1)&lt;&gt;$C236,"",INDEX(EUConst_TierActivityListNames,$O236+COLUMNS($E233:E233)-1)),"")</f>
        <v>(Non) ferrous, sec. aluminium: Process (method A): carbonate only</v>
      </c>
      <c r="F236" s="622" t="str">
        <f>IFERROR(IF(INDEX($B$265:$B$334,$O236+COLUMNS($E233:F233)-1)&lt;&gt;$C236,"",INDEX(EUConst_TierActivityListNames,$O236+COLUMNS($E233:F233)-1)),"")</f>
        <v>(Non) ferrous, sec. aluminium: Process (method A): mixed (carbonate + non-carbonate)</v>
      </c>
      <c r="G236" s="622" t="str">
        <f>IFERROR(IF(INDEX($B$265:$B$334,$O236+COLUMNS($E233:G233)-1)&lt;&gt;$C236,"",INDEX(EUConst_TierActivityListNames,$O236+COLUMNS($E233:G233)-1)),"")</f>
        <v>(Non) ferrous, sec. aluminium: Process (method A): non-carbonate</v>
      </c>
      <c r="H236" s="622" t="str">
        <f>IFERROR(IF(INDEX($B$265:$B$334,$O236+COLUMNS($E233:H233)-1)&lt;&gt;$C236,"",INDEX(EUConst_TierActivityListNames,$O236+COLUMNS($E233:H233)-1)),"")</f>
        <v>(Non) ferrous, sec. aluminium: Process (method B): oxide output</v>
      </c>
      <c r="I236" s="622" t="str">
        <f>IFERROR(IF(INDEX($B$265:$B$334,$O236+COLUMNS($E233:I233)-1)&lt;&gt;$C236,"",INDEX(EUConst_TierActivityListNames,$O236+COLUMNS($E233:I233)-1)),"")</f>
        <v>(Non) ferrous, sec. aluminium: Mass balance methodology</v>
      </c>
      <c r="J236" s="622" t="str">
        <f>IFERROR(IF(INDEX($B$265:$B$334,$O236+COLUMNS($E233:J233)-1)&lt;&gt;$C236,"",INDEX(EUConst_TierActivityListNames,$O236+COLUMNS($E233:J233)-1)),"")</f>
        <v/>
      </c>
      <c r="K236" s="622" t="str">
        <f>IFERROR(IF(INDEX($B$265:$B$334,$O236+COLUMNS($E233:K233)-1)&lt;&gt;$C236,"",INDEX(EUConst_TierActivityListNames,$O236+COLUMNS($E233:K233)-1)),"")</f>
        <v/>
      </c>
      <c r="L236" s="605" t="s">
        <v>1588</v>
      </c>
      <c r="M236" s="605"/>
      <c r="N236" s="605"/>
      <c r="O236" s="621">
        <f t="shared" si="1"/>
        <v>53</v>
      </c>
    </row>
    <row r="237" spans="1:15" x14ac:dyDescent="0.2">
      <c r="A237" s="21">
        <f t="shared" si="2"/>
        <v>8</v>
      </c>
      <c r="B237" s="12" t="str">
        <f>Translations!$B$863</f>
        <v>Production of primary aluminium</v>
      </c>
      <c r="C237" s="604" t="str">
        <f t="shared" si="0"/>
        <v>Production of primary aluminium</v>
      </c>
      <c r="D237" s="7"/>
      <c r="E237" s="622" t="str">
        <f>IFERROR(IF(INDEX($B$265:$B$334,$O237+COLUMNS($E234:E234)-1)&lt;&gt;$C237,"",INDEX(EUConst_TierActivityListNames,$O237+COLUMNS($E234:E234)-1)),"")</f>
        <v>Primary aluminium: Mass balance methodology</v>
      </c>
      <c r="F237" s="622" t="str">
        <f>IFERROR(IF(INDEX($B$265:$B$334,$O237+COLUMNS($E234:F234)-1)&lt;&gt;$C237,"",INDEX(EUConst_TierActivityListNames,$O237+COLUMNS($E234:F234)-1)),"")</f>
        <v>Primary aluminium: PFC emissions (slope method)</v>
      </c>
      <c r="G237" s="622" t="str">
        <f>IFERROR(IF(INDEX($B$265:$B$334,$O237+COLUMNS($E234:G234)-1)&lt;&gt;$C237,"",INDEX(EUConst_TierActivityListNames,$O237+COLUMNS($E234:G234)-1)),"")</f>
        <v>Primary aluminium: PFC emissions (overvoltage method)</v>
      </c>
      <c r="H237" s="622" t="str">
        <f>IFERROR(IF(INDEX($B$265:$B$334,$O237+COLUMNS($E234:H234)-1)&lt;&gt;$C237,"",INDEX(EUConst_TierActivityListNames,$O237+COLUMNS($E234:H234)-1)),"")</f>
        <v/>
      </c>
      <c r="I237" s="622" t="str">
        <f>IFERROR(IF(INDEX($B$265:$B$334,$O237+COLUMNS($E234:I234)-1)&lt;&gt;$C237,"",INDEX(EUConst_TierActivityListNames,$O237+COLUMNS($E234:I234)-1)),"")</f>
        <v/>
      </c>
      <c r="J237" s="622" t="str">
        <f>IFERROR(IF(INDEX($B$265:$B$334,$O237+COLUMNS($E234:J234)-1)&lt;&gt;$C237,"",INDEX(EUConst_TierActivityListNames,$O237+COLUMNS($E234:J234)-1)),"")</f>
        <v/>
      </c>
      <c r="K237" s="622" t="str">
        <f>IFERROR(IF(INDEX($B$265:$B$334,$O237+COLUMNS($E234:K234)-1)&lt;&gt;$C237,"",INDEX(EUConst_TierActivityListNames,$O237+COLUMNS($E234:K234)-1)),"")</f>
        <v/>
      </c>
      <c r="L237" s="605" t="str">
        <f>Translations!$B$887</f>
        <v>CO2 &amp; PFCs</v>
      </c>
      <c r="M237" s="605"/>
      <c r="N237" s="605"/>
      <c r="O237" s="621">
        <f t="shared" si="1"/>
        <v>59</v>
      </c>
    </row>
    <row r="238" spans="1:15" x14ac:dyDescent="0.2">
      <c r="A238" s="21">
        <f t="shared" si="2"/>
        <v>9</v>
      </c>
      <c r="B238" s="12" t="str">
        <f>IF(LEN(Translations!$B$937)&gt;250,LEFT(Translations!$B$937,250),Translations!$B$937)</f>
        <v>Production of secondary aluminium where combustion units with a total rated thermal input exceeding 20 MW are operated</v>
      </c>
      <c r="C238" s="604" t="str">
        <f t="shared" si="0"/>
        <v>Production of secondary aluminium</v>
      </c>
      <c r="D238" s="7"/>
      <c r="E238" s="623" t="str">
        <f t="shared" ref="E238:K238" si="3">IF(E236="","",E236)</f>
        <v>(Non) ferrous, sec. aluminium: Process (method A): carbonate only</v>
      </c>
      <c r="F238" s="623" t="str">
        <f t="shared" si="3"/>
        <v>(Non) ferrous, sec. aluminium: Process (method A): mixed (carbonate + non-carbonate)</v>
      </c>
      <c r="G238" s="623" t="str">
        <f t="shared" si="3"/>
        <v>(Non) ferrous, sec. aluminium: Process (method A): non-carbonate</v>
      </c>
      <c r="H238" s="623" t="str">
        <f t="shared" si="3"/>
        <v>(Non) ferrous, sec. aluminium: Process (method B): oxide output</v>
      </c>
      <c r="I238" s="623" t="str">
        <f t="shared" si="3"/>
        <v>(Non) ferrous, sec. aluminium: Mass balance methodology</v>
      </c>
      <c r="J238" s="623" t="str">
        <f t="shared" si="3"/>
        <v/>
      </c>
      <c r="K238" s="623" t="str">
        <f t="shared" si="3"/>
        <v/>
      </c>
      <c r="L238" s="605" t="s">
        <v>1588</v>
      </c>
      <c r="M238" s="605"/>
      <c r="N238" s="605"/>
      <c r="O238" s="621" t="str">
        <f t="shared" si="1"/>
        <v/>
      </c>
    </row>
    <row r="239" spans="1:15" x14ac:dyDescent="0.2">
      <c r="A239" s="21">
        <f t="shared" si="2"/>
        <v>10</v>
      </c>
      <c r="B239" s="12" t="str">
        <f>IF(LEN(Translations!$B$938)&gt;250,LEFT(Translations!$B$938,250),Translations!$B$938)</f>
        <v>Production or processing of non-ferrous metals, including production of alloys, refining, foundry casting, etc., where combustion units with a total rated thermal input (including fuels used as reducing agents) exceeding 20 MW are operated</v>
      </c>
      <c r="C239" s="604" t="str">
        <f t="shared" si="0"/>
        <v>Production or processing of non-ferrous metals</v>
      </c>
      <c r="D239" s="7"/>
      <c r="E239" s="623" t="str">
        <f t="shared" ref="E239:K239" si="4">E238</f>
        <v>(Non) ferrous, sec. aluminium: Process (method A): carbonate only</v>
      </c>
      <c r="F239" s="623" t="str">
        <f t="shared" si="4"/>
        <v>(Non) ferrous, sec. aluminium: Process (method A): mixed (carbonate + non-carbonate)</v>
      </c>
      <c r="G239" s="623" t="str">
        <f t="shared" si="4"/>
        <v>(Non) ferrous, sec. aluminium: Process (method A): non-carbonate</v>
      </c>
      <c r="H239" s="623" t="str">
        <f t="shared" si="4"/>
        <v>(Non) ferrous, sec. aluminium: Process (method B): oxide output</v>
      </c>
      <c r="I239" s="623" t="str">
        <f t="shared" si="4"/>
        <v>(Non) ferrous, sec. aluminium: Mass balance methodology</v>
      </c>
      <c r="J239" s="623" t="str">
        <f t="shared" si="4"/>
        <v/>
      </c>
      <c r="K239" s="623" t="str">
        <f t="shared" si="4"/>
        <v/>
      </c>
      <c r="L239" s="605" t="s">
        <v>1588</v>
      </c>
      <c r="M239" s="605"/>
      <c r="N239" s="605"/>
      <c r="O239" s="621" t="str">
        <f t="shared" si="1"/>
        <v/>
      </c>
    </row>
    <row r="240" spans="1:15" x14ac:dyDescent="0.2">
      <c r="A240" s="21">
        <f t="shared" si="2"/>
        <v>11</v>
      </c>
      <c r="B240" s="12" t="str">
        <f>IF(LEN(Translations!$B$939)&gt;250,LEFT(Translations!$B$939,250),Translations!$B$939)</f>
        <v xml:space="preserve">Production of cement clinker in rotary kilns with a production capacity exceeding 500 tonnes per day or in other furnaces with a production capacity exceeding 50 tonnes per day </v>
      </c>
      <c r="C240" s="604" t="str">
        <f t="shared" si="0"/>
        <v>Production of cement clinker</v>
      </c>
      <c r="D240" s="7"/>
      <c r="E240" s="622" t="str">
        <f>IFERROR(IF(INDEX($B$265:$B$334,$O240+COLUMNS($E237:E237)-1)&lt;&gt;$C240,"",INDEX(EUConst_TierActivityListNames,$O240+COLUMNS($E237:E237)-1)),"")</f>
        <v>Cement clinker: Kiln input based (Method A)</v>
      </c>
      <c r="F240" s="622" t="str">
        <f>IFERROR(IF(INDEX($B$265:$B$334,$O240+COLUMNS($E237:F237)-1)&lt;&gt;$C240,"",INDEX(EUConst_TierActivityListNames,$O240+COLUMNS($E237:F237)-1)),"")</f>
        <v>Cement clinker: Clinker output (Method B)</v>
      </c>
      <c r="G240" s="622" t="str">
        <f>IFERROR(IF(INDEX($B$265:$B$334,$O240+COLUMNS($E237:G237)-1)&lt;&gt;$C240,"",INDEX(EUConst_TierActivityListNames,$O240+COLUMNS($E237:G237)-1)),"")</f>
        <v>Cement clinker: CKD</v>
      </c>
      <c r="H240" s="622" t="str">
        <f>IFERROR(IF(INDEX($B$265:$B$334,$O240+COLUMNS($E237:H237)-1)&lt;&gt;$C240,"",INDEX(EUConst_TierActivityListNames,$O240+COLUMNS($E237:H237)-1)),"")</f>
        <v>Cement clinker: Non-carbonate carbon</v>
      </c>
      <c r="I240" s="622" t="str">
        <f>IFERROR(IF(INDEX($B$265:$B$334,$O240+COLUMNS($E237:I237)-1)&lt;&gt;$C240,"",INDEX(EUConst_TierActivityListNames,$O240+COLUMNS($E237:I237)-1)),"")</f>
        <v/>
      </c>
      <c r="J240" s="622" t="str">
        <f>IFERROR(IF(INDEX($B$265:$B$334,$O240+COLUMNS($E237:J237)-1)&lt;&gt;$C240,"",INDEX(EUConst_TierActivityListNames,$O240+COLUMNS($E237:J237)-1)),"")</f>
        <v/>
      </c>
      <c r="K240" s="622" t="str">
        <f>IFERROR(IF(INDEX($B$265:$B$334,$O240+COLUMNS($E237:K237)-1)&lt;&gt;$C240,"",INDEX(EUConst_TierActivityListNames,$O240+COLUMNS($E237:K237)-1)),"")</f>
        <v/>
      </c>
      <c r="L240" s="605" t="s">
        <v>1588</v>
      </c>
      <c r="M240" s="605"/>
      <c r="N240" s="605"/>
      <c r="O240" s="621">
        <f t="shared" si="1"/>
        <v>30</v>
      </c>
    </row>
    <row r="241" spans="1:15" x14ac:dyDescent="0.2">
      <c r="A241" s="21">
        <f t="shared" si="2"/>
        <v>12</v>
      </c>
      <c r="B241" s="12" t="str">
        <f>IF(LEN(Translations!$B$940)&gt;250,LEFT(Translations!$B$940,250),Translations!$B$940)</f>
        <v xml:space="preserve">Production of lime or calcination of dolomite or magnesite in rotary kilns or in other furnaces with a production capacity exceeding 50 tonnes per day </v>
      </c>
      <c r="C241" s="604" t="str">
        <f t="shared" si="0"/>
        <v>Production of lime, or calcination of dolomite/magnesite</v>
      </c>
      <c r="D241" s="7"/>
      <c r="E241" s="622" t="str">
        <f>IFERROR(IF(INDEX($B$265:$B$334,$O241+COLUMNS($E238:E238)-1)&lt;&gt;$C241,"",INDEX(EUConst_TierActivityListNames,$O241+COLUMNS($E238:E238)-1)),"")</f>
        <v>Lime / dolomite / magnesite: Process (method A): carbonate only</v>
      </c>
      <c r="F241" s="622" t="str">
        <f>IFERROR(IF(INDEX($B$265:$B$334,$O241+COLUMNS($E238:F238)-1)&lt;&gt;$C241,"",INDEX(EUConst_TierActivityListNames,$O241+COLUMNS($E238:F238)-1)),"")</f>
        <v>Lime / dolomite / magnesite: Process (method A): mixed (carbonate + non-carbonate)</v>
      </c>
      <c r="G241" s="622" t="str">
        <f>IFERROR(IF(INDEX($B$265:$B$334,$O241+COLUMNS($E238:G238)-1)&lt;&gt;$C241,"",INDEX(EUConst_TierActivityListNames,$O241+COLUMNS($E238:G238)-1)),"")</f>
        <v>Lime / dolomite / magnesite: Process (method A): non-carbonate</v>
      </c>
      <c r="H241" s="622" t="str">
        <f>IFERROR(IF(INDEX($B$265:$B$334,$O241+COLUMNS($E238:H238)-1)&lt;&gt;$C241,"",INDEX(EUConst_TierActivityListNames,$O241+COLUMNS($E238:H238)-1)),"")</f>
        <v>Lime / dolomite / magnesite: Process (method B): oxide output</v>
      </c>
      <c r="I241" s="622" t="str">
        <f>IFERROR(IF(INDEX($B$265:$B$334,$O241+COLUMNS($E238:I238)-1)&lt;&gt;$C241,"",INDEX(EUConst_TierActivityListNames,$O241+COLUMNS($E238:I238)-1)),"")</f>
        <v>Lime / dolomite / magnesite: Kiln dust (Method B)</v>
      </c>
      <c r="J241" s="622" t="str">
        <f>IFERROR(IF(INDEX($B$265:$B$334,$O241+COLUMNS($E238:J238)-1)&lt;&gt;$C241,"",INDEX(EUConst_TierActivityListNames,$O241+COLUMNS($E238:J238)-1)),"")</f>
        <v/>
      </c>
      <c r="K241" s="622" t="str">
        <f>IFERROR(IF(INDEX($B$265:$B$334,$O241+COLUMNS($E238:K238)-1)&lt;&gt;$C241,"",INDEX(EUConst_TierActivityListNames,$O241+COLUMNS($E238:K238)-1)),"")</f>
        <v/>
      </c>
      <c r="L241" s="605" t="s">
        <v>1588</v>
      </c>
      <c r="M241" s="605"/>
      <c r="N241" s="605"/>
      <c r="O241" s="621">
        <f t="shared" si="1"/>
        <v>34</v>
      </c>
    </row>
    <row r="242" spans="1:15" x14ac:dyDescent="0.2">
      <c r="A242" s="21">
        <f t="shared" si="2"/>
        <v>13</v>
      </c>
      <c r="B242" s="12" t="str">
        <f>IF(LEN(Translations!$B$941)&gt;250,LEFT(Translations!$B$941,250),Translations!$B$941)</f>
        <v xml:space="preserve">Manufacture of glass including glass fibre with a melting capacity exceeding 20 tonnes per day </v>
      </c>
      <c r="C242" s="604" t="str">
        <f t="shared" si="0"/>
        <v>Manufacture of glass</v>
      </c>
      <c r="D242" s="7"/>
      <c r="E242" s="622" t="str">
        <f>IFERROR(IF(INDEX($B$265:$B$334,$O242+COLUMNS($E239:E239)-1)&lt;&gt;$C242,"",INDEX(EUConst_TierActivityListNames,$O242+COLUMNS($E239:E239)-1)),"")</f>
        <v>Glass and mineral wool: Process (method A): carbonate only</v>
      </c>
      <c r="F242" s="622" t="str">
        <f>IFERROR(IF(INDEX($B$265:$B$334,$O242+COLUMNS($E239:F239)-1)&lt;&gt;$C242,"",INDEX(EUConst_TierActivityListNames,$O242+COLUMNS($E239:F239)-1)),"")</f>
        <v>Glass and mineral wool: Process (method A): mixed (carbonate + non-carbonate)</v>
      </c>
      <c r="G242" s="622" t="str">
        <f>IFERROR(IF(INDEX($B$265:$B$334,$O242+COLUMNS($E239:G239)-1)&lt;&gt;$C242,"",INDEX(EUConst_TierActivityListNames,$O242+COLUMNS($E239:G239)-1)),"")</f>
        <v>Glass and mineral wool: Process (method A): non-carbonate</v>
      </c>
      <c r="H242" s="622" t="str">
        <f>IFERROR(IF(INDEX($B$265:$B$334,$O242+COLUMNS($E239:H239)-1)&lt;&gt;$C242,"",INDEX(EUConst_TierActivityListNames,$O242+COLUMNS($E239:H239)-1)),"")</f>
        <v/>
      </c>
      <c r="I242" s="622" t="str">
        <f>IFERROR(IF(INDEX($B$265:$B$334,$O242+COLUMNS($E239:I239)-1)&lt;&gt;$C242,"",INDEX(EUConst_TierActivityListNames,$O242+COLUMNS($E239:I239)-1)),"")</f>
        <v/>
      </c>
      <c r="J242" s="622" t="str">
        <f>IFERROR(IF(INDEX($B$265:$B$334,$O242+COLUMNS($E239:J239)-1)&lt;&gt;$C242,"",INDEX(EUConst_TierActivityListNames,$O242+COLUMNS($E239:J239)-1)),"")</f>
        <v/>
      </c>
      <c r="K242" s="622" t="str">
        <f>IFERROR(IF(INDEX($B$265:$B$334,$O242+COLUMNS($E239:K239)-1)&lt;&gt;$C242,"",INDEX(EUConst_TierActivityListNames,$O242+COLUMNS($E239:K239)-1)),"")</f>
        <v/>
      </c>
      <c r="L242" s="605" t="s">
        <v>1588</v>
      </c>
      <c r="M242" s="605"/>
      <c r="N242" s="605"/>
      <c r="O242" s="621">
        <f t="shared" si="1"/>
        <v>39</v>
      </c>
    </row>
    <row r="243" spans="1:15" x14ac:dyDescent="0.2">
      <c r="A243" s="21">
        <f t="shared" si="2"/>
        <v>14</v>
      </c>
      <c r="B243" s="12" t="str">
        <f>IF(LEN(Translations!$B$942)&gt;250,LEFT(Translations!$B$942,250),Translations!$B$942)</f>
        <v xml:space="preserve">Manufacture of ceramic products by firing, in particular roofing tiles, bricks, refractory bricks, tiles, stoneware or porcelain, with a production capacity exceeding 75 tonnes per day </v>
      </c>
      <c r="C243" s="604" t="str">
        <f t="shared" si="0"/>
        <v>Manufacture of ceramics</v>
      </c>
      <c r="D243" s="7"/>
      <c r="E243" s="622" t="str">
        <f>IFERROR(IF(INDEX($B$265:$B$334,$O243+COLUMNS($E240:E240)-1)&lt;&gt;$C243,"",INDEX(EUConst_TierActivityListNames,$O243+COLUMNS($E240:E240)-1)),"")</f>
        <v>Ceramics: Process (method A): carbonate only</v>
      </c>
      <c r="F243" s="622" t="str">
        <f>IFERROR(IF(INDEX($B$265:$B$334,$O243+COLUMNS($E240:F240)-1)&lt;&gt;$C243,"",INDEX(EUConst_TierActivityListNames,$O243+COLUMNS($E240:F240)-1)),"")</f>
        <v>Ceramics: Process (method A): mixed (carbonate + non-carbonate)</v>
      </c>
      <c r="G243" s="622" t="str">
        <f>IFERROR(IF(INDEX($B$265:$B$334,$O243+COLUMNS($E240:G240)-1)&lt;&gt;$C243,"",INDEX(EUConst_TierActivityListNames,$O243+COLUMNS($E240:G240)-1)),"")</f>
        <v>Ceramics: Process (method A): non-carbonate</v>
      </c>
      <c r="H243" s="622" t="str">
        <f>IFERROR(IF(INDEX($B$265:$B$334,$O243+COLUMNS($E240:H240)-1)&lt;&gt;$C243,"",INDEX(EUConst_TierActivityListNames,$O243+COLUMNS($E240:H240)-1)),"")</f>
        <v>Ceramics: Process (method B): oxide output</v>
      </c>
      <c r="I243" s="622" t="str">
        <f>IFERROR(IF(INDEX($B$265:$B$334,$O243+COLUMNS($E240:I240)-1)&lt;&gt;$C243,"",INDEX(EUConst_TierActivityListNames,$O243+COLUMNS($E240:I240)-1)),"")</f>
        <v>Ceramics: Scrubbing</v>
      </c>
      <c r="J243" s="622" t="str">
        <f>IFERROR(IF(INDEX($B$265:$B$334,$O243+COLUMNS($E240:J240)-1)&lt;&gt;$C243,"",INDEX(EUConst_TierActivityListNames,$O243+COLUMNS($E240:J240)-1)),"")</f>
        <v/>
      </c>
      <c r="K243" s="622" t="str">
        <f>IFERROR(IF(INDEX($B$265:$B$334,$O243+COLUMNS($E240:K240)-1)&lt;&gt;$C243,"",INDEX(EUConst_TierActivityListNames,$O243+COLUMNS($E240:K240)-1)),"")</f>
        <v/>
      </c>
      <c r="L243" s="605" t="s">
        <v>1588</v>
      </c>
      <c r="M243" s="605"/>
      <c r="N243" s="605"/>
      <c r="O243" s="621">
        <f t="shared" si="1"/>
        <v>42</v>
      </c>
    </row>
    <row r="244" spans="1:15" x14ac:dyDescent="0.2">
      <c r="A244" s="21">
        <f t="shared" si="2"/>
        <v>15</v>
      </c>
      <c r="B244" s="12" t="str">
        <f>IF(LEN(Translations!$B$943)&gt;250,LEFT(Translations!$B$943,250),Translations!$B$943)</f>
        <v xml:space="preserve">Manufacture of mineral wool insulation material using glass, rock or slag with a melting capacity exceeding 20 tonnes per day </v>
      </c>
      <c r="C244" s="604" t="str">
        <f t="shared" si="0"/>
        <v>Manufacture of mineral wool</v>
      </c>
      <c r="D244" s="7"/>
      <c r="E244" s="623" t="str">
        <f t="shared" ref="E244:K244" si="5">IF(E242="","",E242)</f>
        <v>Glass and mineral wool: Process (method A): carbonate only</v>
      </c>
      <c r="F244" s="623" t="str">
        <f t="shared" si="5"/>
        <v>Glass and mineral wool: Process (method A): mixed (carbonate + non-carbonate)</v>
      </c>
      <c r="G244" s="623" t="str">
        <f t="shared" si="5"/>
        <v>Glass and mineral wool: Process (method A): non-carbonate</v>
      </c>
      <c r="H244" s="623" t="str">
        <f t="shared" si="5"/>
        <v/>
      </c>
      <c r="I244" s="623" t="str">
        <f t="shared" si="5"/>
        <v/>
      </c>
      <c r="J244" s="623" t="str">
        <f t="shared" si="5"/>
        <v/>
      </c>
      <c r="K244" s="623" t="str">
        <f t="shared" si="5"/>
        <v/>
      </c>
      <c r="L244" s="605" t="s">
        <v>1588</v>
      </c>
      <c r="M244" s="605"/>
      <c r="N244" s="605"/>
      <c r="O244" s="621" t="str">
        <f t="shared" si="1"/>
        <v/>
      </c>
    </row>
    <row r="245" spans="1:15" x14ac:dyDescent="0.2">
      <c r="A245" s="21">
        <f t="shared" si="2"/>
        <v>16</v>
      </c>
      <c r="B245" s="12" t="str">
        <f>IF(LEN(Translations!$B$944)&gt;250,LEFT(Translations!$B$944,250),Translations!$B$944)</f>
        <v xml:space="preserve">Drying or calcination of gypsum or production of plaster boards and other gypsum products, where combustion units with a total rated thermal input exceeding 20 MW are operated </v>
      </c>
      <c r="C245" s="604" t="str">
        <f t="shared" si="0"/>
        <v>Production or processing of gypsum or plasterboard</v>
      </c>
      <c r="D245" s="7"/>
      <c r="E245" s="619"/>
      <c r="F245" s="619"/>
      <c r="G245" s="619"/>
      <c r="H245" s="619"/>
      <c r="I245" s="620"/>
      <c r="J245" s="620"/>
      <c r="K245" s="620"/>
      <c r="L245" s="605" t="s">
        <v>1588</v>
      </c>
      <c r="M245" s="605"/>
      <c r="N245" s="605"/>
      <c r="O245" s="621" t="str">
        <f t="shared" si="1"/>
        <v/>
      </c>
    </row>
    <row r="246" spans="1:15" x14ac:dyDescent="0.2">
      <c r="A246" s="21">
        <f t="shared" si="2"/>
        <v>17</v>
      </c>
      <c r="B246" s="12" t="str">
        <f>Translations!$B$945</f>
        <v xml:space="preserve">Production of pulp from timber or other fibrous materials </v>
      </c>
      <c r="C246" s="604" t="str">
        <f t="shared" si="0"/>
        <v>Production of pulp</v>
      </c>
      <c r="D246" s="7"/>
      <c r="E246" s="622" t="str">
        <f>IFERROR(IF(INDEX($B$265:$B$334,$O246+COLUMNS($E243:E243)-1)&lt;&gt;$C246,"",INDEX(EUConst_TierActivityListNames,$O246+COLUMNS($E243:E243)-1)),"")</f>
        <v>Pulp &amp; paper: Make up chemicals</v>
      </c>
      <c r="F246" s="622" t="str">
        <f>IFERROR(IF(INDEX($B$265:$B$334,$O246+COLUMNS($E243:F243)-1)&lt;&gt;$C246,"",INDEX(EUConst_TierActivityListNames,$O246+COLUMNS($E243:F243)-1)),"")</f>
        <v/>
      </c>
      <c r="G246" s="622" t="str">
        <f>IFERROR(IF(INDEX($B$265:$B$334,$O246+COLUMNS($E243:G243)-1)&lt;&gt;$C246,"",INDEX(EUConst_TierActivityListNames,$O246+COLUMNS($E243:G243)-1)),"")</f>
        <v/>
      </c>
      <c r="H246" s="622" t="str">
        <f>IFERROR(IF(INDEX($B$265:$B$334,$O246+COLUMNS($E243:H243)-1)&lt;&gt;$C246,"",INDEX(EUConst_TierActivityListNames,$O246+COLUMNS($E243:H243)-1)),"")</f>
        <v/>
      </c>
      <c r="I246" s="622" t="str">
        <f>IFERROR(IF(INDEX($B$265:$B$334,$O246+COLUMNS($E243:I243)-1)&lt;&gt;$C246,"",INDEX(EUConst_TierActivityListNames,$O246+COLUMNS($E243:I243)-1)),"")</f>
        <v/>
      </c>
      <c r="J246" s="622" t="str">
        <f>IFERROR(IF(INDEX($B$265:$B$334,$O246+COLUMNS($E243:J243)-1)&lt;&gt;$C246,"",INDEX(EUConst_TierActivityListNames,$O246+COLUMNS($E243:J243)-1)),"")</f>
        <v/>
      </c>
      <c r="K246" s="622" t="str">
        <f>IFERROR(IF(INDEX($B$265:$B$334,$O246+COLUMNS($E243:K243)-1)&lt;&gt;$C246,"",INDEX(EUConst_TierActivityListNames,$O246+COLUMNS($E243:K243)-1)),"")</f>
        <v/>
      </c>
      <c r="L246" s="605" t="s">
        <v>1588</v>
      </c>
      <c r="M246" s="605"/>
      <c r="N246" s="605"/>
      <c r="O246" s="621">
        <f t="shared" si="1"/>
        <v>47</v>
      </c>
    </row>
    <row r="247" spans="1:15" x14ac:dyDescent="0.2">
      <c r="A247" s="21">
        <f t="shared" si="2"/>
        <v>18</v>
      </c>
      <c r="B247" s="12" t="str">
        <f>IF(LEN(Translations!$B$946)&gt;250,LEFT(Translations!$B$946,250),Translations!$B$946)</f>
        <v xml:space="preserve">Production of paper or cardboard with a production capacity exceeding 20 tonnes per day </v>
      </c>
      <c r="C247" s="604" t="str">
        <f t="shared" si="0"/>
        <v>Production of paper or cardboard</v>
      </c>
      <c r="D247" s="7"/>
      <c r="E247" s="623" t="str">
        <f>IF(E246="","",E246)</f>
        <v>Pulp &amp; paper: Make up chemicals</v>
      </c>
      <c r="F247" s="623" t="str">
        <f t="shared" ref="F247:K247" si="6">IF(F246="","",F246)</f>
        <v/>
      </c>
      <c r="G247" s="623" t="str">
        <f t="shared" si="6"/>
        <v/>
      </c>
      <c r="H247" s="623" t="str">
        <f t="shared" si="6"/>
        <v/>
      </c>
      <c r="I247" s="623" t="str">
        <f t="shared" si="6"/>
        <v/>
      </c>
      <c r="J247" s="623" t="str">
        <f t="shared" si="6"/>
        <v/>
      </c>
      <c r="K247" s="623" t="str">
        <f t="shared" si="6"/>
        <v/>
      </c>
      <c r="L247" s="605" t="s">
        <v>1588</v>
      </c>
      <c r="M247" s="605"/>
      <c r="N247" s="605"/>
      <c r="O247" s="621" t="str">
        <f t="shared" si="1"/>
        <v/>
      </c>
    </row>
    <row r="248" spans="1:15" x14ac:dyDescent="0.2">
      <c r="A248" s="21">
        <f t="shared" si="2"/>
        <v>19</v>
      </c>
      <c r="B248" s="12" t="str">
        <f>IF(LEN(Translations!$B$947)&gt;250,LEFT(Translations!$B$947,250),Translations!$B$947)</f>
        <v xml:space="preserve">Production of carbon black involving the carbonisation of organic substances such as oils, tars, cracker and distillation residues, where combustion units with a total rated thermal input exceeding 20 MW are operated </v>
      </c>
      <c r="C248" s="604" t="str">
        <f t="shared" si="0"/>
        <v>Production of carbon black</v>
      </c>
      <c r="D248" s="7"/>
      <c r="E248" s="622" t="str">
        <f>IFERROR(IF(INDEX($B$265:$B$334,$O248+COLUMNS($E245:E245)-1)&lt;&gt;$C248,"",INDEX(EUConst_TierActivityListNames,$O248+COLUMNS($E245:E245)-1)),"")</f>
        <v>Carbon black: Mass balance methodology</v>
      </c>
      <c r="F248" s="622" t="str">
        <f>IFERROR(IF(INDEX($B$265:$B$334,$O248+COLUMNS($E245:F245)-1)&lt;&gt;$C248,"",INDEX(EUConst_TierActivityListNames,$O248+COLUMNS($E245:F245)-1)),"")</f>
        <v/>
      </c>
      <c r="G248" s="622" t="str">
        <f>IFERROR(IF(INDEX($B$265:$B$334,$O248+COLUMNS($E245:G245)-1)&lt;&gt;$C248,"",INDEX(EUConst_TierActivityListNames,$O248+COLUMNS($E245:G245)-1)),"")</f>
        <v/>
      </c>
      <c r="H248" s="622" t="str">
        <f>IFERROR(IF(INDEX($B$265:$B$334,$O248+COLUMNS($E245:H245)-1)&lt;&gt;$C248,"",INDEX(EUConst_TierActivityListNames,$O248+COLUMNS($E245:H245)-1)),"")</f>
        <v/>
      </c>
      <c r="I248" s="622" t="str">
        <f>IFERROR(IF(INDEX($B$265:$B$334,$O248+COLUMNS($E245:I245)-1)&lt;&gt;$C248,"",INDEX(EUConst_TierActivityListNames,$O248+COLUMNS($E245:I245)-1)),"")</f>
        <v/>
      </c>
      <c r="J248" s="622" t="str">
        <f>IFERROR(IF(INDEX($B$265:$B$334,$O248+COLUMNS($E245:J245)-1)&lt;&gt;$C248,"",INDEX(EUConst_TierActivityListNames,$O248+COLUMNS($E245:J245)-1)),"")</f>
        <v/>
      </c>
      <c r="K248" s="622" t="str">
        <f>IFERROR(IF(INDEX($B$265:$B$334,$O248+COLUMNS($E245:K245)-1)&lt;&gt;$C248,"",INDEX(EUConst_TierActivityListNames,$O248+COLUMNS($E245:K245)-1)),"")</f>
        <v/>
      </c>
      <c r="L248" s="605" t="s">
        <v>1588</v>
      </c>
      <c r="M248" s="605"/>
      <c r="N248" s="605"/>
      <c r="O248" s="621">
        <f t="shared" si="1"/>
        <v>48</v>
      </c>
    </row>
    <row r="249" spans="1:15" x14ac:dyDescent="0.2">
      <c r="A249" s="21">
        <f t="shared" si="2"/>
        <v>20</v>
      </c>
      <c r="B249" s="12" t="str">
        <f>Translations!$B$874</f>
        <v>Production of nitric acid</v>
      </c>
      <c r="C249" s="604" t="str">
        <f t="shared" si="0"/>
        <v>Production of nitric acid</v>
      </c>
      <c r="D249" s="7"/>
      <c r="E249" s="619"/>
      <c r="F249" s="619"/>
      <c r="G249" s="619"/>
      <c r="H249" s="619"/>
      <c r="I249" s="620"/>
      <c r="J249" s="620"/>
      <c r="K249" s="620"/>
      <c r="L249" s="605" t="str">
        <f>Translations!$B$886</f>
        <v>CO2 &amp; N2O</v>
      </c>
      <c r="M249" s="605"/>
      <c r="N249" s="605"/>
      <c r="O249" s="621" t="str">
        <f t="shared" si="1"/>
        <v/>
      </c>
    </row>
    <row r="250" spans="1:15" x14ac:dyDescent="0.2">
      <c r="A250" s="21">
        <f t="shared" si="2"/>
        <v>21</v>
      </c>
      <c r="B250" s="12" t="str">
        <f>Translations!$B$875</f>
        <v>Production of adipic acid</v>
      </c>
      <c r="C250" s="604" t="str">
        <f t="shared" si="0"/>
        <v>Production of adipic acid</v>
      </c>
      <c r="D250" s="7"/>
      <c r="E250" s="619"/>
      <c r="F250" s="619"/>
      <c r="G250" s="619"/>
      <c r="H250" s="619"/>
      <c r="I250" s="620"/>
      <c r="J250" s="620"/>
      <c r="K250" s="620"/>
      <c r="L250" s="605" t="str">
        <f>Translations!$B$886</f>
        <v>CO2 &amp; N2O</v>
      </c>
      <c r="M250" s="605"/>
      <c r="N250" s="605"/>
      <c r="O250" s="621" t="str">
        <f t="shared" si="1"/>
        <v/>
      </c>
    </row>
    <row r="251" spans="1:15" x14ac:dyDescent="0.2">
      <c r="A251" s="21">
        <f t="shared" si="2"/>
        <v>22</v>
      </c>
      <c r="B251" s="12" t="str">
        <f>Translations!$B$876</f>
        <v>Production of glyoxal and glyoxylic acid</v>
      </c>
      <c r="C251" s="604" t="str">
        <f t="shared" si="0"/>
        <v>Production of glyoxal and glyoxylic acid</v>
      </c>
      <c r="D251" s="7"/>
      <c r="E251" s="619"/>
      <c r="F251" s="619"/>
      <c r="G251" s="619"/>
      <c r="H251" s="619"/>
      <c r="I251" s="620"/>
      <c r="J251" s="620"/>
      <c r="K251" s="620"/>
      <c r="L251" s="605" t="str">
        <f>Translations!$B$886</f>
        <v>CO2 &amp; N2O</v>
      </c>
      <c r="M251" s="605"/>
      <c r="N251" s="605"/>
      <c r="O251" s="621" t="str">
        <f t="shared" si="1"/>
        <v/>
      </c>
    </row>
    <row r="252" spans="1:15" x14ac:dyDescent="0.2">
      <c r="A252" s="21">
        <f t="shared" si="2"/>
        <v>23</v>
      </c>
      <c r="B252" s="12" t="str">
        <f>Translations!$B$877</f>
        <v>Production of ammonia</v>
      </c>
      <c r="C252" s="604" t="str">
        <f t="shared" si="0"/>
        <v>Production of ammonia</v>
      </c>
      <c r="D252" s="7"/>
      <c r="E252" s="622" t="str">
        <f>IFERROR(IF(INDEX($B$265:$B$334,$O252+COLUMNS($E249:E249)-1)&lt;&gt;$C252,"",INDEX(EUConst_TierActivityListNames,$O252+COLUMNS($E249:E249)-1)),"")</f>
        <v>Ammonia: Fuel as process input</v>
      </c>
      <c r="F252" s="622" t="str">
        <f>IFERROR(IF(INDEX($B$265:$B$334,$O252+COLUMNS($E249:F249)-1)&lt;&gt;$C252,"",INDEX(EUConst_TierActivityListNames,$O252+COLUMNS($E249:F249)-1)),"")</f>
        <v/>
      </c>
      <c r="G252" s="622" t="str">
        <f>IFERROR(IF(INDEX($B$265:$B$334,$O252+COLUMNS($E249:G249)-1)&lt;&gt;$C252,"",INDEX(EUConst_TierActivityListNames,$O252+COLUMNS($E249:G249)-1)),"")</f>
        <v/>
      </c>
      <c r="H252" s="622" t="str">
        <f>IFERROR(IF(INDEX($B$265:$B$334,$O252+COLUMNS($E249:H249)-1)&lt;&gt;$C252,"",INDEX(EUConst_TierActivityListNames,$O252+COLUMNS($E249:H249)-1)),"")</f>
        <v/>
      </c>
      <c r="I252" s="622" t="str">
        <f>IFERROR(IF(INDEX($B$265:$B$334,$O252+COLUMNS($E249:I249)-1)&lt;&gt;$C252,"",INDEX(EUConst_TierActivityListNames,$O252+COLUMNS($E249:I249)-1)),"")</f>
        <v/>
      </c>
      <c r="J252" s="622" t="str">
        <f>IFERROR(IF(INDEX($B$265:$B$334,$O252+COLUMNS($E249:J249)-1)&lt;&gt;$C252,"",INDEX(EUConst_TierActivityListNames,$O252+COLUMNS($E249:J249)-1)),"")</f>
        <v/>
      </c>
      <c r="K252" s="622" t="str">
        <f>IFERROR(IF(INDEX($B$265:$B$334,$O252+COLUMNS($E249:K249)-1)&lt;&gt;$C252,"",INDEX(EUConst_TierActivityListNames,$O252+COLUMNS($E249:K249)-1)),"")</f>
        <v/>
      </c>
      <c r="L252" s="605" t="s">
        <v>1588</v>
      </c>
      <c r="M252" s="605"/>
      <c r="N252" s="605"/>
      <c r="O252" s="621">
        <f t="shared" si="1"/>
        <v>49</v>
      </c>
    </row>
    <row r="253" spans="1:15" x14ac:dyDescent="0.2">
      <c r="A253" s="21">
        <f t="shared" si="2"/>
        <v>24</v>
      </c>
      <c r="B253" s="12" t="str">
        <f>IF(LEN(Translations!$B$948)&gt;250,LEFT(Translations!$B$948,250),Translations!$B$948)</f>
        <v xml:space="preserve">Production of bulk organic chemicals by cracking, reforming, partial or full oxidation or by similar processes, with a production capacity exceeding 100 tonnes per day </v>
      </c>
      <c r="C253" s="604" t="str">
        <f t="shared" si="0"/>
        <v>Production of bulk chemicals</v>
      </c>
      <c r="D253" s="7"/>
      <c r="E253" s="622" t="str">
        <f>IFERROR(IF(INDEX($B$265:$B$334,$O253+COLUMNS($E250:E250)-1)&lt;&gt;$C253,"",INDEX(EUConst_TierActivityListNames,$O253+COLUMNS($E250:E250)-1)),"")</f>
        <v>Bulk organic chemicals: Mass balance methodology</v>
      </c>
      <c r="F253" s="622" t="str">
        <f>IFERROR(IF(INDEX($B$265:$B$334,$O253+COLUMNS($E250:F250)-1)&lt;&gt;$C253,"",INDEX(EUConst_TierActivityListNames,$O253+COLUMNS($E250:F250)-1)),"")</f>
        <v/>
      </c>
      <c r="G253" s="622" t="str">
        <f>IFERROR(IF(INDEX($B$265:$B$334,$O253+COLUMNS($E250:G250)-1)&lt;&gt;$C253,"",INDEX(EUConst_TierActivityListNames,$O253+COLUMNS($E250:G250)-1)),"")</f>
        <v/>
      </c>
      <c r="H253" s="622" t="str">
        <f>IFERROR(IF(INDEX($B$265:$B$334,$O253+COLUMNS($E250:H250)-1)&lt;&gt;$C253,"",INDEX(EUConst_TierActivityListNames,$O253+COLUMNS($E250:H250)-1)),"")</f>
        <v/>
      </c>
      <c r="I253" s="622" t="str">
        <f>IFERROR(IF(INDEX($B$265:$B$334,$O253+COLUMNS($E250:I250)-1)&lt;&gt;$C253,"",INDEX(EUConst_TierActivityListNames,$O253+COLUMNS($E250:I250)-1)),"")</f>
        <v/>
      </c>
      <c r="J253" s="622" t="str">
        <f>IFERROR(IF(INDEX($B$265:$B$334,$O253+COLUMNS($E250:J250)-1)&lt;&gt;$C253,"",INDEX(EUConst_TierActivityListNames,$O253+COLUMNS($E250:J250)-1)),"")</f>
        <v/>
      </c>
      <c r="K253" s="622" t="str">
        <f>IFERROR(IF(INDEX($B$265:$B$334,$O253+COLUMNS($E250:K250)-1)&lt;&gt;$C253,"",INDEX(EUConst_TierActivityListNames,$O253+COLUMNS($E250:K250)-1)),"")</f>
        <v/>
      </c>
      <c r="L253" s="605" t="s">
        <v>1588</v>
      </c>
      <c r="M253" s="605"/>
      <c r="N253" s="605"/>
      <c r="O253" s="621">
        <f t="shared" si="1"/>
        <v>52</v>
      </c>
    </row>
    <row r="254" spans="1:15" x14ac:dyDescent="0.2">
      <c r="A254" s="21">
        <f t="shared" si="2"/>
        <v>25</v>
      </c>
      <c r="B254" s="12" t="str">
        <f>IF(LEN(Translations!$B$949)&gt;250,LEFT(Translations!$B$949,250),Translations!$B$949)</f>
        <v xml:space="preserve">Production of hydrogen (H2) and synthesis gas by reforming or partial oxidation with a production capacity exceeding 25 tonnes per day </v>
      </c>
      <c r="C254" s="604" t="str">
        <f t="shared" si="0"/>
        <v>Production of hydrogen and synthesis gas</v>
      </c>
      <c r="D254" s="7"/>
      <c r="E254" s="622" t="str">
        <f>IFERROR(IF(INDEX($B$265:$B$334,$O254+COLUMNS($E251:E251)-1)&lt;&gt;$C254,"",INDEX(EUConst_TierActivityListNames,$O254+COLUMNS($E251:E251)-1)),"")</f>
        <v>Hydrogen and synthesis gas: Fuel as process input</v>
      </c>
      <c r="F254" s="622" t="str">
        <f>IFERROR(IF(INDEX($B$265:$B$334,$O254+COLUMNS($E251:F251)-1)&lt;&gt;$C254,"",INDEX(EUConst_TierActivityListNames,$O254+COLUMNS($E251:F251)-1)),"")</f>
        <v>Hydrogen and synthesis gas: Mass balance methodology</v>
      </c>
      <c r="G254" s="622" t="str">
        <f>IFERROR(IF(INDEX($B$265:$B$334,$O254+COLUMNS($E251:G251)-1)&lt;&gt;$C254,"",INDEX(EUConst_TierActivityListNames,$O254+COLUMNS($E251:G251)-1)),"")</f>
        <v/>
      </c>
      <c r="H254" s="622" t="str">
        <f>IFERROR(IF(INDEX($B$265:$B$334,$O254+COLUMNS($E251:H251)-1)&lt;&gt;$C254,"",INDEX(EUConst_TierActivityListNames,$O254+COLUMNS($E251:H251)-1)),"")</f>
        <v/>
      </c>
      <c r="I254" s="622" t="str">
        <f>IFERROR(IF(INDEX($B$265:$B$334,$O254+COLUMNS($E251:I251)-1)&lt;&gt;$C254,"",INDEX(EUConst_TierActivityListNames,$O254+COLUMNS($E251:I251)-1)),"")</f>
        <v/>
      </c>
      <c r="J254" s="622" t="str">
        <f>IFERROR(IF(INDEX($B$265:$B$334,$O254+COLUMNS($E251:J251)-1)&lt;&gt;$C254,"",INDEX(EUConst_TierActivityListNames,$O254+COLUMNS($E251:J251)-1)),"")</f>
        <v/>
      </c>
      <c r="K254" s="622" t="str">
        <f>IFERROR(IF(INDEX($B$265:$B$334,$O254+COLUMNS($E251:K251)-1)&lt;&gt;$C254,"",INDEX(EUConst_TierActivityListNames,$O254+COLUMNS($E251:K251)-1)),"")</f>
        <v/>
      </c>
      <c r="L254" s="605" t="s">
        <v>1588</v>
      </c>
      <c r="M254" s="605"/>
      <c r="N254" s="605"/>
      <c r="O254" s="621">
        <f t="shared" si="1"/>
        <v>50</v>
      </c>
    </row>
    <row r="255" spans="1:15" x14ac:dyDescent="0.2">
      <c r="A255" s="21">
        <f t="shared" si="2"/>
        <v>26</v>
      </c>
      <c r="B255" s="12" t="str">
        <f>Translations!$B$950</f>
        <v xml:space="preserve">Production of soda ash (Na2CO3) and sodium bicarbonate (NaHCO3) </v>
      </c>
      <c r="C255" s="604" t="str">
        <f t="shared" si="0"/>
        <v>Production of soda ash and sodium bicarbonate</v>
      </c>
      <c r="D255" s="7"/>
      <c r="E255" s="622" t="str">
        <f>IFERROR(IF(INDEX($B$265:$B$334,$O255+COLUMNS($E252:E252)-1)&lt;&gt;$C255,"",INDEX(EUConst_TierActivityListNames,$O255+COLUMNS($E252:E252)-1)),"")</f>
        <v>Soda ash / sodium bicarbonate: Mass balance methodology</v>
      </c>
      <c r="F255" s="622" t="str">
        <f>IFERROR(IF(INDEX($B$265:$B$334,$O255+COLUMNS($E252:F252)-1)&lt;&gt;$C255,"",INDEX(EUConst_TierActivityListNames,$O255+COLUMNS($E252:F252)-1)),"")</f>
        <v/>
      </c>
      <c r="G255" s="622" t="str">
        <f>IFERROR(IF(INDEX($B$265:$B$334,$O255+COLUMNS($E252:G252)-1)&lt;&gt;$C255,"",INDEX(EUConst_TierActivityListNames,$O255+COLUMNS($E252:G252)-1)),"")</f>
        <v/>
      </c>
      <c r="H255" s="622" t="str">
        <f>IFERROR(IF(INDEX($B$265:$B$334,$O255+COLUMNS($E252:H252)-1)&lt;&gt;$C255,"",INDEX(EUConst_TierActivityListNames,$O255+COLUMNS($E252:H252)-1)),"")</f>
        <v/>
      </c>
      <c r="I255" s="622" t="str">
        <f>IFERROR(IF(INDEX($B$265:$B$334,$O255+COLUMNS($E252:I252)-1)&lt;&gt;$C255,"",INDEX(EUConst_TierActivityListNames,$O255+COLUMNS($E252:I252)-1)),"")</f>
        <v/>
      </c>
      <c r="J255" s="622" t="str">
        <f>IFERROR(IF(INDEX($B$265:$B$334,$O255+COLUMNS($E252:J252)-1)&lt;&gt;$C255,"",INDEX(EUConst_TierActivityListNames,$O255+COLUMNS($E252:J252)-1)),"")</f>
        <v/>
      </c>
      <c r="K255" s="622" t="str">
        <f>IFERROR(IF(INDEX($B$265:$B$334,$O255+COLUMNS($E252:K252)-1)&lt;&gt;$C255,"",INDEX(EUConst_TierActivityListNames,$O255+COLUMNS($E252:K252)-1)),"")</f>
        <v/>
      </c>
      <c r="L255" s="605" t="s">
        <v>1588</v>
      </c>
      <c r="M255" s="605"/>
      <c r="N255" s="605"/>
      <c r="O255" s="621">
        <f t="shared" si="1"/>
        <v>58</v>
      </c>
    </row>
    <row r="256" spans="1:15" x14ac:dyDescent="0.2">
      <c r="A256" s="21">
        <f t="shared" si="2"/>
        <v>27</v>
      </c>
      <c r="B256" s="12" t="str">
        <f>IF(LEN(Translations!$B$951)&gt;250,LEFT(Translations!$B$951,250),Translations!$B$951)</f>
        <v>Capture of greenhouse gases from installations covered by this Directive for the purpose of transport and geological storage in a storage site permitted under Directive 2009/31/EC</v>
      </c>
      <c r="C256" s="604" t="str">
        <f t="shared" si="0"/>
        <v>Capture of greenhouse gases under Directive 2009/31/EC</v>
      </c>
      <c r="D256" s="7"/>
      <c r="E256" s="622" t="str">
        <f>IFERROR(IF(INDEX($B$265:$B$334,$O256+COLUMNS($E253:E253)-1)&lt;&gt;$C256,"",INDEX(EUConst_TierActivityListNames,$O256+COLUMNS($E253:E253)-1)),"")</f>
        <v>CCS: Capture: CO2 transferred</v>
      </c>
      <c r="F256" s="622" t="str">
        <f>IFERROR(IF(INDEX($B$265:$B$334,$O256+COLUMNS($E253:F253)-1)&lt;&gt;$C256,"",INDEX(EUConst_TierActivityListNames,$O256+COLUMNS($E253:F253)-1)),"")</f>
        <v/>
      </c>
      <c r="G256" s="622" t="str">
        <f>IFERROR(IF(INDEX($B$265:$B$334,$O256+COLUMNS($E253:G253)-1)&lt;&gt;$C256,"",INDEX(EUConst_TierActivityListNames,$O256+COLUMNS($E253:G253)-1)),"")</f>
        <v/>
      </c>
      <c r="H256" s="622" t="str">
        <f>IFERROR(IF(INDEX($B$265:$B$334,$O256+COLUMNS($E253:H253)-1)&lt;&gt;$C256,"",INDEX(EUConst_TierActivityListNames,$O256+COLUMNS($E253:H253)-1)),"")</f>
        <v/>
      </c>
      <c r="I256" s="622" t="str">
        <f>IFERROR(IF(INDEX($B$265:$B$334,$O256+COLUMNS($E253:I253)-1)&lt;&gt;$C256,"",INDEX(EUConst_TierActivityListNames,$O256+COLUMNS($E253:I253)-1)),"")</f>
        <v/>
      </c>
      <c r="J256" s="622" t="str">
        <f>IFERROR(IF(INDEX($B$265:$B$334,$O256+COLUMNS($E253:J253)-1)&lt;&gt;$C256,"",INDEX(EUConst_TierActivityListNames,$O256+COLUMNS($E253:J253)-1)),"")</f>
        <v/>
      </c>
      <c r="K256" s="622" t="str">
        <f>IFERROR(IF(INDEX($B$265:$B$334,$O256+COLUMNS($E253:K253)-1)&lt;&gt;$C256,"",INDEX(EUConst_TierActivityListNames,$O256+COLUMNS($E253:K253)-1)),"")</f>
        <v/>
      </c>
      <c r="L256" s="605" t="s">
        <v>1588</v>
      </c>
      <c r="M256" s="605"/>
      <c r="N256" s="605"/>
      <c r="O256" s="621">
        <f t="shared" si="1"/>
        <v>62</v>
      </c>
    </row>
    <row r="257" spans="1:26" x14ac:dyDescent="0.2">
      <c r="A257" s="21">
        <f t="shared" si="2"/>
        <v>28</v>
      </c>
      <c r="B257" s="12" t="str">
        <f>IF(LEN(Translations!$B$952)&gt;250,LEFT(Translations!$B$952,250),Translations!$B$952)</f>
        <v>Transport of greenhouse gases by pipelines for geological storage in a storage site permitted under Directive 2009/31/EC</v>
      </c>
      <c r="C257" s="604" t="str">
        <f t="shared" si="0"/>
        <v>Transport of greenhouse gases under Directive 2009/31/EC</v>
      </c>
      <c r="D257" s="7"/>
      <c r="E257" s="622" t="str">
        <f>IFERROR(IF(INDEX($B$265:$B$334,$O257+COLUMNS($E254:E254)-1)&lt;&gt;$C257,"",INDEX(EUConst_TierActivityListNames,$O257+COLUMNS($E254:E254)-1)),"")</f>
        <v>CCS: Transport: CO2 transferred</v>
      </c>
      <c r="F257" s="622" t="str">
        <f>IFERROR(IF(INDEX($B$265:$B$334,$O257+COLUMNS($E254:F254)-1)&lt;&gt;$C257,"",INDEX(EUConst_TierActivityListNames,$O257+COLUMNS($E254:F254)-1)),"")</f>
        <v>CCS: Transport: CO2 vented</v>
      </c>
      <c r="G257" s="622" t="str">
        <f>IFERROR(IF(INDEX($B$265:$B$334,$O257+COLUMNS($E254:G254)-1)&lt;&gt;$C257,"",INDEX(EUConst_TierActivityListNames,$O257+COLUMNS($E254:G254)-1)),"")</f>
        <v>CCS: Transport: CO2 leaked</v>
      </c>
      <c r="H257" s="622" t="str">
        <f>IFERROR(IF(INDEX($B$265:$B$334,$O257+COLUMNS($E254:H254)-1)&lt;&gt;$C257,"",INDEX(EUConst_TierActivityListNames,$O257+COLUMNS($E254:H254)-1)),"")</f>
        <v>CCS: Transport: CO2 fugitive</v>
      </c>
      <c r="I257" s="622" t="str">
        <f>IFERROR(IF(INDEX($B$265:$B$334,$O257+COLUMNS($E254:I254)-1)&lt;&gt;$C257,"",INDEX(EUConst_TierActivityListNames,$O257+COLUMNS($E254:I254)-1)),"")</f>
        <v/>
      </c>
      <c r="J257" s="622" t="str">
        <f>IFERROR(IF(INDEX($B$265:$B$334,$O257+COLUMNS($E254:J254)-1)&lt;&gt;$C257,"",INDEX(EUConst_TierActivityListNames,$O257+COLUMNS($E254:J254)-1)),"")</f>
        <v/>
      </c>
      <c r="K257" s="622" t="str">
        <f>IFERROR(IF(INDEX($B$265:$B$334,$O257+COLUMNS($E254:K254)-1)&lt;&gt;$C257,"",INDEX(EUConst_TierActivityListNames,$O257+COLUMNS($E254:K254)-1)),"")</f>
        <v/>
      </c>
      <c r="L257" s="605" t="s">
        <v>1588</v>
      </c>
      <c r="M257" s="605"/>
      <c r="N257" s="605"/>
      <c r="O257" s="621">
        <f t="shared" si="1"/>
        <v>63</v>
      </c>
    </row>
    <row r="258" spans="1:26" x14ac:dyDescent="0.2">
      <c r="A258" s="21">
        <f t="shared" si="2"/>
        <v>29</v>
      </c>
      <c r="B258" s="12" t="str">
        <f>IF(LEN(Translations!$B$953)&gt;250,LEFT(Translations!$B$953,250),Translations!$B$953)</f>
        <v>Geological storage of greenhouse gases in a storage site permitted under Directive 2009/31/EC</v>
      </c>
      <c r="C258" s="604" t="str">
        <f t="shared" si="0"/>
        <v>Storage of greenhouse gases under Directive 2009/31/EC</v>
      </c>
      <c r="D258" s="7"/>
      <c r="E258" s="622" t="str">
        <f>IFERROR(IF(INDEX($B$265:$B$334,$O258+COLUMNS($E255:E255)-1)&lt;&gt;$C258,"",INDEX(EUConst_TierActivityListNames,$O258+COLUMNS($E255:E255)-1)),"")</f>
        <v>CCS: Storage: CO2 transferred</v>
      </c>
      <c r="F258" s="622" t="str">
        <f>IFERROR(IF(INDEX($B$265:$B$334,$O258+COLUMNS($E255:F255)-1)&lt;&gt;$C258,"",INDEX(EUConst_TierActivityListNames,$O258+COLUMNS($E255:F255)-1)),"")</f>
        <v>CCS: Storage: CO2 vented</v>
      </c>
      <c r="G258" s="622" t="str">
        <f>IFERROR(IF(INDEX($B$265:$B$334,$O258+COLUMNS($E255:G255)-1)&lt;&gt;$C258,"",INDEX(EUConst_TierActivityListNames,$O258+COLUMNS($E255:G255)-1)),"")</f>
        <v>CCS: Storage: CO2 leaked</v>
      </c>
      <c r="H258" s="622" t="str">
        <f>IFERROR(IF(INDEX($B$265:$B$334,$O258+COLUMNS($E255:H255)-1)&lt;&gt;$C258,"",INDEX(EUConst_TierActivityListNames,$O258+COLUMNS($E255:H255)-1)),"")</f>
        <v>CCS: Storage: CO2 fugitive</v>
      </c>
      <c r="I258" s="622" t="str">
        <f>IFERROR(IF(INDEX($B$265:$B$334,$O258+COLUMNS($E255:I255)-1)&lt;&gt;$C258,"",INDEX(EUConst_TierActivityListNames,$O258+COLUMNS($E255:I255)-1)),"")</f>
        <v/>
      </c>
      <c r="J258" s="622" t="str">
        <f>IFERROR(IF(INDEX($B$265:$B$334,$O258+COLUMNS($E255:J255)-1)&lt;&gt;$C258,"",INDEX(EUConst_TierActivityListNames,$O258+COLUMNS($E255:J255)-1)),"")</f>
        <v/>
      </c>
      <c r="K258" s="622" t="str">
        <f>IFERROR(IF(INDEX($B$265:$B$334,$O258+COLUMNS($E255:K255)-1)&lt;&gt;$C258,"",INDEX(EUConst_TierActivityListNames,$O258+COLUMNS($E255:K255)-1)),"")</f>
        <v/>
      </c>
      <c r="L258" s="605" t="s">
        <v>1588</v>
      </c>
      <c r="M258" s="605"/>
      <c r="N258" s="605"/>
      <c r="O258" s="621">
        <f t="shared" si="1"/>
        <v>67</v>
      </c>
    </row>
    <row r="261" spans="1:26" s="137" customFormat="1" x14ac:dyDescent="0.2"/>
    <row r="263" spans="1:26" s="142" customFormat="1" x14ac:dyDescent="0.2">
      <c r="B263" s="143" t="str">
        <f>Translations!$B$954</f>
        <v>Activity data</v>
      </c>
      <c r="C263" s="143"/>
      <c r="G263" s="144" t="str">
        <f>Translations!$B$955</f>
        <v>Tier</v>
      </c>
      <c r="H263" s="144" t="str">
        <f>Translations!$B$955</f>
        <v>Tier</v>
      </c>
      <c r="I263" s="144" t="str">
        <f>Translations!$B$955</f>
        <v>Tier</v>
      </c>
      <c r="J263" s="144" t="str">
        <f>Translations!$B$955</f>
        <v>Tier</v>
      </c>
      <c r="K263" s="144" t="str">
        <f>Translations!$B$955</f>
        <v>Tier</v>
      </c>
      <c r="L263" s="144" t="str">
        <f>Translations!$B$955</f>
        <v>Tier</v>
      </c>
      <c r="M263" s="144" t="str">
        <f>Translations!$B$955</f>
        <v>Tier</v>
      </c>
      <c r="N263" s="144" t="str">
        <f>Translations!$B$955</f>
        <v>Tier</v>
      </c>
      <c r="O263" s="144" t="str">
        <f>Translations!$B$955</f>
        <v>Tier</v>
      </c>
    </row>
    <row r="264" spans="1:26" s="142" customFormat="1" ht="12.75" customHeight="1" outlineLevel="1" x14ac:dyDescent="0.2">
      <c r="B264" s="143" t="str">
        <f>Translations!$B$956</f>
        <v>Activity</v>
      </c>
      <c r="C264" s="143" t="str">
        <f>Translations!$B$957</f>
        <v>Short name</v>
      </c>
      <c r="D264" s="143" t="str">
        <f>Translations!$B$958</f>
        <v>Sub-activity</v>
      </c>
      <c r="E264" s="143" t="str">
        <f>Translations!$B$389</f>
        <v>Parameter</v>
      </c>
      <c r="F264" s="143" t="str">
        <f>Translations!$B$959</f>
        <v>Source type</v>
      </c>
      <c r="G264" s="144" t="str">
        <f>Translations!$B$960</f>
        <v>Minimum</v>
      </c>
      <c r="H264" s="144">
        <v>1</v>
      </c>
      <c r="I264" s="144">
        <v>2</v>
      </c>
      <c r="J264" s="144" t="s">
        <v>1325</v>
      </c>
      <c r="K264" s="144" t="str">
        <f>Translations!$B$928</f>
        <v>2b</v>
      </c>
      <c r="L264" s="144">
        <v>3</v>
      </c>
      <c r="M264" s="144" t="s">
        <v>1759</v>
      </c>
      <c r="N264" s="144" t="s">
        <v>1760</v>
      </c>
      <c r="O264" s="144">
        <v>4</v>
      </c>
      <c r="P264" s="144" t="str">
        <f>Translations!$B$961</f>
        <v>Highest</v>
      </c>
      <c r="Q264" s="145"/>
      <c r="W264" s="142" t="s">
        <v>1833</v>
      </c>
      <c r="Z264" s="142" t="str">
        <f>Translations!$B$962</f>
        <v>make grey?</v>
      </c>
    </row>
    <row r="265" spans="1:26" ht="12.75" customHeight="1" outlineLevel="1" x14ac:dyDescent="0.2">
      <c r="A265" s="21">
        <v>1</v>
      </c>
      <c r="B265" s="17" t="str">
        <f>C230</f>
        <v>Combustion of fuels</v>
      </c>
      <c r="C265" s="17" t="str">
        <f>Translations!$B$964</f>
        <v>Combustion</v>
      </c>
      <c r="D265" s="17" t="str">
        <f>Translations!$B$965</f>
        <v>Commercial standard fuels</v>
      </c>
      <c r="E265" s="17" t="str">
        <f>Translations!$B$442</f>
        <v>Amount of fuel [t] or [Nm3]</v>
      </c>
      <c r="F265" s="151" t="str">
        <f>EUconst_Fuel</f>
        <v>Standard method: Fuel, Article 24(1)</v>
      </c>
      <c r="G265" s="103">
        <v>2</v>
      </c>
      <c r="H265" s="146" t="str">
        <f>Translations!$B$966</f>
        <v>± 7,5%</v>
      </c>
      <c r="I265" s="146" t="str">
        <f>Translations!$B$967</f>
        <v>± 5,0%</v>
      </c>
      <c r="J265" s="17"/>
      <c r="K265" s="17"/>
      <c r="L265" s="146" t="str">
        <f>Translations!$B$968</f>
        <v>± 2,5%</v>
      </c>
      <c r="M265" s="146"/>
      <c r="N265" s="146"/>
      <c r="O265" s="146" t="str">
        <f>Translations!$B$969</f>
        <v>± 1,5%</v>
      </c>
      <c r="P265" s="103">
        <f t="shared" ref="P265:P289" si="7">COUNTA(H265:O265)</f>
        <v>4</v>
      </c>
      <c r="Q265" s="147" t="str">
        <f t="shared" ref="Q265:Q289" si="8">C265 &amp; ": " &amp;D265</f>
        <v>Combustion: Commercial standard fuels</v>
      </c>
      <c r="R265" s="17"/>
      <c r="S265" s="17" t="str">
        <f t="shared" ref="S265:S289" si="9">EUconst_CNTR_ActivityData&amp;Q265</f>
        <v>ActivityData_Combustion: Commercial standard fuels</v>
      </c>
      <c r="W265" s="21" t="b">
        <v>0</v>
      </c>
      <c r="Z265" s="21" t="b">
        <f t="shared" ref="Z265:Z309" si="10">IF(G265=EUconst_NA,TRUE,FALSE)</f>
        <v>0</v>
      </c>
    </row>
    <row r="266" spans="1:26" ht="12.75" customHeight="1" outlineLevel="1" x14ac:dyDescent="0.2">
      <c r="A266" s="21">
        <v>2</v>
      </c>
      <c r="B266" s="17" t="str">
        <f t="shared" ref="B266:C273" si="11">B265</f>
        <v>Combustion of fuels</v>
      </c>
      <c r="C266" s="17" t="str">
        <f t="shared" si="11"/>
        <v>Combustion</v>
      </c>
      <c r="D266" s="17" t="str">
        <f>Translations!$B$970</f>
        <v>Other gaseous &amp; liquid fuels</v>
      </c>
      <c r="E266" s="17" t="str">
        <f>Translations!$B$442</f>
        <v>Amount of fuel [t] or [Nm3]</v>
      </c>
      <c r="F266" s="151" t="str">
        <f>$F$265</f>
        <v>Standard method: Fuel, Article 24(1)</v>
      </c>
      <c r="G266" s="103">
        <v>2</v>
      </c>
      <c r="H266" s="146" t="str">
        <f>Translations!$B$966</f>
        <v>± 7,5%</v>
      </c>
      <c r="I266" s="146" t="str">
        <f>Translations!$B$967</f>
        <v>± 5,0%</v>
      </c>
      <c r="J266" s="17"/>
      <c r="K266" s="17"/>
      <c r="L266" s="146" t="str">
        <f>Translations!$B$968</f>
        <v>± 2,5%</v>
      </c>
      <c r="M266" s="146"/>
      <c r="N266" s="146"/>
      <c r="O266" s="146" t="str">
        <f>Translations!$B$969</f>
        <v>± 1,5%</v>
      </c>
      <c r="P266" s="103">
        <f t="shared" si="7"/>
        <v>4</v>
      </c>
      <c r="Q266" s="147" t="str">
        <f t="shared" si="8"/>
        <v>Combustion: Other gaseous &amp; liquid fuels</v>
      </c>
      <c r="R266" s="17"/>
      <c r="S266" s="17" t="str">
        <f t="shared" si="9"/>
        <v>ActivityData_Combustion: Other gaseous &amp; liquid fuels</v>
      </c>
      <c r="W266" s="21" t="b">
        <v>0</v>
      </c>
      <c r="Z266" s="21" t="b">
        <f t="shared" si="10"/>
        <v>0</v>
      </c>
    </row>
    <row r="267" spans="1:26" ht="12.75" customHeight="1" outlineLevel="1" x14ac:dyDescent="0.2">
      <c r="A267" s="21">
        <v>3</v>
      </c>
      <c r="B267" s="17" t="str">
        <f t="shared" si="11"/>
        <v>Combustion of fuels</v>
      </c>
      <c r="C267" s="17" t="str">
        <f t="shared" si="11"/>
        <v>Combustion</v>
      </c>
      <c r="D267" s="17" t="str">
        <f>Translations!$B$1278</f>
        <v>Solid fuels, excluding waste</v>
      </c>
      <c r="E267" s="17" t="str">
        <f>Translations!$B$972</f>
        <v>Amount of fuel [t]</v>
      </c>
      <c r="F267" s="151" t="str">
        <f>$F$265</f>
        <v>Standard method: Fuel, Article 24(1)</v>
      </c>
      <c r="G267" s="103">
        <v>1</v>
      </c>
      <c r="H267" s="146" t="str">
        <f>Translations!$B$966</f>
        <v>± 7,5%</v>
      </c>
      <c r="I267" s="146" t="str">
        <f>Translations!$B$967</f>
        <v>± 5,0%</v>
      </c>
      <c r="J267" s="17"/>
      <c r="K267" s="17"/>
      <c r="L267" s="146" t="str">
        <f>Translations!$B$968</f>
        <v>± 2,5%</v>
      </c>
      <c r="M267" s="146"/>
      <c r="N267" s="146"/>
      <c r="O267" s="146" t="str">
        <f>Translations!$B$969</f>
        <v>± 1,5%</v>
      </c>
      <c r="P267" s="103">
        <f t="shared" si="7"/>
        <v>4</v>
      </c>
      <c r="Q267" s="147" t="str">
        <f t="shared" si="8"/>
        <v>Combustion: Solid fuels, excluding waste</v>
      </c>
      <c r="R267" s="17"/>
      <c r="S267" s="17" t="str">
        <f t="shared" si="9"/>
        <v>ActivityData_Combustion: Solid fuels, excluding waste</v>
      </c>
      <c r="W267" s="21" t="b">
        <v>0</v>
      </c>
      <c r="Z267" s="21" t="b">
        <f t="shared" si="10"/>
        <v>0</v>
      </c>
    </row>
    <row r="268" spans="1:26" ht="12.75" customHeight="1" outlineLevel="1" x14ac:dyDescent="0.2">
      <c r="A268" s="21">
        <v>4</v>
      </c>
      <c r="B268" s="17" t="str">
        <f>B267</f>
        <v>Combustion of fuels</v>
      </c>
      <c r="C268" s="17" t="str">
        <f>C267</f>
        <v>Combustion</v>
      </c>
      <c r="D268" s="17" t="str">
        <f>Translations!$B$1275</f>
        <v>Waste</v>
      </c>
      <c r="E268" s="17" t="str">
        <f>Translations!$B$972</f>
        <v>Amount of fuel [t]</v>
      </c>
      <c r="F268" s="151" t="str">
        <f>$F$265</f>
        <v>Standard method: Fuel, Article 24(1)</v>
      </c>
      <c r="G268" s="103">
        <v>1</v>
      </c>
      <c r="H268" s="146" t="str">
        <f>Translations!$B$966</f>
        <v>± 7,5%</v>
      </c>
      <c r="I268" s="146" t="str">
        <f>Translations!$B$967</f>
        <v>± 5,0%</v>
      </c>
      <c r="J268" s="17"/>
      <c r="K268" s="17"/>
      <c r="L268" s="146" t="str">
        <f>Translations!$B$968</f>
        <v>± 2,5%</v>
      </c>
      <c r="M268" s="146"/>
      <c r="N268" s="146"/>
      <c r="O268" s="146" t="str">
        <f>Translations!$B$969</f>
        <v>± 1,5%</v>
      </c>
      <c r="P268" s="103">
        <f>COUNTA(H268:O268)</f>
        <v>4</v>
      </c>
      <c r="Q268" s="147" t="str">
        <f>C268 &amp; ": " &amp;D268</f>
        <v>Combustion: Waste</v>
      </c>
      <c r="R268" s="17"/>
      <c r="S268" s="17" t="str">
        <f>EUconst_CNTR_ActivityData&amp;Q268</f>
        <v>ActivityData_Combustion: Waste</v>
      </c>
      <c r="W268" s="21" t="b">
        <v>0</v>
      </c>
      <c r="Z268" s="21" t="b">
        <f>IF(G268=EUconst_NA,TRUE,FALSE)</f>
        <v>0</v>
      </c>
    </row>
    <row r="269" spans="1:26" ht="12.75" customHeight="1" outlineLevel="1" x14ac:dyDescent="0.2">
      <c r="A269" s="21">
        <v>5</v>
      </c>
      <c r="B269" s="17" t="str">
        <f>B267</f>
        <v>Combustion of fuels</v>
      </c>
      <c r="C269" s="17" t="str">
        <f>C267</f>
        <v>Combustion</v>
      </c>
      <c r="D269" s="17" t="str">
        <f>Translations!$B$973</f>
        <v>Gas Processing Terminals</v>
      </c>
      <c r="E269" s="17" t="str">
        <f>Translations!$B$974</f>
        <v>Each input and output material [t]</v>
      </c>
      <c r="F269" s="151" t="str">
        <f>EUconst_MassBalance</f>
        <v>Mass balance method, Article 25</v>
      </c>
      <c r="G269" s="103">
        <v>1</v>
      </c>
      <c r="H269" s="146" t="str">
        <f>Translations!$B$966</f>
        <v>± 7,5%</v>
      </c>
      <c r="I269" s="146" t="str">
        <f>Translations!$B$967</f>
        <v>± 5,0%</v>
      </c>
      <c r="J269" s="17"/>
      <c r="K269" s="17"/>
      <c r="L269" s="146" t="str">
        <f>Translations!$B$968</f>
        <v>± 2,5%</v>
      </c>
      <c r="M269" s="146"/>
      <c r="N269" s="146"/>
      <c r="O269" s="146" t="str">
        <f>Translations!$B$969</f>
        <v>± 1,5%</v>
      </c>
      <c r="P269" s="103">
        <f t="shared" si="7"/>
        <v>4</v>
      </c>
      <c r="Q269" s="147" t="str">
        <f t="shared" si="8"/>
        <v>Combustion: Gas Processing Terminals</v>
      </c>
      <c r="R269" s="17"/>
      <c r="S269" s="17" t="str">
        <f t="shared" si="9"/>
        <v>ActivityData_Combustion: Gas Processing Terminals</v>
      </c>
      <c r="W269" s="21" t="b">
        <v>0</v>
      </c>
      <c r="Z269" s="21" t="b">
        <f t="shared" si="10"/>
        <v>0</v>
      </c>
    </row>
    <row r="270" spans="1:26" ht="12.75" customHeight="1" outlineLevel="1" x14ac:dyDescent="0.2">
      <c r="A270" s="21">
        <v>6</v>
      </c>
      <c r="B270" s="17" t="str">
        <f>B267</f>
        <v>Combustion of fuels</v>
      </c>
      <c r="C270" s="17" t="str">
        <f>C267</f>
        <v>Combustion</v>
      </c>
      <c r="D270" s="17" t="str">
        <f>Translations!$B$975</f>
        <v>Flares</v>
      </c>
      <c r="E270" s="17" t="str">
        <f>Translations!$B$976</f>
        <v>Amount of flare gas [Nm3]</v>
      </c>
      <c r="F270" s="151" t="str">
        <f>$F$265</f>
        <v>Standard method: Fuel, Article 24(1)</v>
      </c>
      <c r="G270" s="103">
        <v>1</v>
      </c>
      <c r="H270" s="146" t="str">
        <f>Translations!$B$977</f>
        <v>± 17,5%</v>
      </c>
      <c r="I270" s="146" t="str">
        <f>Translations!$B$978</f>
        <v>± 12,5%</v>
      </c>
      <c r="J270" s="17"/>
      <c r="K270" s="17"/>
      <c r="L270" s="146" t="str">
        <f>Translations!$B$966</f>
        <v>± 7,5%</v>
      </c>
      <c r="M270" s="146"/>
      <c r="N270" s="146"/>
      <c r="O270" s="146"/>
      <c r="P270" s="103">
        <f t="shared" si="7"/>
        <v>3</v>
      </c>
      <c r="Q270" s="147" t="str">
        <f t="shared" si="8"/>
        <v>Combustion: Flares</v>
      </c>
      <c r="R270" s="17"/>
      <c r="S270" s="17" t="str">
        <f t="shared" si="9"/>
        <v>ActivityData_Combustion: Flares</v>
      </c>
      <c r="W270" s="21" t="b">
        <v>0</v>
      </c>
      <c r="Z270" s="21" t="b">
        <f t="shared" si="10"/>
        <v>0</v>
      </c>
    </row>
    <row r="271" spans="1:26" ht="12.75" customHeight="1" outlineLevel="1" x14ac:dyDescent="0.2">
      <c r="A271" s="21">
        <v>7</v>
      </c>
      <c r="B271" s="17" t="str">
        <f t="shared" si="11"/>
        <v>Combustion of fuels</v>
      </c>
      <c r="C271" s="17" t="str">
        <f t="shared" si="11"/>
        <v>Combustion</v>
      </c>
      <c r="D271" s="17" t="str">
        <f>Translations!$B$979</f>
        <v>Scrubbing (carbonate)</v>
      </c>
      <c r="E271" s="17" t="str">
        <f>Translations!$B$980</f>
        <v>Amount carbonate consumed [t]</v>
      </c>
      <c r="F271" s="151" t="str">
        <f>EUconst_ProcessCarbonate</f>
        <v>Standard method: Process, Article 24(2)</v>
      </c>
      <c r="G271" s="103">
        <v>1</v>
      </c>
      <c r="H271" s="146" t="str">
        <f>Translations!$B$966</f>
        <v>± 7,5%</v>
      </c>
      <c r="I271" s="148"/>
      <c r="J271" s="17"/>
      <c r="K271" s="17"/>
      <c r="L271" s="148"/>
      <c r="M271" s="148"/>
      <c r="N271" s="148"/>
      <c r="O271" s="148"/>
      <c r="P271" s="103">
        <f t="shared" si="7"/>
        <v>1</v>
      </c>
      <c r="Q271" s="147" t="str">
        <f t="shared" si="8"/>
        <v>Combustion: Scrubbing (carbonate)</v>
      </c>
      <c r="R271" s="17"/>
      <c r="S271" s="17" t="str">
        <f t="shared" si="9"/>
        <v>ActivityData_Combustion: Scrubbing (carbonate)</v>
      </c>
      <c r="W271" s="21" t="b">
        <v>0</v>
      </c>
      <c r="Z271" s="21" t="b">
        <f t="shared" si="10"/>
        <v>0</v>
      </c>
    </row>
    <row r="272" spans="1:26" ht="12.75" customHeight="1" outlineLevel="1" x14ac:dyDescent="0.2">
      <c r="A272" s="21">
        <v>8</v>
      </c>
      <c r="B272" s="17" t="str">
        <f t="shared" si="11"/>
        <v>Combustion of fuels</v>
      </c>
      <c r="C272" s="17" t="str">
        <f t="shared" si="11"/>
        <v>Combustion</v>
      </c>
      <c r="D272" s="17" t="str">
        <f>Translations!$B$981</f>
        <v>Scrubbing (gypsum)</v>
      </c>
      <c r="E272" s="17" t="str">
        <f>Translations!$B$982</f>
        <v>Amount gypsum produced [t]</v>
      </c>
      <c r="F272" s="151" t="str">
        <f>$F$271</f>
        <v>Standard method: Process, Article 24(2)</v>
      </c>
      <c r="G272" s="103">
        <v>1</v>
      </c>
      <c r="H272" s="146" t="str">
        <f>Translations!$B$966</f>
        <v>± 7,5%</v>
      </c>
      <c r="I272" s="148"/>
      <c r="J272" s="17"/>
      <c r="K272" s="17"/>
      <c r="L272" s="148"/>
      <c r="M272" s="148"/>
      <c r="N272" s="148"/>
      <c r="O272" s="148"/>
      <c r="P272" s="103">
        <f t="shared" si="7"/>
        <v>1</v>
      </c>
      <c r="Q272" s="147" t="str">
        <f t="shared" si="8"/>
        <v>Combustion: Scrubbing (gypsum)</v>
      </c>
      <c r="R272" s="17"/>
      <c r="S272" s="17" t="str">
        <f t="shared" si="9"/>
        <v>ActivityData_Combustion: Scrubbing (gypsum)</v>
      </c>
      <c r="W272" s="21" t="b">
        <v>0</v>
      </c>
      <c r="Z272" s="21" t="b">
        <f t="shared" si="10"/>
        <v>0</v>
      </c>
    </row>
    <row r="273" spans="1:26" ht="12.75" customHeight="1" outlineLevel="1" x14ac:dyDescent="0.2">
      <c r="A273" s="21">
        <v>9</v>
      </c>
      <c r="B273" s="17" t="str">
        <f t="shared" si="11"/>
        <v>Combustion of fuels</v>
      </c>
      <c r="C273" s="17" t="str">
        <f t="shared" si="11"/>
        <v>Combustion</v>
      </c>
      <c r="D273" s="17" t="str">
        <f>Translations!$B$1256</f>
        <v>Scrubbing (urea)</v>
      </c>
      <c r="E273" s="17" t="str">
        <f>Translations!$B$1257</f>
        <v>Amount urea consumed [t]</v>
      </c>
      <c r="F273" s="151" t="str">
        <f>$F$271</f>
        <v>Standard method: Process, Article 24(2)</v>
      </c>
      <c r="G273" s="103">
        <v>1</v>
      </c>
      <c r="H273" s="146" t="str">
        <f>Translations!$B$966</f>
        <v>± 7,5%</v>
      </c>
      <c r="I273" s="148"/>
      <c r="J273" s="17"/>
      <c r="K273" s="17"/>
      <c r="L273" s="148"/>
      <c r="M273" s="148"/>
      <c r="N273" s="148"/>
      <c r="O273" s="148"/>
      <c r="P273" s="103">
        <f>COUNTA(H273:O273)</f>
        <v>1</v>
      </c>
      <c r="Q273" s="147" t="str">
        <f>C273 &amp; ": " &amp;D273</f>
        <v>Combustion: Scrubbing (urea)</v>
      </c>
      <c r="R273" s="17"/>
      <c r="S273" s="17" t="str">
        <f>EUconst_CNTR_ActivityData&amp;Q273</f>
        <v>ActivityData_Combustion: Scrubbing (urea)</v>
      </c>
      <c r="W273" s="21" t="b">
        <v>0</v>
      </c>
      <c r="Z273" s="21" t="b">
        <f t="shared" si="10"/>
        <v>0</v>
      </c>
    </row>
    <row r="274" spans="1:26" ht="12.75" customHeight="1" outlineLevel="1" x14ac:dyDescent="0.2">
      <c r="A274" s="21">
        <v>10</v>
      </c>
      <c r="B274" s="17" t="str">
        <f>C232</f>
        <v xml:space="preserve">Refining of oil </v>
      </c>
      <c r="C274" s="17" t="str">
        <f>Translations!$B$983</f>
        <v>Refineries</v>
      </c>
      <c r="D274" s="17" t="str">
        <f>Translations!$B$984</f>
        <v>Mass balance</v>
      </c>
      <c r="E274" s="17" t="str">
        <f>Translations!$B$974</f>
        <v>Each input and output material [t]</v>
      </c>
      <c r="F274" s="151" t="str">
        <f>EUconst_MassBalance</f>
        <v>Mass balance method, Article 25</v>
      </c>
      <c r="G274" s="103">
        <v>1</v>
      </c>
      <c r="H274" s="146" t="str">
        <f>Translations!$B$966</f>
        <v>± 7,5%</v>
      </c>
      <c r="I274" s="146" t="str">
        <f>Translations!$B$967</f>
        <v>± 5,0%</v>
      </c>
      <c r="J274" s="17"/>
      <c r="K274" s="17"/>
      <c r="L274" s="146" t="str">
        <f>Translations!$B$968</f>
        <v>± 2,5%</v>
      </c>
      <c r="M274" s="146"/>
      <c r="N274" s="146"/>
      <c r="O274" s="146" t="str">
        <f>Translations!$B$969</f>
        <v>± 1,5%</v>
      </c>
      <c r="P274" s="103">
        <f t="shared" si="7"/>
        <v>4</v>
      </c>
      <c r="Q274" s="147" t="str">
        <f t="shared" si="8"/>
        <v>Refineries: Mass balance</v>
      </c>
      <c r="R274" s="17"/>
      <c r="S274" s="17" t="str">
        <f t="shared" si="9"/>
        <v>ActivityData_Refineries: Mass balance</v>
      </c>
      <c r="W274" s="21" t="b">
        <v>0</v>
      </c>
      <c r="Z274" s="21" t="b">
        <f t="shared" si="10"/>
        <v>0</v>
      </c>
    </row>
    <row r="275" spans="1:26" ht="12.75" customHeight="1" outlineLevel="1" x14ac:dyDescent="0.2">
      <c r="A275" s="21">
        <v>11</v>
      </c>
      <c r="B275" s="17" t="str">
        <f>Translations!$B$858</f>
        <v xml:space="preserve">Refining of mineral oil </v>
      </c>
      <c r="C275" s="17" t="str">
        <f>C274</f>
        <v>Refineries</v>
      </c>
      <c r="D275" s="17" t="str">
        <f>Translations!$B$985</f>
        <v>Catalytic cracker regeneration</v>
      </c>
      <c r="E275" s="17" t="str">
        <f>Translations!$B$986</f>
        <v>Uncertainty requirements apply separately for each emission source</v>
      </c>
      <c r="F275" s="151" t="str">
        <f>EUconst_MassBalance</f>
        <v>Mass balance method, Article 25</v>
      </c>
      <c r="G275" s="103">
        <v>1</v>
      </c>
      <c r="H275" s="146" t="str">
        <f>Translations!$B$987</f>
        <v>± 10,0% (as t CO2)</v>
      </c>
      <c r="I275" s="146" t="str">
        <f>Translations!$B$988</f>
        <v>± 7,5% (as t CO2)</v>
      </c>
      <c r="J275" s="17"/>
      <c r="K275" s="17"/>
      <c r="L275" s="146" t="str">
        <f>Translations!$B$989</f>
        <v>± 5,0% (as t CO2)</v>
      </c>
      <c r="M275" s="146"/>
      <c r="N275" s="146"/>
      <c r="O275" s="146" t="str">
        <f>Translations!$B$990</f>
        <v>± 2,5% (as t CO2)</v>
      </c>
      <c r="P275" s="103">
        <f t="shared" si="7"/>
        <v>4</v>
      </c>
      <c r="Q275" s="147" t="str">
        <f t="shared" si="8"/>
        <v>Refineries: Catalytic cracker regeneration</v>
      </c>
      <c r="R275" s="17"/>
      <c r="S275" s="17" t="str">
        <f t="shared" si="9"/>
        <v>ActivityData_Refineries: Catalytic cracker regeneration</v>
      </c>
      <c r="W275" s="21" t="b">
        <v>0</v>
      </c>
      <c r="Z275" s="21" t="b">
        <f t="shared" si="10"/>
        <v>0</v>
      </c>
    </row>
    <row r="276" spans="1:26" ht="12.75" customHeight="1" outlineLevel="1" x14ac:dyDescent="0.2">
      <c r="A276" s="21">
        <v>12</v>
      </c>
      <c r="B276" s="17" t="str">
        <f>B275</f>
        <v xml:space="preserve">Refining of mineral oil </v>
      </c>
      <c r="C276" s="17" t="str">
        <f>C275</f>
        <v>Refineries</v>
      </c>
      <c r="D276" s="17" t="str">
        <f>Translations!$B$991</f>
        <v>Hydrogen production</v>
      </c>
      <c r="E276" s="17" t="str">
        <f>Translations!$B$992</f>
        <v>Hydrocarbon feed [t]</v>
      </c>
      <c r="F276" s="151" t="str">
        <f>EUconst_MassBalance</f>
        <v>Mass balance method, Article 25</v>
      </c>
      <c r="G276" s="103">
        <v>1</v>
      </c>
      <c r="H276" s="146" t="str">
        <f>Translations!$B$966</f>
        <v>± 7,5%</v>
      </c>
      <c r="I276" s="614" t="str">
        <f>Translations!$B$967</f>
        <v>± 5,0%</v>
      </c>
      <c r="J276" s="602"/>
      <c r="K276" s="602"/>
      <c r="L276" s="614" t="str">
        <f>Translations!$B$968</f>
        <v>± 2,5%</v>
      </c>
      <c r="M276" s="614"/>
      <c r="N276" s="614"/>
      <c r="O276" s="614" t="str">
        <f>Translations!$B$969</f>
        <v>± 1,5%</v>
      </c>
      <c r="P276" s="103">
        <f t="shared" si="7"/>
        <v>4</v>
      </c>
      <c r="Q276" s="147" t="str">
        <f t="shared" si="8"/>
        <v>Refineries: Hydrogen production</v>
      </c>
      <c r="R276" s="17"/>
      <c r="S276" s="17" t="str">
        <f t="shared" si="9"/>
        <v>ActivityData_Refineries: Hydrogen production</v>
      </c>
      <c r="W276" s="21" t="b">
        <v>0</v>
      </c>
      <c r="X276" s="69"/>
      <c r="Z276" s="21" t="b">
        <f t="shared" si="10"/>
        <v>0</v>
      </c>
    </row>
    <row r="277" spans="1:26" ht="12.75" customHeight="1" outlineLevel="1" x14ac:dyDescent="0.2">
      <c r="A277" s="21">
        <v>13</v>
      </c>
      <c r="B277" s="17" t="str">
        <f>C233</f>
        <v>Production of coke</v>
      </c>
      <c r="C277" s="17" t="str">
        <f>Translations!$B$993</f>
        <v>Coke</v>
      </c>
      <c r="D277" s="17" t="str">
        <f>Translations!$B$994</f>
        <v>Fuel as process input</v>
      </c>
      <c r="E277" s="17" t="str">
        <f>Translations!$B$442</f>
        <v>Amount of fuel [t] or [Nm3]</v>
      </c>
      <c r="F277" s="151" t="str">
        <f>EUconst_Fuel</f>
        <v>Standard method: Fuel, Article 24(1)</v>
      </c>
      <c r="G277" s="103">
        <v>1</v>
      </c>
      <c r="H277" s="146" t="str">
        <f>Translations!$B$966</f>
        <v>± 7,5%</v>
      </c>
      <c r="I277" s="146" t="str">
        <f>Translations!$B$967</f>
        <v>± 5,0%</v>
      </c>
      <c r="J277" s="17"/>
      <c r="K277" s="17"/>
      <c r="L277" s="146" t="str">
        <f>Translations!$B$968</f>
        <v>± 2,5%</v>
      </c>
      <c r="M277" s="146"/>
      <c r="N277" s="146"/>
      <c r="O277" s="146" t="str">
        <f>Translations!$B$969</f>
        <v>± 1,5%</v>
      </c>
      <c r="P277" s="103">
        <f t="shared" si="7"/>
        <v>4</v>
      </c>
      <c r="Q277" s="147" t="str">
        <f t="shared" si="8"/>
        <v>Coke: Fuel as process input</v>
      </c>
      <c r="R277" s="17"/>
      <c r="S277" s="17" t="str">
        <f t="shared" si="9"/>
        <v>ActivityData_Coke: Fuel as process input</v>
      </c>
      <c r="W277" s="21" t="b">
        <v>0</v>
      </c>
      <c r="X277" s="69"/>
      <c r="Z277" s="21" t="b">
        <f t="shared" si="10"/>
        <v>0</v>
      </c>
    </row>
    <row r="278" spans="1:26" ht="12.75" customHeight="1" outlineLevel="1" x14ac:dyDescent="0.2">
      <c r="A278" s="21">
        <v>14</v>
      </c>
      <c r="B278" s="17" t="str">
        <f t="shared" ref="B278:C282" si="12">B277</f>
        <v>Production of coke</v>
      </c>
      <c r="C278" s="17" t="str">
        <f t="shared" si="12"/>
        <v>Coke</v>
      </c>
      <c r="D278" s="602" t="str">
        <f>Translations!$B$1258</f>
        <v>Process (method A): carbonate only</v>
      </c>
      <c r="E278" s="602" t="str">
        <f>Translations!$B$1259</f>
        <v>Process input [t]</v>
      </c>
      <c r="F278" s="151" t="str">
        <f>EUconst_ProcessCarbonate</f>
        <v>Standard method: Process, Article 24(2)</v>
      </c>
      <c r="G278" s="103">
        <v>1</v>
      </c>
      <c r="H278" s="146" t="str">
        <f>Translations!$B$966</f>
        <v>± 7,5%</v>
      </c>
      <c r="I278" s="146" t="str">
        <f>Translations!$B$967</f>
        <v>± 5,0%</v>
      </c>
      <c r="J278" s="17"/>
      <c r="K278" s="17"/>
      <c r="L278" s="146" t="str">
        <f>Translations!$B$968</f>
        <v>± 2,5%</v>
      </c>
      <c r="M278" s="146"/>
      <c r="N278" s="146"/>
      <c r="O278" s="148"/>
      <c r="P278" s="103">
        <f t="shared" si="7"/>
        <v>3</v>
      </c>
      <c r="Q278" s="147" t="str">
        <f t="shared" si="8"/>
        <v>Coke: Process (method A): carbonate only</v>
      </c>
      <c r="R278" s="17"/>
      <c r="S278" s="17" t="str">
        <f t="shared" si="9"/>
        <v>ActivityData_Coke: Process (method A): carbonate only</v>
      </c>
      <c r="W278" s="21" t="b">
        <v>0</v>
      </c>
      <c r="X278" s="69"/>
      <c r="Z278" s="21" t="b">
        <f t="shared" si="10"/>
        <v>0</v>
      </c>
    </row>
    <row r="279" spans="1:26" ht="12.75" customHeight="1" outlineLevel="1" x14ac:dyDescent="0.2">
      <c r="A279" s="21">
        <v>15</v>
      </c>
      <c r="B279" s="602" t="str">
        <f t="shared" si="12"/>
        <v>Production of coke</v>
      </c>
      <c r="C279" s="602" t="str">
        <f t="shared" si="12"/>
        <v>Coke</v>
      </c>
      <c r="D279" s="602" t="str">
        <f>Translations!$B$1260</f>
        <v>Process (method A): mixed (carbonate + non-carbonate)</v>
      </c>
      <c r="E279" s="602" t="str">
        <f>Translations!$B$1259</f>
        <v>Process input [t]</v>
      </c>
      <c r="F279" s="151" t="str">
        <f>EUconst_ProcessCarbonate</f>
        <v>Standard method: Process, Article 24(2)</v>
      </c>
      <c r="G279" s="103">
        <v>1</v>
      </c>
      <c r="H279" s="146" t="str">
        <f>Translations!$B$966</f>
        <v>± 7,5%</v>
      </c>
      <c r="I279" s="146" t="str">
        <f>Translations!$B$967</f>
        <v>± 5,0%</v>
      </c>
      <c r="J279" s="17"/>
      <c r="K279" s="17"/>
      <c r="L279" s="146" t="str">
        <f>Translations!$B$968</f>
        <v>± 2,5%</v>
      </c>
      <c r="M279" s="146"/>
      <c r="N279" s="146"/>
      <c r="O279" s="148"/>
      <c r="P279" s="103">
        <f>COUNTA(H279:O279)</f>
        <v>3</v>
      </c>
      <c r="Q279" s="147" t="str">
        <f>C279 &amp; ": " &amp;D279</f>
        <v>Coke: Process (method A): mixed (carbonate + non-carbonate)</v>
      </c>
      <c r="R279" s="17"/>
      <c r="S279" s="17" t="str">
        <f>EUconst_CNTR_ActivityData&amp;Q279</f>
        <v>ActivityData_Coke: Process (method A): mixed (carbonate + non-carbonate)</v>
      </c>
      <c r="W279" s="21" t="b">
        <v>0</v>
      </c>
      <c r="X279" s="69"/>
      <c r="Z279" s="21" t="b">
        <f t="shared" si="10"/>
        <v>0</v>
      </c>
    </row>
    <row r="280" spans="1:26" ht="12.75" customHeight="1" outlineLevel="1" x14ac:dyDescent="0.2">
      <c r="A280" s="21">
        <v>16</v>
      </c>
      <c r="B280" s="602" t="str">
        <f t="shared" si="12"/>
        <v>Production of coke</v>
      </c>
      <c r="C280" s="602" t="str">
        <f t="shared" si="12"/>
        <v>Coke</v>
      </c>
      <c r="D280" s="602" t="str">
        <f>Translations!$B$1261</f>
        <v>Process (method A): non-carbonate</v>
      </c>
      <c r="E280" s="602" t="str">
        <f>Translations!$B$1259</f>
        <v>Process input [t]</v>
      </c>
      <c r="F280" s="151" t="str">
        <f>EUconst_ProcessCarbonate</f>
        <v>Standard method: Process, Article 24(2)</v>
      </c>
      <c r="G280" s="103">
        <v>1</v>
      </c>
      <c r="H280" s="146" t="str">
        <f>Translations!$B$966</f>
        <v>± 7,5%</v>
      </c>
      <c r="I280" s="146" t="str">
        <f>Translations!$B$967</f>
        <v>± 5,0%</v>
      </c>
      <c r="J280" s="17"/>
      <c r="K280" s="17"/>
      <c r="L280" s="146" t="str">
        <f>Translations!$B$968</f>
        <v>± 2,5%</v>
      </c>
      <c r="M280" s="146"/>
      <c r="N280" s="146"/>
      <c r="O280" s="148"/>
      <c r="P280" s="103">
        <f>COUNTA(H280:O280)</f>
        <v>3</v>
      </c>
      <c r="Q280" s="147" t="str">
        <f>C280 &amp; ": " &amp;D280</f>
        <v>Coke: Process (method A): non-carbonate</v>
      </c>
      <c r="R280" s="17"/>
      <c r="S280" s="17" t="str">
        <f>EUconst_CNTR_ActivityData&amp;Q280</f>
        <v>ActivityData_Coke: Process (method A): non-carbonate</v>
      </c>
      <c r="W280" s="21" t="b">
        <v>0</v>
      </c>
      <c r="X280" s="69"/>
      <c r="Z280" s="21" t="b">
        <f t="shared" si="10"/>
        <v>0</v>
      </c>
    </row>
    <row r="281" spans="1:26" ht="12.75" customHeight="1" outlineLevel="1" x14ac:dyDescent="0.2">
      <c r="A281" s="21">
        <v>17</v>
      </c>
      <c r="B281" s="17" t="str">
        <f>B278</f>
        <v>Production of coke</v>
      </c>
      <c r="C281" s="17" t="str">
        <f>C278</f>
        <v>Coke</v>
      </c>
      <c r="D281" s="17" t="str">
        <f>Translations!$B$1262</f>
        <v>Process (method B): oxide output</v>
      </c>
      <c r="E281" s="17" t="str">
        <f>Translations!$B$998</f>
        <v>Oxide output [t]</v>
      </c>
      <c r="F281" s="151" t="str">
        <f>EUconst_ProcessCarbonate</f>
        <v>Standard method: Process, Article 24(2)</v>
      </c>
      <c r="G281" s="103">
        <v>1</v>
      </c>
      <c r="H281" s="146" t="str">
        <f>Translations!$B$967</f>
        <v>± 5,0%</v>
      </c>
      <c r="I281" s="146" t="str">
        <f>Translations!$B$968</f>
        <v>± 2,5%</v>
      </c>
      <c r="J281" s="17"/>
      <c r="K281" s="17"/>
      <c r="L281" s="148"/>
      <c r="M281" s="148"/>
      <c r="N281" s="148"/>
      <c r="O281" s="148"/>
      <c r="P281" s="103">
        <f t="shared" si="7"/>
        <v>2</v>
      </c>
      <c r="Q281" s="147" t="str">
        <f t="shared" si="8"/>
        <v>Coke: Process (method B): oxide output</v>
      </c>
      <c r="R281" s="17"/>
      <c r="S281" s="17" t="str">
        <f t="shared" si="9"/>
        <v>ActivityData_Coke: Process (method B): oxide output</v>
      </c>
      <c r="W281" s="21" t="b">
        <v>0</v>
      </c>
      <c r="X281" s="69"/>
      <c r="Z281" s="21" t="b">
        <f t="shared" si="10"/>
        <v>0</v>
      </c>
    </row>
    <row r="282" spans="1:26" ht="12.75" customHeight="1" outlineLevel="1" x14ac:dyDescent="0.2">
      <c r="A282" s="21">
        <v>18</v>
      </c>
      <c r="B282" s="17" t="str">
        <f t="shared" si="12"/>
        <v>Production of coke</v>
      </c>
      <c r="C282" s="17" t="str">
        <f t="shared" si="12"/>
        <v>Coke</v>
      </c>
      <c r="D282" s="17" t="str">
        <f>Translations!$B$984</f>
        <v>Mass balance</v>
      </c>
      <c r="E282" s="17" t="str">
        <f>Translations!$B$974</f>
        <v>Each input and output material [t]</v>
      </c>
      <c r="F282" s="151" t="str">
        <f>EUconst_MassBalance</f>
        <v>Mass balance method, Article 25</v>
      </c>
      <c r="G282" s="103">
        <v>1</v>
      </c>
      <c r="H282" s="146" t="str">
        <f>Translations!$B$966</f>
        <v>± 7,5%</v>
      </c>
      <c r="I282" s="146" t="str">
        <f>Translations!$B$967</f>
        <v>± 5,0%</v>
      </c>
      <c r="J282" s="17"/>
      <c r="K282" s="17"/>
      <c r="L282" s="146" t="str">
        <f>Translations!$B$968</f>
        <v>± 2,5%</v>
      </c>
      <c r="M282" s="146"/>
      <c r="N282" s="146"/>
      <c r="O282" s="146" t="str">
        <f>Translations!$B$969</f>
        <v>± 1,5%</v>
      </c>
      <c r="P282" s="103">
        <f t="shared" si="7"/>
        <v>4</v>
      </c>
      <c r="Q282" s="147" t="str">
        <f t="shared" si="8"/>
        <v>Coke: Mass balance</v>
      </c>
      <c r="R282" s="17"/>
      <c r="S282" s="17" t="str">
        <f t="shared" si="9"/>
        <v>ActivityData_Coke: Mass balance</v>
      </c>
      <c r="W282" s="21" t="b">
        <v>0</v>
      </c>
      <c r="X282" s="69"/>
      <c r="Z282" s="21" t="b">
        <f t="shared" si="10"/>
        <v>0</v>
      </c>
    </row>
    <row r="283" spans="1:26" ht="12.75" customHeight="1" outlineLevel="1" x14ac:dyDescent="0.2">
      <c r="A283" s="21">
        <v>19</v>
      </c>
      <c r="B283" s="17" t="str">
        <f>C234</f>
        <v>Metal ore roasting or sintering</v>
      </c>
      <c r="C283" s="17" t="str">
        <f>Translations!$B$1000</f>
        <v>Metal ore</v>
      </c>
      <c r="D283" s="602" t="str">
        <f>Translations!$B$1258</f>
        <v>Process (method A): carbonate only</v>
      </c>
      <c r="E283" s="602" t="str">
        <f>Translations!$B$1259</f>
        <v>Process input [t]</v>
      </c>
      <c r="F283" s="151" t="str">
        <f>$F$271</f>
        <v>Standard method: Process, Article 24(2)</v>
      </c>
      <c r="G283" s="103">
        <v>1</v>
      </c>
      <c r="H283" s="146" t="str">
        <f>Translations!$B$967</f>
        <v>± 5,0%</v>
      </c>
      <c r="I283" s="146" t="str">
        <f>Translations!$B$968</f>
        <v>± 2,5%</v>
      </c>
      <c r="J283" s="17"/>
      <c r="K283" s="17"/>
      <c r="L283" s="148"/>
      <c r="M283" s="148"/>
      <c r="N283" s="148"/>
      <c r="O283" s="148"/>
      <c r="P283" s="103">
        <f t="shared" si="7"/>
        <v>2</v>
      </c>
      <c r="Q283" s="147" t="str">
        <f t="shared" si="8"/>
        <v>Metal ore: Process (method A): carbonate only</v>
      </c>
      <c r="R283" s="17"/>
      <c r="S283" s="17" t="str">
        <f t="shared" si="9"/>
        <v>ActivityData_Metal ore: Process (method A): carbonate only</v>
      </c>
      <c r="W283" s="21" t="b">
        <v>0</v>
      </c>
      <c r="X283" s="69"/>
      <c r="Z283" s="21" t="b">
        <f t="shared" si="10"/>
        <v>0</v>
      </c>
    </row>
    <row r="284" spans="1:26" ht="12.75" customHeight="1" outlineLevel="1" x14ac:dyDescent="0.2">
      <c r="A284" s="21">
        <v>20</v>
      </c>
      <c r="B284" s="602" t="str">
        <f t="shared" ref="B284:C286" si="13">B283</f>
        <v>Metal ore roasting or sintering</v>
      </c>
      <c r="C284" s="602" t="str">
        <f t="shared" si="13"/>
        <v>Metal ore</v>
      </c>
      <c r="D284" s="602" t="str">
        <f>Translations!$B$1260</f>
        <v>Process (method A): mixed (carbonate + non-carbonate)</v>
      </c>
      <c r="E284" s="602" t="str">
        <f>Translations!$B$1259</f>
        <v>Process input [t]</v>
      </c>
      <c r="F284" s="151" t="str">
        <f>EUconst_ProcessCarbonate</f>
        <v>Standard method: Process, Article 24(2)</v>
      </c>
      <c r="G284" s="103">
        <v>1</v>
      </c>
      <c r="H284" s="146" t="str">
        <f>Translations!$B$966</f>
        <v>± 7,5%</v>
      </c>
      <c r="I284" s="146" t="str">
        <f>Translations!$B$967</f>
        <v>± 5,0%</v>
      </c>
      <c r="J284" s="17"/>
      <c r="K284" s="17"/>
      <c r="L284" s="146" t="str">
        <f>Translations!$B$968</f>
        <v>± 2,5%</v>
      </c>
      <c r="M284" s="146"/>
      <c r="N284" s="146"/>
      <c r="O284" s="148"/>
      <c r="P284" s="103">
        <f>COUNTA(H284:O284)</f>
        <v>3</v>
      </c>
      <c r="Q284" s="147" t="str">
        <f>C284 &amp; ": " &amp;D284</f>
        <v>Metal ore: Process (method A): mixed (carbonate + non-carbonate)</v>
      </c>
      <c r="R284" s="17"/>
      <c r="S284" s="17" t="str">
        <f>EUconst_CNTR_ActivityData&amp;Q284</f>
        <v>ActivityData_Metal ore: Process (method A): mixed (carbonate + non-carbonate)</v>
      </c>
      <c r="W284" s="21" t="b">
        <v>0</v>
      </c>
      <c r="X284" s="69"/>
      <c r="Z284" s="21" t="b">
        <f t="shared" si="10"/>
        <v>0</v>
      </c>
    </row>
    <row r="285" spans="1:26" ht="12.75" customHeight="1" outlineLevel="1" x14ac:dyDescent="0.2">
      <c r="A285" s="21">
        <v>21</v>
      </c>
      <c r="B285" s="602" t="str">
        <f t="shared" si="13"/>
        <v>Metal ore roasting or sintering</v>
      </c>
      <c r="C285" s="602" t="str">
        <f t="shared" si="13"/>
        <v>Metal ore</v>
      </c>
      <c r="D285" s="602" t="str">
        <f>Translations!$B$1261</f>
        <v>Process (method A): non-carbonate</v>
      </c>
      <c r="E285" s="602" t="str">
        <f>Translations!$B$1259</f>
        <v>Process input [t]</v>
      </c>
      <c r="F285" s="151" t="str">
        <f>EUconst_ProcessCarbonate</f>
        <v>Standard method: Process, Article 24(2)</v>
      </c>
      <c r="G285" s="103">
        <v>1</v>
      </c>
      <c r="H285" s="146" t="str">
        <f>Translations!$B$966</f>
        <v>± 7,5%</v>
      </c>
      <c r="I285" s="146" t="str">
        <f>Translations!$B$967</f>
        <v>± 5,0%</v>
      </c>
      <c r="J285" s="17"/>
      <c r="K285" s="17"/>
      <c r="L285" s="146" t="str">
        <f>Translations!$B$968</f>
        <v>± 2,5%</v>
      </c>
      <c r="M285" s="146"/>
      <c r="N285" s="146"/>
      <c r="O285" s="148"/>
      <c r="P285" s="103">
        <f>COUNTA(H285:O285)</f>
        <v>3</v>
      </c>
      <c r="Q285" s="147" t="str">
        <f>C285 &amp; ": " &amp;D285</f>
        <v>Metal ore: Process (method A): non-carbonate</v>
      </c>
      <c r="R285" s="17"/>
      <c r="S285" s="17" t="str">
        <f>EUconst_CNTR_ActivityData&amp;Q285</f>
        <v>ActivityData_Metal ore: Process (method A): non-carbonate</v>
      </c>
      <c r="W285" s="21" t="b">
        <v>0</v>
      </c>
      <c r="X285" s="69"/>
      <c r="Z285" s="21" t="b">
        <f t="shared" si="10"/>
        <v>0</v>
      </c>
    </row>
    <row r="286" spans="1:26" ht="12.75" customHeight="1" outlineLevel="1" x14ac:dyDescent="0.2">
      <c r="A286" s="21">
        <v>22</v>
      </c>
      <c r="B286" s="602" t="str">
        <f t="shared" si="13"/>
        <v>Metal ore roasting or sintering</v>
      </c>
      <c r="C286" s="602" t="str">
        <f t="shared" si="13"/>
        <v>Metal ore</v>
      </c>
      <c r="D286" s="602" t="str">
        <f>Translations!$B$1262</f>
        <v>Process (method B): oxide output</v>
      </c>
      <c r="E286" s="602" t="str">
        <f>Translations!$B$998</f>
        <v>Oxide output [t]</v>
      </c>
      <c r="F286" s="151" t="str">
        <f>EUconst_ProcessCarbonate</f>
        <v>Standard method: Process, Article 24(2)</v>
      </c>
      <c r="G286" s="103">
        <v>1</v>
      </c>
      <c r="H286" s="146" t="str">
        <f>Translations!$B$967</f>
        <v>± 5,0%</v>
      </c>
      <c r="I286" s="146" t="str">
        <f>Translations!$B$968</f>
        <v>± 2,5%</v>
      </c>
      <c r="J286" s="17"/>
      <c r="K286" s="17"/>
      <c r="L286" s="148"/>
      <c r="M286" s="148"/>
      <c r="N286" s="148"/>
      <c r="O286" s="148"/>
      <c r="P286" s="103">
        <f>COUNTA(H286:O286)</f>
        <v>2</v>
      </c>
      <c r="Q286" s="147" t="str">
        <f>C286 &amp; ": " &amp;D286</f>
        <v>Metal ore: Process (method B): oxide output</v>
      </c>
      <c r="R286" s="17"/>
      <c r="S286" s="17" t="str">
        <f>EUconst_CNTR_ActivityData&amp;Q286</f>
        <v>ActivityData_Metal ore: Process (method B): oxide output</v>
      </c>
      <c r="W286" s="21" t="b">
        <v>0</v>
      </c>
      <c r="X286" s="69"/>
      <c r="Z286" s="21" t="b">
        <f t="shared" si="10"/>
        <v>0</v>
      </c>
    </row>
    <row r="287" spans="1:26" ht="12.75" customHeight="1" outlineLevel="1" x14ac:dyDescent="0.2">
      <c r="A287" s="21">
        <v>23</v>
      </c>
      <c r="B287" s="17" t="str">
        <f>B283</f>
        <v>Metal ore roasting or sintering</v>
      </c>
      <c r="C287" s="17" t="str">
        <f>C283</f>
        <v>Metal ore</v>
      </c>
      <c r="D287" s="17" t="str">
        <f>Translations!$B$984</f>
        <v>Mass balance</v>
      </c>
      <c r="E287" s="17" t="str">
        <f>Translations!$B$974</f>
        <v>Each input and output material [t]</v>
      </c>
      <c r="F287" s="151" t="str">
        <f>EUconst_MassBalance</f>
        <v>Mass balance method, Article 25</v>
      </c>
      <c r="G287" s="103">
        <v>1</v>
      </c>
      <c r="H287" s="146" t="str">
        <f>Translations!$B$966</f>
        <v>± 7,5%</v>
      </c>
      <c r="I287" s="146" t="str">
        <f>Translations!$B$967</f>
        <v>± 5,0%</v>
      </c>
      <c r="J287" s="17"/>
      <c r="K287" s="17"/>
      <c r="L287" s="146" t="str">
        <f>Translations!$B$968</f>
        <v>± 2,5%</v>
      </c>
      <c r="M287" s="146"/>
      <c r="N287" s="146"/>
      <c r="O287" s="146" t="str">
        <f>Translations!$B$969</f>
        <v>± 1,5%</v>
      </c>
      <c r="P287" s="103">
        <f t="shared" si="7"/>
        <v>4</v>
      </c>
      <c r="Q287" s="147" t="str">
        <f t="shared" si="8"/>
        <v>Metal ore: Mass balance</v>
      </c>
      <c r="R287" s="17"/>
      <c r="S287" s="17" t="str">
        <f t="shared" si="9"/>
        <v>ActivityData_Metal ore: Mass balance</v>
      </c>
      <c r="W287" s="21" t="b">
        <v>0</v>
      </c>
      <c r="X287" s="69"/>
      <c r="Z287" s="21" t="b">
        <f t="shared" si="10"/>
        <v>0</v>
      </c>
    </row>
    <row r="288" spans="1:26" ht="12.75" customHeight="1" outlineLevel="1" x14ac:dyDescent="0.2">
      <c r="A288" s="21">
        <v>24</v>
      </c>
      <c r="B288" s="17" t="str">
        <f>C235</f>
        <v>Production of iron or steel</v>
      </c>
      <c r="C288" s="17" t="str">
        <f>Translations!$B$1004</f>
        <v>Iron &amp; steel</v>
      </c>
      <c r="D288" s="17" t="str">
        <f>Translations!$B$994</f>
        <v>Fuel as process input</v>
      </c>
      <c r="E288" s="17" t="str">
        <f>Translations!$B$1005</f>
        <v>Each mass flow into and from the installation [t]</v>
      </c>
      <c r="F288" s="151" t="str">
        <f>$F$265</f>
        <v>Standard method: Fuel, Article 24(1)</v>
      </c>
      <c r="G288" s="103">
        <v>1</v>
      </c>
      <c r="H288" s="146" t="str">
        <f>Translations!$B$966</f>
        <v>± 7,5%</v>
      </c>
      <c r="I288" s="146" t="str">
        <f>Translations!$B$967</f>
        <v>± 5,0%</v>
      </c>
      <c r="J288" s="17"/>
      <c r="K288" s="17"/>
      <c r="L288" s="146" t="str">
        <f>Translations!$B$968</f>
        <v>± 2,5%</v>
      </c>
      <c r="M288" s="146"/>
      <c r="N288" s="146"/>
      <c r="O288" s="146" t="str">
        <f>Translations!$B$969</f>
        <v>± 1,5%</v>
      </c>
      <c r="P288" s="103">
        <f t="shared" si="7"/>
        <v>4</v>
      </c>
      <c r="Q288" s="147" t="str">
        <f t="shared" si="8"/>
        <v>Iron &amp; steel: Fuel as process input</v>
      </c>
      <c r="R288" s="17"/>
      <c r="S288" s="17" t="str">
        <f t="shared" si="9"/>
        <v>ActivityData_Iron &amp; steel: Fuel as process input</v>
      </c>
      <c r="W288" s="21" t="b">
        <v>0</v>
      </c>
      <c r="X288" s="69"/>
      <c r="Z288" s="21" t="b">
        <f t="shared" si="10"/>
        <v>0</v>
      </c>
    </row>
    <row r="289" spans="1:26" ht="12.75" customHeight="1" outlineLevel="1" x14ac:dyDescent="0.2">
      <c r="A289" s="21">
        <v>25</v>
      </c>
      <c r="B289" s="17" t="str">
        <f t="shared" ref="B289:C292" si="14">B288</f>
        <v>Production of iron or steel</v>
      </c>
      <c r="C289" s="17" t="str">
        <f t="shared" si="14"/>
        <v>Iron &amp; steel</v>
      </c>
      <c r="D289" s="602" t="str">
        <f>Translations!$B$1258</f>
        <v>Process (method A): carbonate only</v>
      </c>
      <c r="E289" s="602" t="str">
        <f>Translations!$B$1259</f>
        <v>Process input [t]</v>
      </c>
      <c r="F289" s="151" t="str">
        <f>$F$271</f>
        <v>Standard method: Process, Article 24(2)</v>
      </c>
      <c r="G289" s="103">
        <v>1</v>
      </c>
      <c r="H289" s="146" t="str">
        <f>Translations!$B$966</f>
        <v>± 7,5%</v>
      </c>
      <c r="I289" s="146" t="str">
        <f>Translations!$B$967</f>
        <v>± 5,0%</v>
      </c>
      <c r="J289" s="17"/>
      <c r="K289" s="17"/>
      <c r="L289" s="146" t="str">
        <f>Translations!$B$968</f>
        <v>± 2,5%</v>
      </c>
      <c r="M289" s="146"/>
      <c r="N289" s="146"/>
      <c r="O289" s="146"/>
      <c r="P289" s="103">
        <f t="shared" si="7"/>
        <v>3</v>
      </c>
      <c r="Q289" s="147" t="str">
        <f t="shared" si="8"/>
        <v>Iron &amp; steel: Process (method A): carbonate only</v>
      </c>
      <c r="R289" s="17"/>
      <c r="S289" s="17" t="str">
        <f t="shared" si="9"/>
        <v>ActivityData_Iron &amp; steel: Process (method A): carbonate only</v>
      </c>
      <c r="W289" s="21" t="b">
        <v>0</v>
      </c>
      <c r="X289" s="69"/>
      <c r="Z289" s="21" t="b">
        <f t="shared" si="10"/>
        <v>0</v>
      </c>
    </row>
    <row r="290" spans="1:26" ht="12.75" customHeight="1" outlineLevel="1" x14ac:dyDescent="0.2">
      <c r="A290" s="21">
        <v>26</v>
      </c>
      <c r="B290" s="602" t="str">
        <f t="shared" si="14"/>
        <v>Production of iron or steel</v>
      </c>
      <c r="C290" s="602" t="str">
        <f t="shared" si="14"/>
        <v>Iron &amp; steel</v>
      </c>
      <c r="D290" s="602" t="str">
        <f>Translations!$B$1260</f>
        <v>Process (method A): mixed (carbonate + non-carbonate)</v>
      </c>
      <c r="E290" s="602" t="str">
        <f>Translations!$B$1259</f>
        <v>Process input [t]</v>
      </c>
      <c r="F290" s="151" t="str">
        <f>$F$271</f>
        <v>Standard method: Process, Article 24(2)</v>
      </c>
      <c r="G290" s="103">
        <v>1</v>
      </c>
      <c r="H290" s="146" t="str">
        <f>Translations!$B$966</f>
        <v>± 7,5%</v>
      </c>
      <c r="I290" s="146" t="str">
        <f>Translations!$B$967</f>
        <v>± 5,0%</v>
      </c>
      <c r="J290" s="17"/>
      <c r="K290" s="17"/>
      <c r="L290" s="146" t="str">
        <f>Translations!$B$968</f>
        <v>± 2,5%</v>
      </c>
      <c r="M290" s="146"/>
      <c r="N290" s="146"/>
      <c r="O290" s="146"/>
      <c r="P290" s="103">
        <f t="shared" ref="P290:P334" si="15">COUNTA(H290:O290)</f>
        <v>3</v>
      </c>
      <c r="Q290" s="147" t="str">
        <f t="shared" ref="Q290:Q325" si="16">C290 &amp; ": " &amp;D290</f>
        <v>Iron &amp; steel: Process (method A): mixed (carbonate + non-carbonate)</v>
      </c>
      <c r="R290" s="17"/>
      <c r="S290" s="17" t="str">
        <f t="shared" ref="S290:S325" si="17">EUconst_CNTR_ActivityData&amp;Q290</f>
        <v>ActivityData_Iron &amp; steel: Process (method A): mixed (carbonate + non-carbonate)</v>
      </c>
      <c r="W290" s="21" t="b">
        <v>0</v>
      </c>
      <c r="X290" s="69"/>
      <c r="Z290" s="21" t="b">
        <f t="shared" si="10"/>
        <v>0</v>
      </c>
    </row>
    <row r="291" spans="1:26" ht="12.75" customHeight="1" outlineLevel="1" x14ac:dyDescent="0.2">
      <c r="A291" s="21">
        <v>27</v>
      </c>
      <c r="B291" s="602" t="str">
        <f t="shared" si="14"/>
        <v>Production of iron or steel</v>
      </c>
      <c r="C291" s="602" t="str">
        <f t="shared" si="14"/>
        <v>Iron &amp; steel</v>
      </c>
      <c r="D291" s="602" t="str">
        <f>Translations!$B$1261</f>
        <v>Process (method A): non-carbonate</v>
      </c>
      <c r="E291" s="602" t="str">
        <f>Translations!$B$1259</f>
        <v>Process input [t]</v>
      </c>
      <c r="F291" s="151" t="str">
        <f>$F$271</f>
        <v>Standard method: Process, Article 24(2)</v>
      </c>
      <c r="G291" s="103">
        <v>1</v>
      </c>
      <c r="H291" s="146" t="str">
        <f>Translations!$B$966</f>
        <v>± 7,5%</v>
      </c>
      <c r="I291" s="146" t="str">
        <f>Translations!$B$967</f>
        <v>± 5,0%</v>
      </c>
      <c r="J291" s="17"/>
      <c r="K291" s="17"/>
      <c r="L291" s="146" t="str">
        <f>Translations!$B$968</f>
        <v>± 2,5%</v>
      </c>
      <c r="M291" s="146"/>
      <c r="N291" s="146"/>
      <c r="O291" s="146"/>
      <c r="P291" s="103">
        <f t="shared" si="15"/>
        <v>3</v>
      </c>
      <c r="Q291" s="147" t="str">
        <f t="shared" si="16"/>
        <v>Iron &amp; steel: Process (method A): non-carbonate</v>
      </c>
      <c r="R291" s="17"/>
      <c r="S291" s="17" t="str">
        <f t="shared" si="17"/>
        <v>ActivityData_Iron &amp; steel: Process (method A): non-carbonate</v>
      </c>
      <c r="W291" s="21" t="b">
        <v>0</v>
      </c>
      <c r="X291" s="69"/>
      <c r="Z291" s="21" t="b">
        <f t="shared" si="10"/>
        <v>0</v>
      </c>
    </row>
    <row r="292" spans="1:26" ht="12.75" customHeight="1" outlineLevel="1" x14ac:dyDescent="0.2">
      <c r="A292" s="21">
        <v>28</v>
      </c>
      <c r="B292" s="602" t="str">
        <f t="shared" si="14"/>
        <v>Production of iron or steel</v>
      </c>
      <c r="C292" s="602" t="str">
        <f t="shared" si="14"/>
        <v>Iron &amp; steel</v>
      </c>
      <c r="D292" s="602" t="str">
        <f>Translations!$B$1262</f>
        <v>Process (method B): oxide output</v>
      </c>
      <c r="E292" s="602" t="str">
        <f>Translations!$B$998</f>
        <v>Oxide output [t]</v>
      </c>
      <c r="F292" s="151" t="str">
        <f>$F$271</f>
        <v>Standard method: Process, Article 24(2)</v>
      </c>
      <c r="G292" s="103">
        <v>1</v>
      </c>
      <c r="H292" s="146" t="str">
        <f>Translations!$B$967</f>
        <v>± 5,0%</v>
      </c>
      <c r="I292" s="146" t="str">
        <f>Translations!$B$968</f>
        <v>± 2,5%</v>
      </c>
      <c r="J292" s="17"/>
      <c r="K292" s="17"/>
      <c r="L292" s="148"/>
      <c r="M292" s="148"/>
      <c r="N292" s="148"/>
      <c r="O292" s="146"/>
      <c r="P292" s="103">
        <f t="shared" si="15"/>
        <v>2</v>
      </c>
      <c r="Q292" s="147" t="str">
        <f t="shared" si="16"/>
        <v>Iron &amp; steel: Process (method B): oxide output</v>
      </c>
      <c r="R292" s="17"/>
      <c r="S292" s="17" t="str">
        <f t="shared" si="17"/>
        <v>ActivityData_Iron &amp; steel: Process (method B): oxide output</v>
      </c>
      <c r="W292" s="21" t="b">
        <v>0</v>
      </c>
      <c r="X292" s="69"/>
      <c r="Z292" s="21" t="b">
        <f t="shared" si="10"/>
        <v>0</v>
      </c>
    </row>
    <row r="293" spans="1:26" ht="12.75" customHeight="1" outlineLevel="1" x14ac:dyDescent="0.2">
      <c r="A293" s="21">
        <v>29</v>
      </c>
      <c r="B293" s="17" t="str">
        <f>B288</f>
        <v>Production of iron or steel</v>
      </c>
      <c r="C293" s="17" t="str">
        <f>C288</f>
        <v>Iron &amp; steel</v>
      </c>
      <c r="D293" s="17" t="str">
        <f>Translations!$B$984</f>
        <v>Mass balance</v>
      </c>
      <c r="E293" s="17" t="str">
        <f>Translations!$B$974</f>
        <v>Each input and output material [t]</v>
      </c>
      <c r="F293" s="151" t="str">
        <f>EUconst_MassBalance</f>
        <v>Mass balance method, Article 25</v>
      </c>
      <c r="G293" s="103">
        <v>1</v>
      </c>
      <c r="H293" s="146" t="str">
        <f>Translations!$B$966</f>
        <v>± 7,5%</v>
      </c>
      <c r="I293" s="146" t="str">
        <f>Translations!$B$967</f>
        <v>± 5,0%</v>
      </c>
      <c r="J293" s="17"/>
      <c r="K293" s="17"/>
      <c r="L293" s="146" t="str">
        <f>Translations!$B$968</f>
        <v>± 2,5%</v>
      </c>
      <c r="M293" s="146"/>
      <c r="N293" s="146"/>
      <c r="O293" s="146" t="str">
        <f>Translations!$B$969</f>
        <v>± 1,5%</v>
      </c>
      <c r="P293" s="103">
        <f t="shared" si="15"/>
        <v>4</v>
      </c>
      <c r="Q293" s="147" t="str">
        <f t="shared" si="16"/>
        <v>Iron &amp; steel: Mass balance</v>
      </c>
      <c r="R293" s="17"/>
      <c r="S293" s="17" t="str">
        <f t="shared" si="17"/>
        <v>ActivityData_Iron &amp; steel: Mass balance</v>
      </c>
      <c r="W293" s="21" t="b">
        <v>0</v>
      </c>
      <c r="X293" s="69"/>
      <c r="Z293" s="21" t="b">
        <f t="shared" si="10"/>
        <v>0</v>
      </c>
    </row>
    <row r="294" spans="1:26" ht="12.75" customHeight="1" outlineLevel="1" x14ac:dyDescent="0.2">
      <c r="A294" s="21">
        <v>30</v>
      </c>
      <c r="B294" s="17" t="str">
        <f>C240</f>
        <v>Production of cement clinker</v>
      </c>
      <c r="C294" s="17" t="str">
        <f>Translations!$B$1006</f>
        <v>Cement clinker</v>
      </c>
      <c r="D294" s="17" t="str">
        <f>Translations!$B$1007</f>
        <v>Kiln input based (Method A)</v>
      </c>
      <c r="E294" s="17" t="str">
        <f>Translations!$B$1008</f>
        <v>Each relevant kiln input [t]</v>
      </c>
      <c r="F294" s="151" t="str">
        <f t="shared" ref="F294:F311" si="18">$F$271</f>
        <v>Standard method: Process, Article 24(2)</v>
      </c>
      <c r="G294" s="103">
        <v>1</v>
      </c>
      <c r="H294" s="146" t="str">
        <f>Translations!$B$966</f>
        <v>± 7,5%</v>
      </c>
      <c r="I294" s="146" t="str">
        <f>Translations!$B$967</f>
        <v>± 5,0%</v>
      </c>
      <c r="J294" s="17"/>
      <c r="K294" s="17"/>
      <c r="L294" s="146" t="str">
        <f>Translations!$B$968</f>
        <v>± 2,5%</v>
      </c>
      <c r="M294" s="146"/>
      <c r="N294" s="146"/>
      <c r="O294" s="148"/>
      <c r="P294" s="103">
        <f t="shared" si="15"/>
        <v>3</v>
      </c>
      <c r="Q294" s="147" t="str">
        <f t="shared" si="16"/>
        <v>Cement clinker: Kiln input based (Method A)</v>
      </c>
      <c r="R294" s="17"/>
      <c r="S294" s="17" t="str">
        <f t="shared" si="17"/>
        <v>ActivityData_Cement clinker: Kiln input based (Method A)</v>
      </c>
      <c r="W294" s="21" t="b">
        <v>0</v>
      </c>
      <c r="X294" s="69"/>
      <c r="Z294" s="21" t="b">
        <f t="shared" si="10"/>
        <v>0</v>
      </c>
    </row>
    <row r="295" spans="1:26" ht="12.75" customHeight="1" outlineLevel="1" x14ac:dyDescent="0.2">
      <c r="A295" s="21">
        <v>31</v>
      </c>
      <c r="B295" s="17" t="str">
        <f t="shared" ref="B295:C297" si="19">B294</f>
        <v>Production of cement clinker</v>
      </c>
      <c r="C295" s="17" t="str">
        <f t="shared" si="19"/>
        <v>Cement clinker</v>
      </c>
      <c r="D295" s="17" t="str">
        <f>Translations!$B$1009</f>
        <v>Clinker output (Method B)</v>
      </c>
      <c r="E295" s="17" t="str">
        <f>Translations!$B$1010</f>
        <v>Clinker produced [t]</v>
      </c>
      <c r="F295" s="151" t="str">
        <f t="shared" si="18"/>
        <v>Standard method: Process, Article 24(2)</v>
      </c>
      <c r="G295" s="103">
        <v>1</v>
      </c>
      <c r="H295" s="146" t="str">
        <f>Translations!$B$967</f>
        <v>± 5,0%</v>
      </c>
      <c r="I295" s="146" t="str">
        <f>Translations!$B$968</f>
        <v>± 2,5%</v>
      </c>
      <c r="J295" s="17"/>
      <c r="K295" s="17"/>
      <c r="L295" s="148"/>
      <c r="M295" s="148"/>
      <c r="N295" s="148"/>
      <c r="O295" s="148"/>
      <c r="P295" s="103">
        <f t="shared" si="15"/>
        <v>2</v>
      </c>
      <c r="Q295" s="147" t="str">
        <f t="shared" si="16"/>
        <v>Cement clinker: Clinker output (Method B)</v>
      </c>
      <c r="R295" s="17"/>
      <c r="S295" s="17" t="str">
        <f t="shared" si="17"/>
        <v>ActivityData_Cement clinker: Clinker output (Method B)</v>
      </c>
      <c r="W295" s="21" t="b">
        <v>0</v>
      </c>
      <c r="X295" s="69"/>
      <c r="Z295" s="21" t="b">
        <f t="shared" si="10"/>
        <v>0</v>
      </c>
    </row>
    <row r="296" spans="1:26" ht="12.75" customHeight="1" outlineLevel="1" x14ac:dyDescent="0.2">
      <c r="A296" s="21">
        <v>32</v>
      </c>
      <c r="B296" s="17" t="str">
        <f t="shared" si="19"/>
        <v>Production of cement clinker</v>
      </c>
      <c r="C296" s="17" t="str">
        <f t="shared" si="19"/>
        <v>Cement clinker</v>
      </c>
      <c r="D296" s="17" t="str">
        <f>Translations!$B$1011</f>
        <v>CKD</v>
      </c>
      <c r="E296" s="17" t="str">
        <f>Translations!$B$1012</f>
        <v>CKD or bypass dust [t]</v>
      </c>
      <c r="F296" s="151" t="str">
        <f t="shared" si="18"/>
        <v>Standard method: Process, Article 24(2)</v>
      </c>
      <c r="G296" s="103">
        <v>1</v>
      </c>
      <c r="H296" s="191" t="str">
        <f>EUconst_MsgTierCKD</f>
        <v>(n.a.; use estimation based on best practice)</v>
      </c>
      <c r="I296" s="146" t="str">
        <f>Translations!$B$966</f>
        <v>± 7,5%</v>
      </c>
      <c r="J296" s="17"/>
      <c r="K296" s="17"/>
      <c r="L296" s="148"/>
      <c r="M296" s="148"/>
      <c r="N296" s="148"/>
      <c r="O296" s="148"/>
      <c r="P296" s="103">
        <f t="shared" si="15"/>
        <v>2</v>
      </c>
      <c r="Q296" s="147" t="str">
        <f t="shared" si="16"/>
        <v>Cement clinker: CKD</v>
      </c>
      <c r="R296" s="17"/>
      <c r="S296" s="17" t="str">
        <f t="shared" si="17"/>
        <v>ActivityData_Cement clinker: CKD</v>
      </c>
      <c r="W296" s="21" t="b">
        <v>0</v>
      </c>
      <c r="X296" s="69"/>
      <c r="Z296" s="21" t="b">
        <f t="shared" si="10"/>
        <v>0</v>
      </c>
    </row>
    <row r="297" spans="1:26" ht="12.75" customHeight="1" outlineLevel="1" x14ac:dyDescent="0.2">
      <c r="A297" s="21">
        <v>33</v>
      </c>
      <c r="B297" s="17" t="str">
        <f t="shared" si="19"/>
        <v>Production of cement clinker</v>
      </c>
      <c r="C297" s="17" t="str">
        <f t="shared" si="19"/>
        <v>Cement clinker</v>
      </c>
      <c r="D297" s="17" t="str">
        <f>Translations!$B$1013</f>
        <v>Non-carbonate carbon</v>
      </c>
      <c r="E297" s="17" t="str">
        <f>Translations!$B$1014</f>
        <v>Each raw material [t]</v>
      </c>
      <c r="F297" s="151" t="str">
        <f t="shared" si="18"/>
        <v>Standard method: Process, Article 24(2)</v>
      </c>
      <c r="G297" s="103">
        <v>1</v>
      </c>
      <c r="H297" s="146" t="str">
        <f>Translations!$B$1015</f>
        <v>± 15,0%</v>
      </c>
      <c r="I297" s="146" t="str">
        <f>Translations!$B$966</f>
        <v>± 7,5%</v>
      </c>
      <c r="J297" s="17"/>
      <c r="K297" s="17"/>
      <c r="L297" s="148"/>
      <c r="M297" s="148"/>
      <c r="N297" s="148"/>
      <c r="O297" s="148"/>
      <c r="P297" s="103">
        <f t="shared" si="15"/>
        <v>2</v>
      </c>
      <c r="Q297" s="147" t="str">
        <f t="shared" si="16"/>
        <v>Cement clinker: Non-carbonate carbon</v>
      </c>
      <c r="R297" s="17"/>
      <c r="S297" s="17" t="str">
        <f t="shared" si="17"/>
        <v>ActivityData_Cement clinker: Non-carbonate carbon</v>
      </c>
      <c r="W297" s="21" t="b">
        <v>0</v>
      </c>
      <c r="Z297" s="21" t="b">
        <f t="shared" si="10"/>
        <v>0</v>
      </c>
    </row>
    <row r="298" spans="1:26" ht="12.75" customHeight="1" outlineLevel="1" x14ac:dyDescent="0.2">
      <c r="A298" s="21">
        <v>34</v>
      </c>
      <c r="B298" s="17" t="str">
        <f>C241</f>
        <v>Production of lime, or calcination of dolomite/magnesite</v>
      </c>
      <c r="C298" s="17" t="str">
        <f>Translations!$B$1017</f>
        <v>Lime / dolomite / magnesite</v>
      </c>
      <c r="D298" s="602" t="str">
        <f>Translations!$B$1258</f>
        <v>Process (method A): carbonate only</v>
      </c>
      <c r="E298" s="602" t="str">
        <f>Translations!$B$1259</f>
        <v>Process input [t]</v>
      </c>
      <c r="F298" s="151" t="str">
        <f t="shared" si="18"/>
        <v>Standard method: Process, Article 24(2)</v>
      </c>
      <c r="G298" s="103">
        <v>1</v>
      </c>
      <c r="H298" s="146" t="str">
        <f>Translations!$B$966</f>
        <v>± 7,5%</v>
      </c>
      <c r="I298" s="146" t="str">
        <f>Translations!$B$967</f>
        <v>± 5,0%</v>
      </c>
      <c r="J298" s="17"/>
      <c r="K298" s="17"/>
      <c r="L298" s="146" t="str">
        <f>Translations!$B$968</f>
        <v>± 2,5%</v>
      </c>
      <c r="M298" s="146"/>
      <c r="N298" s="146"/>
      <c r="O298" s="148"/>
      <c r="P298" s="103">
        <f t="shared" si="15"/>
        <v>3</v>
      </c>
      <c r="Q298" s="147" t="str">
        <f t="shared" si="16"/>
        <v>Lime / dolomite / magnesite: Process (method A): carbonate only</v>
      </c>
      <c r="R298" s="17"/>
      <c r="S298" s="17" t="str">
        <f t="shared" si="17"/>
        <v>ActivityData_Lime / dolomite / magnesite: Process (method A): carbonate only</v>
      </c>
      <c r="W298" s="21" t="b">
        <v>0</v>
      </c>
      <c r="Z298" s="21" t="b">
        <f t="shared" si="10"/>
        <v>0</v>
      </c>
    </row>
    <row r="299" spans="1:26" ht="12.75" customHeight="1" outlineLevel="1" x14ac:dyDescent="0.2">
      <c r="A299" s="21">
        <v>35</v>
      </c>
      <c r="B299" s="602" t="str">
        <f>B298</f>
        <v>Production of lime, or calcination of dolomite/magnesite</v>
      </c>
      <c r="C299" s="602" t="str">
        <f>Translations!$B$1017</f>
        <v>Lime / dolomite / magnesite</v>
      </c>
      <c r="D299" s="602" t="str">
        <f>Translations!$B$1260</f>
        <v>Process (method A): mixed (carbonate + non-carbonate)</v>
      </c>
      <c r="E299" s="602" t="str">
        <f>Translations!$B$1259</f>
        <v>Process input [t]</v>
      </c>
      <c r="F299" s="151" t="str">
        <f t="shared" si="18"/>
        <v>Standard method: Process, Article 24(2)</v>
      </c>
      <c r="G299" s="103">
        <v>1</v>
      </c>
      <c r="H299" s="146" t="str">
        <f>Translations!$B$966</f>
        <v>± 7,5%</v>
      </c>
      <c r="I299" s="146" t="str">
        <f>Translations!$B$967</f>
        <v>± 5,0%</v>
      </c>
      <c r="J299" s="17"/>
      <c r="K299" s="17"/>
      <c r="L299" s="146" t="str">
        <f>Translations!$B$968</f>
        <v>± 2,5%</v>
      </c>
      <c r="M299" s="146"/>
      <c r="N299" s="146"/>
      <c r="O299" s="148"/>
      <c r="P299" s="103">
        <f t="shared" si="15"/>
        <v>3</v>
      </c>
      <c r="Q299" s="147" t="str">
        <f t="shared" si="16"/>
        <v>Lime / dolomite / magnesite: Process (method A): mixed (carbonate + non-carbonate)</v>
      </c>
      <c r="R299" s="17"/>
      <c r="S299" s="17" t="str">
        <f t="shared" si="17"/>
        <v>ActivityData_Lime / dolomite / magnesite: Process (method A): mixed (carbonate + non-carbonate)</v>
      </c>
      <c r="W299" s="21" t="b">
        <v>0</v>
      </c>
      <c r="Z299" s="21" t="b">
        <f t="shared" si="10"/>
        <v>0</v>
      </c>
    </row>
    <row r="300" spans="1:26" ht="12.75" customHeight="1" outlineLevel="1" x14ac:dyDescent="0.2">
      <c r="A300" s="21">
        <v>36</v>
      </c>
      <c r="B300" s="602" t="str">
        <f>B299</f>
        <v>Production of lime, or calcination of dolomite/magnesite</v>
      </c>
      <c r="C300" s="602" t="str">
        <f>Translations!$B$1017</f>
        <v>Lime / dolomite / magnesite</v>
      </c>
      <c r="D300" s="602" t="str">
        <f>Translations!$B$1261</f>
        <v>Process (method A): non-carbonate</v>
      </c>
      <c r="E300" s="602" t="str">
        <f>Translations!$B$1259</f>
        <v>Process input [t]</v>
      </c>
      <c r="F300" s="151" t="str">
        <f t="shared" si="18"/>
        <v>Standard method: Process, Article 24(2)</v>
      </c>
      <c r="G300" s="103">
        <v>1</v>
      </c>
      <c r="H300" s="146" t="str">
        <f>Translations!$B$966</f>
        <v>± 7,5%</v>
      </c>
      <c r="I300" s="146" t="str">
        <f>Translations!$B$967</f>
        <v>± 5,0%</v>
      </c>
      <c r="J300" s="17"/>
      <c r="K300" s="17"/>
      <c r="L300" s="146" t="str">
        <f>Translations!$B$968</f>
        <v>± 2,5%</v>
      </c>
      <c r="M300" s="146"/>
      <c r="N300" s="146"/>
      <c r="O300" s="148"/>
      <c r="P300" s="103">
        <f t="shared" si="15"/>
        <v>3</v>
      </c>
      <c r="Q300" s="147" t="str">
        <f t="shared" si="16"/>
        <v>Lime / dolomite / magnesite: Process (method A): non-carbonate</v>
      </c>
      <c r="R300" s="17"/>
      <c r="S300" s="17" t="str">
        <f t="shared" si="17"/>
        <v>ActivityData_Lime / dolomite / magnesite: Process (method A): non-carbonate</v>
      </c>
      <c r="W300" s="21" t="b">
        <v>0</v>
      </c>
      <c r="Z300" s="21" t="b">
        <f t="shared" si="10"/>
        <v>0</v>
      </c>
    </row>
    <row r="301" spans="1:26" ht="12.75" customHeight="1" outlineLevel="1" x14ac:dyDescent="0.2">
      <c r="A301" s="21">
        <v>37</v>
      </c>
      <c r="B301" s="17" t="str">
        <f>B298</f>
        <v>Production of lime, or calcination of dolomite/magnesite</v>
      </c>
      <c r="C301" s="17" t="str">
        <f>C298</f>
        <v>Lime / dolomite / magnesite</v>
      </c>
      <c r="D301" s="602" t="str">
        <f>Translations!$B$1262</f>
        <v>Process (method B): oxide output</v>
      </c>
      <c r="E301" s="602" t="str">
        <f>Translations!$B$998</f>
        <v>Oxide output [t]</v>
      </c>
      <c r="F301" s="151" t="str">
        <f t="shared" si="18"/>
        <v>Standard method: Process, Article 24(2)</v>
      </c>
      <c r="G301" s="103">
        <v>1</v>
      </c>
      <c r="H301" s="146" t="str">
        <f>Translations!$B$967</f>
        <v>± 5,0%</v>
      </c>
      <c r="I301" s="146" t="str">
        <f>Translations!$B$968</f>
        <v>± 2,5%</v>
      </c>
      <c r="J301" s="17"/>
      <c r="K301" s="17"/>
      <c r="L301" s="148"/>
      <c r="M301" s="148"/>
      <c r="N301" s="148"/>
      <c r="O301" s="148"/>
      <c r="P301" s="103">
        <f t="shared" si="15"/>
        <v>2</v>
      </c>
      <c r="Q301" s="147" t="str">
        <f t="shared" si="16"/>
        <v>Lime / dolomite / magnesite: Process (method B): oxide output</v>
      </c>
      <c r="R301" s="17"/>
      <c r="S301" s="17" t="str">
        <f t="shared" si="17"/>
        <v>ActivityData_Lime / dolomite / magnesite: Process (method B): oxide output</v>
      </c>
      <c r="W301" s="21" t="b">
        <v>0</v>
      </c>
      <c r="Z301" s="21" t="b">
        <f t="shared" si="10"/>
        <v>0</v>
      </c>
    </row>
    <row r="302" spans="1:26" ht="12.75" customHeight="1" outlineLevel="1" x14ac:dyDescent="0.2">
      <c r="A302" s="21">
        <v>38</v>
      </c>
      <c r="B302" s="17" t="str">
        <f>B301</f>
        <v>Production of lime, or calcination of dolomite/magnesite</v>
      </c>
      <c r="C302" s="17" t="str">
        <f>C301</f>
        <v>Lime / dolomite / magnesite</v>
      </c>
      <c r="D302" s="17" t="str">
        <f>Translations!$B$1021</f>
        <v>Kiln dust (Method B)</v>
      </c>
      <c r="E302" s="17" t="str">
        <f>Translations!$B$1022</f>
        <v>Kiln dust [t]</v>
      </c>
      <c r="F302" s="151" t="str">
        <f t="shared" si="18"/>
        <v>Standard method: Process, Article 24(2)</v>
      </c>
      <c r="G302" s="103">
        <v>1</v>
      </c>
      <c r="H302" s="191" t="str">
        <f>EUconst_MsgTierCKD</f>
        <v>(n.a.; use estimation based on best practice)</v>
      </c>
      <c r="I302" s="146" t="str">
        <f>Translations!$B$966</f>
        <v>± 7,5%</v>
      </c>
      <c r="J302" s="17"/>
      <c r="K302" s="17"/>
      <c r="L302" s="148"/>
      <c r="M302" s="148"/>
      <c r="N302" s="148"/>
      <c r="O302" s="148"/>
      <c r="P302" s="103">
        <f t="shared" si="15"/>
        <v>2</v>
      </c>
      <c r="Q302" s="147" t="str">
        <f t="shared" si="16"/>
        <v>Lime / dolomite / magnesite: Kiln dust (Method B)</v>
      </c>
      <c r="R302" s="17"/>
      <c r="S302" s="17" t="str">
        <f t="shared" si="17"/>
        <v>ActivityData_Lime / dolomite / magnesite: Kiln dust (Method B)</v>
      </c>
      <c r="W302" s="21" t="b">
        <v>0</v>
      </c>
      <c r="Z302" s="21" t="b">
        <f t="shared" si="10"/>
        <v>0</v>
      </c>
    </row>
    <row r="303" spans="1:26" ht="12.75" customHeight="1" outlineLevel="1" x14ac:dyDescent="0.2">
      <c r="A303" s="21">
        <v>39</v>
      </c>
      <c r="B303" s="17" t="str">
        <f>C242</f>
        <v>Manufacture of glass</v>
      </c>
      <c r="C303" s="17" t="str">
        <f>Translations!$B$1024</f>
        <v>Glass and mineral wool</v>
      </c>
      <c r="D303" s="602" t="str">
        <f>Translations!$B$1258</f>
        <v>Process (method A): carbonate only</v>
      </c>
      <c r="E303" s="602" t="str">
        <f>Translations!$B$1259</f>
        <v>Process input [t]</v>
      </c>
      <c r="F303" s="151" t="str">
        <f t="shared" si="18"/>
        <v>Standard method: Process, Article 24(2)</v>
      </c>
      <c r="G303" s="103">
        <v>1</v>
      </c>
      <c r="H303" s="146" t="str">
        <f>Translations!$B$968</f>
        <v>± 2,5%</v>
      </c>
      <c r="I303" s="146" t="str">
        <f>Translations!$B$969</f>
        <v>± 1,5%</v>
      </c>
      <c r="J303" s="17"/>
      <c r="K303" s="17"/>
      <c r="L303" s="146"/>
      <c r="M303" s="146"/>
      <c r="N303" s="146"/>
      <c r="O303" s="146"/>
      <c r="P303" s="103">
        <f t="shared" si="15"/>
        <v>2</v>
      </c>
      <c r="Q303" s="147" t="str">
        <f t="shared" si="16"/>
        <v>Glass and mineral wool: Process (method A): carbonate only</v>
      </c>
      <c r="R303" s="17"/>
      <c r="S303" s="17" t="str">
        <f t="shared" si="17"/>
        <v>ActivityData_Glass and mineral wool: Process (method A): carbonate only</v>
      </c>
      <c r="W303" s="21" t="b">
        <v>0</v>
      </c>
      <c r="Z303" s="21" t="b">
        <f t="shared" si="10"/>
        <v>0</v>
      </c>
    </row>
    <row r="304" spans="1:26" ht="12.75" customHeight="1" outlineLevel="1" x14ac:dyDescent="0.2">
      <c r="A304" s="21">
        <v>40</v>
      </c>
      <c r="B304" s="602" t="str">
        <f>C242</f>
        <v>Manufacture of glass</v>
      </c>
      <c r="C304" s="602" t="str">
        <f>Translations!$B$1024</f>
        <v>Glass and mineral wool</v>
      </c>
      <c r="D304" s="602" t="str">
        <f>Translations!$B$1260</f>
        <v>Process (method A): mixed (carbonate + non-carbonate)</v>
      </c>
      <c r="E304" s="602" t="str">
        <f>Translations!$B$1259</f>
        <v>Process input [t]</v>
      </c>
      <c r="F304" s="151" t="str">
        <f t="shared" si="18"/>
        <v>Standard method: Process, Article 24(2)</v>
      </c>
      <c r="G304" s="103">
        <v>1</v>
      </c>
      <c r="H304" s="146" t="str">
        <f>Translations!$B$968</f>
        <v>± 2,5%</v>
      </c>
      <c r="I304" s="146" t="str">
        <f>Translations!$B$969</f>
        <v>± 1,5%</v>
      </c>
      <c r="J304" s="17"/>
      <c r="K304" s="17"/>
      <c r="L304" s="146"/>
      <c r="M304" s="146"/>
      <c r="N304" s="146"/>
      <c r="O304" s="146"/>
      <c r="P304" s="103">
        <f t="shared" si="15"/>
        <v>2</v>
      </c>
      <c r="Q304" s="147" t="str">
        <f t="shared" si="16"/>
        <v>Glass and mineral wool: Process (method A): mixed (carbonate + non-carbonate)</v>
      </c>
      <c r="R304" s="17"/>
      <c r="S304" s="17" t="str">
        <f t="shared" si="17"/>
        <v>ActivityData_Glass and mineral wool: Process (method A): mixed (carbonate + non-carbonate)</v>
      </c>
      <c r="W304" s="21" t="b">
        <v>0</v>
      </c>
      <c r="Z304" s="21" t="b">
        <f t="shared" si="10"/>
        <v>0</v>
      </c>
    </row>
    <row r="305" spans="1:26" ht="12.75" customHeight="1" outlineLevel="1" x14ac:dyDescent="0.2">
      <c r="A305" s="21">
        <v>41</v>
      </c>
      <c r="B305" s="602" t="str">
        <f>B304</f>
        <v>Manufacture of glass</v>
      </c>
      <c r="C305" s="602" t="str">
        <f>Translations!$B$1024</f>
        <v>Glass and mineral wool</v>
      </c>
      <c r="D305" s="602" t="str">
        <f>Translations!$B$1261</f>
        <v>Process (method A): non-carbonate</v>
      </c>
      <c r="E305" s="602" t="str">
        <f>Translations!$B$1259</f>
        <v>Process input [t]</v>
      </c>
      <c r="F305" s="151" t="str">
        <f t="shared" si="18"/>
        <v>Standard method: Process, Article 24(2)</v>
      </c>
      <c r="G305" s="103">
        <v>1</v>
      </c>
      <c r="H305" s="146" t="str">
        <f>Translations!$B$968</f>
        <v>± 2,5%</v>
      </c>
      <c r="I305" s="146" t="str">
        <f>Translations!$B$969</f>
        <v>± 1,5%</v>
      </c>
      <c r="J305" s="17"/>
      <c r="K305" s="17"/>
      <c r="L305" s="146"/>
      <c r="M305" s="146"/>
      <c r="N305" s="146"/>
      <c r="O305" s="146"/>
      <c r="P305" s="103">
        <f t="shared" si="15"/>
        <v>2</v>
      </c>
      <c r="Q305" s="147" t="str">
        <f t="shared" si="16"/>
        <v>Glass and mineral wool: Process (method A): non-carbonate</v>
      </c>
      <c r="R305" s="17"/>
      <c r="S305" s="17" t="str">
        <f t="shared" si="17"/>
        <v>ActivityData_Glass and mineral wool: Process (method A): non-carbonate</v>
      </c>
      <c r="W305" s="21" t="b">
        <v>0</v>
      </c>
      <c r="Z305" s="21" t="b">
        <f t="shared" si="10"/>
        <v>0</v>
      </c>
    </row>
    <row r="306" spans="1:26" ht="12.75" customHeight="1" outlineLevel="1" x14ac:dyDescent="0.2">
      <c r="A306" s="21">
        <v>42</v>
      </c>
      <c r="B306" s="17" t="str">
        <f>C243</f>
        <v>Manufacture of ceramics</v>
      </c>
      <c r="C306" s="17" t="str">
        <f>Translations!$B$1028</f>
        <v>Ceramics</v>
      </c>
      <c r="D306" s="602" t="str">
        <f>Translations!$B$1258</f>
        <v>Process (method A): carbonate only</v>
      </c>
      <c r="E306" s="602" t="str">
        <f>Translations!$B$1259</f>
        <v>Process input [t]</v>
      </c>
      <c r="F306" s="151" t="str">
        <f t="shared" si="18"/>
        <v>Standard method: Process, Article 24(2)</v>
      </c>
      <c r="G306" s="103">
        <v>1</v>
      </c>
      <c r="H306" s="146" t="str">
        <f>Translations!$B$966</f>
        <v>± 7,5%</v>
      </c>
      <c r="I306" s="146" t="str">
        <f>Translations!$B$967</f>
        <v>± 5,0%</v>
      </c>
      <c r="J306" s="17"/>
      <c r="K306" s="17"/>
      <c r="L306" s="146" t="str">
        <f>Translations!$B$968</f>
        <v>± 2,5%</v>
      </c>
      <c r="M306" s="146"/>
      <c r="N306" s="146"/>
      <c r="O306" s="146"/>
      <c r="P306" s="103">
        <f t="shared" si="15"/>
        <v>3</v>
      </c>
      <c r="Q306" s="147" t="str">
        <f t="shared" si="16"/>
        <v>Ceramics: Process (method A): carbonate only</v>
      </c>
      <c r="R306" s="17"/>
      <c r="S306" s="17" t="str">
        <f t="shared" si="17"/>
        <v>ActivityData_Ceramics: Process (method A): carbonate only</v>
      </c>
      <c r="W306" s="21" t="b">
        <v>0</v>
      </c>
      <c r="Z306" s="21" t="b">
        <f t="shared" si="10"/>
        <v>0</v>
      </c>
    </row>
    <row r="307" spans="1:26" ht="12.75" customHeight="1" outlineLevel="1" x14ac:dyDescent="0.2">
      <c r="A307" s="21">
        <v>43</v>
      </c>
      <c r="B307" s="602" t="str">
        <f>B306</f>
        <v>Manufacture of ceramics</v>
      </c>
      <c r="C307" s="602" t="str">
        <f>C306</f>
        <v>Ceramics</v>
      </c>
      <c r="D307" s="602" t="str">
        <f>Translations!$B$1260</f>
        <v>Process (method A): mixed (carbonate + non-carbonate)</v>
      </c>
      <c r="E307" s="602" t="str">
        <f>Translations!$B$1259</f>
        <v>Process input [t]</v>
      </c>
      <c r="F307" s="151" t="str">
        <f>EUconst_ProcessCarbonate</f>
        <v>Standard method: Process, Article 24(2)</v>
      </c>
      <c r="G307" s="103">
        <v>1</v>
      </c>
      <c r="H307" s="146" t="str">
        <f>Translations!$B$966</f>
        <v>± 7,5%</v>
      </c>
      <c r="I307" s="146" t="str">
        <f>Translations!$B$967</f>
        <v>± 5,0%</v>
      </c>
      <c r="J307" s="17"/>
      <c r="K307" s="17"/>
      <c r="L307" s="146" t="str">
        <f>Translations!$B$968</f>
        <v>± 2,5%</v>
      </c>
      <c r="M307" s="146"/>
      <c r="N307" s="146"/>
      <c r="O307" s="148"/>
      <c r="P307" s="103">
        <f t="shared" si="15"/>
        <v>3</v>
      </c>
      <c r="Q307" s="147" t="str">
        <f t="shared" si="16"/>
        <v>Ceramics: Process (method A): mixed (carbonate + non-carbonate)</v>
      </c>
      <c r="R307" s="17"/>
      <c r="S307" s="17" t="str">
        <f t="shared" si="17"/>
        <v>ActivityData_Ceramics: Process (method A): mixed (carbonate + non-carbonate)</v>
      </c>
      <c r="W307" s="21" t="b">
        <v>0</v>
      </c>
      <c r="X307" s="69"/>
      <c r="Z307" s="21" t="b">
        <f t="shared" si="10"/>
        <v>0</v>
      </c>
    </row>
    <row r="308" spans="1:26" ht="12.75" customHeight="1" outlineLevel="1" x14ac:dyDescent="0.2">
      <c r="A308" s="21">
        <v>44</v>
      </c>
      <c r="B308" s="602" t="str">
        <f>B307</f>
        <v>Manufacture of ceramics</v>
      </c>
      <c r="C308" s="602" t="str">
        <f>C307</f>
        <v>Ceramics</v>
      </c>
      <c r="D308" s="602" t="str">
        <f>Translations!$B$1261</f>
        <v>Process (method A): non-carbonate</v>
      </c>
      <c r="E308" s="602" t="str">
        <f>Translations!$B$1259</f>
        <v>Process input [t]</v>
      </c>
      <c r="F308" s="151" t="str">
        <f>EUconst_ProcessCarbonate</f>
        <v>Standard method: Process, Article 24(2)</v>
      </c>
      <c r="G308" s="103">
        <v>1</v>
      </c>
      <c r="H308" s="146" t="str">
        <f>Translations!$B$966</f>
        <v>± 7,5%</v>
      </c>
      <c r="I308" s="146" t="str">
        <f>Translations!$B$967</f>
        <v>± 5,0%</v>
      </c>
      <c r="J308" s="17"/>
      <c r="K308" s="17"/>
      <c r="L308" s="146" t="str">
        <f>Translations!$B$968</f>
        <v>± 2,5%</v>
      </c>
      <c r="M308" s="146"/>
      <c r="N308" s="146"/>
      <c r="O308" s="148"/>
      <c r="P308" s="103">
        <f t="shared" si="15"/>
        <v>3</v>
      </c>
      <c r="Q308" s="147" t="str">
        <f t="shared" si="16"/>
        <v>Ceramics: Process (method A): non-carbonate</v>
      </c>
      <c r="R308" s="17"/>
      <c r="S308" s="17" t="str">
        <f t="shared" si="17"/>
        <v>ActivityData_Ceramics: Process (method A): non-carbonate</v>
      </c>
      <c r="W308" s="21" t="b">
        <v>0</v>
      </c>
      <c r="X308" s="69"/>
      <c r="Z308" s="21" t="b">
        <f t="shared" si="10"/>
        <v>0</v>
      </c>
    </row>
    <row r="309" spans="1:26" ht="12.75" customHeight="1" outlineLevel="1" x14ac:dyDescent="0.2">
      <c r="A309" s="21">
        <v>45</v>
      </c>
      <c r="B309" s="17" t="str">
        <f>B308</f>
        <v>Manufacture of ceramics</v>
      </c>
      <c r="C309" s="17" t="str">
        <f>C306</f>
        <v>Ceramics</v>
      </c>
      <c r="D309" s="602" t="str">
        <f>Translations!$B$1262</f>
        <v>Process (method B): oxide output</v>
      </c>
      <c r="E309" s="17" t="str">
        <f>Translations!$B$1032</f>
        <v>Gross production including rejected products and cullet from the kilns and shipment [t]</v>
      </c>
      <c r="F309" s="151" t="str">
        <f t="shared" si="18"/>
        <v>Standard method: Process, Article 24(2)</v>
      </c>
      <c r="G309" s="103">
        <v>1</v>
      </c>
      <c r="H309" s="146" t="str">
        <f>Translations!$B$966</f>
        <v>± 7,5%</v>
      </c>
      <c r="I309" s="146" t="str">
        <f>Translations!$B$967</f>
        <v>± 5,0%</v>
      </c>
      <c r="J309" s="17"/>
      <c r="K309" s="17"/>
      <c r="L309" s="146" t="str">
        <f>Translations!$B$968</f>
        <v>± 2,5%</v>
      </c>
      <c r="M309" s="146"/>
      <c r="N309" s="146"/>
      <c r="O309" s="146"/>
      <c r="P309" s="103">
        <f t="shared" si="15"/>
        <v>3</v>
      </c>
      <c r="Q309" s="147" t="str">
        <f t="shared" si="16"/>
        <v>Ceramics: Process (method B): oxide output</v>
      </c>
      <c r="R309" s="17"/>
      <c r="S309" s="17" t="str">
        <f t="shared" si="17"/>
        <v>ActivityData_Ceramics: Process (method B): oxide output</v>
      </c>
      <c r="W309" s="21" t="b">
        <v>0</v>
      </c>
      <c r="Z309" s="21" t="b">
        <f t="shared" si="10"/>
        <v>0</v>
      </c>
    </row>
    <row r="310" spans="1:26" ht="12.75" customHeight="1" outlineLevel="1" x14ac:dyDescent="0.2">
      <c r="A310" s="21">
        <v>46</v>
      </c>
      <c r="B310" s="17" t="str">
        <f>B309</f>
        <v>Manufacture of ceramics</v>
      </c>
      <c r="C310" s="17" t="str">
        <f>C309</f>
        <v>Ceramics</v>
      </c>
      <c r="D310" s="17" t="str">
        <f>Translations!$B$1033</f>
        <v>Scrubbing</v>
      </c>
      <c r="E310" s="17" t="str">
        <f>Translations!$B$1034</f>
        <v>Dry CaCO3 consumed [t]</v>
      </c>
      <c r="F310" s="151" t="str">
        <f t="shared" si="18"/>
        <v>Standard method: Process, Article 24(2)</v>
      </c>
      <c r="G310" s="103">
        <v>1</v>
      </c>
      <c r="H310" s="146" t="str">
        <f>Translations!$B$966</f>
        <v>± 7,5%</v>
      </c>
      <c r="I310" s="146"/>
      <c r="J310" s="17"/>
      <c r="K310" s="17"/>
      <c r="L310" s="146"/>
      <c r="M310" s="146"/>
      <c r="N310" s="146"/>
      <c r="O310" s="146"/>
      <c r="P310" s="103">
        <f t="shared" si="15"/>
        <v>1</v>
      </c>
      <c r="Q310" s="147" t="str">
        <f t="shared" si="16"/>
        <v>Ceramics: Scrubbing</v>
      </c>
      <c r="R310" s="17"/>
      <c r="S310" s="17" t="str">
        <f t="shared" si="17"/>
        <v>ActivityData_Ceramics: Scrubbing</v>
      </c>
      <c r="W310" s="21" t="b">
        <v>0</v>
      </c>
      <c r="Z310" s="21" t="b">
        <f t="shared" ref="Z310:Z335" si="20">IF(G310=EUconst_NA,TRUE,FALSE)</f>
        <v>0</v>
      </c>
    </row>
    <row r="311" spans="1:26" ht="12.75" customHeight="1" outlineLevel="1" x14ac:dyDescent="0.2">
      <c r="A311" s="21">
        <v>47</v>
      </c>
      <c r="B311" s="17" t="str">
        <f>C246</f>
        <v>Production of pulp</v>
      </c>
      <c r="C311" s="17" t="str">
        <f>Translations!$B$1036</f>
        <v>Pulp &amp; paper</v>
      </c>
      <c r="D311" s="17" t="str">
        <f>Translations!$B$1037</f>
        <v>Make up chemicals</v>
      </c>
      <c r="E311" s="17" t="str">
        <f>Translations!$B$1038</f>
        <v>Amount of CaCO3 and Na2CO3 [t]</v>
      </c>
      <c r="F311" s="151" t="str">
        <f t="shared" si="18"/>
        <v>Standard method: Process, Article 24(2)</v>
      </c>
      <c r="G311" s="103">
        <v>1</v>
      </c>
      <c r="H311" s="146" t="str">
        <f>Translations!$B$968</f>
        <v>± 2,5%</v>
      </c>
      <c r="I311" s="146" t="str">
        <f>Translations!$B$969</f>
        <v>± 1,5%</v>
      </c>
      <c r="J311" s="17"/>
      <c r="K311" s="17"/>
      <c r="L311" s="146"/>
      <c r="M311" s="146"/>
      <c r="N311" s="146"/>
      <c r="O311" s="146"/>
      <c r="P311" s="103">
        <f t="shared" si="15"/>
        <v>2</v>
      </c>
      <c r="Q311" s="147" t="str">
        <f t="shared" si="16"/>
        <v>Pulp &amp; paper: Make up chemicals</v>
      </c>
      <c r="R311" s="17"/>
      <c r="S311" s="17" t="str">
        <f t="shared" si="17"/>
        <v>ActivityData_Pulp &amp; paper: Make up chemicals</v>
      </c>
      <c r="W311" s="21" t="b">
        <v>0</v>
      </c>
      <c r="Z311" s="21" t="b">
        <f t="shared" si="20"/>
        <v>0</v>
      </c>
    </row>
    <row r="312" spans="1:26" ht="12.75" customHeight="1" outlineLevel="1" x14ac:dyDescent="0.2">
      <c r="A312" s="21">
        <v>48</v>
      </c>
      <c r="B312" s="17" t="str">
        <f>C248</f>
        <v>Production of carbon black</v>
      </c>
      <c r="C312" s="17" t="str">
        <f>Translations!$B$1039</f>
        <v>Carbon black</v>
      </c>
      <c r="D312" s="17" t="str">
        <f>Translations!$B$1040</f>
        <v>Mass balance methodology</v>
      </c>
      <c r="E312" s="17" t="str">
        <f>Translations!$B$974</f>
        <v>Each input and output material [t]</v>
      </c>
      <c r="F312" s="151" t="str">
        <f>EUconst_MassBalance</f>
        <v>Mass balance method, Article 25</v>
      </c>
      <c r="G312" s="103">
        <v>1</v>
      </c>
      <c r="H312" s="146" t="str">
        <f>Translations!$B$966</f>
        <v>± 7,5%</v>
      </c>
      <c r="I312" s="146" t="str">
        <f>Translations!$B$967</f>
        <v>± 5,0%</v>
      </c>
      <c r="J312" s="17"/>
      <c r="K312" s="17"/>
      <c r="L312" s="146" t="str">
        <f>Translations!$B$968</f>
        <v>± 2,5%</v>
      </c>
      <c r="M312" s="146"/>
      <c r="N312" s="146"/>
      <c r="O312" s="146" t="str">
        <f>Translations!$B$969</f>
        <v>± 1,5%</v>
      </c>
      <c r="P312" s="103">
        <f t="shared" si="15"/>
        <v>4</v>
      </c>
      <c r="Q312" s="147" t="str">
        <f t="shared" si="16"/>
        <v>Carbon black: Mass balance methodology</v>
      </c>
      <c r="R312" s="17"/>
      <c r="S312" s="17" t="str">
        <f t="shared" si="17"/>
        <v>ActivityData_Carbon black: Mass balance methodology</v>
      </c>
      <c r="W312" s="21" t="b">
        <v>0</v>
      </c>
      <c r="Z312" s="21" t="b">
        <f t="shared" si="20"/>
        <v>0</v>
      </c>
    </row>
    <row r="313" spans="1:26" ht="12.75" customHeight="1" outlineLevel="1" x14ac:dyDescent="0.2">
      <c r="A313" s="21">
        <v>49</v>
      </c>
      <c r="B313" s="17" t="str">
        <f>C252</f>
        <v>Production of ammonia</v>
      </c>
      <c r="C313" s="17" t="str">
        <f>Translations!$B$1041</f>
        <v>Ammonia</v>
      </c>
      <c r="D313" s="17" t="str">
        <f>Translations!$B$994</f>
        <v>Fuel as process input</v>
      </c>
      <c r="E313" s="17" t="str">
        <f>Translations!$B$1042</f>
        <v>Amount fuel used as process input [t] or [Nm3]</v>
      </c>
      <c r="F313" s="151" t="str">
        <f>$F$265</f>
        <v>Standard method: Fuel, Article 24(1)</v>
      </c>
      <c r="G313" s="103">
        <v>2</v>
      </c>
      <c r="H313" s="146" t="str">
        <f>Translations!$B$966</f>
        <v>± 7,5%</v>
      </c>
      <c r="I313" s="146" t="str">
        <f>Translations!$B$967</f>
        <v>± 5,0%</v>
      </c>
      <c r="J313" s="17"/>
      <c r="K313" s="17"/>
      <c r="L313" s="146" t="str">
        <f>Translations!$B$968</f>
        <v>± 2,5%</v>
      </c>
      <c r="M313" s="146"/>
      <c r="N313" s="146"/>
      <c r="O313" s="146" t="str">
        <f>Translations!$B$969</f>
        <v>± 1,5%</v>
      </c>
      <c r="P313" s="103">
        <f t="shared" si="15"/>
        <v>4</v>
      </c>
      <c r="Q313" s="147" t="str">
        <f t="shared" si="16"/>
        <v>Ammonia: Fuel as process input</v>
      </c>
      <c r="R313" s="17"/>
      <c r="S313" s="17" t="str">
        <f t="shared" si="17"/>
        <v>ActivityData_Ammonia: Fuel as process input</v>
      </c>
      <c r="W313" s="21" t="b">
        <v>0</v>
      </c>
      <c r="Z313" s="21" t="b">
        <f t="shared" si="20"/>
        <v>0</v>
      </c>
    </row>
    <row r="314" spans="1:26" ht="12.75" customHeight="1" outlineLevel="1" x14ac:dyDescent="0.2">
      <c r="A314" s="21">
        <v>50</v>
      </c>
      <c r="B314" s="17" t="str">
        <f>C254</f>
        <v>Production of hydrogen and synthesis gas</v>
      </c>
      <c r="C314" s="17" t="str">
        <f>Translations!$B$1043</f>
        <v>Hydrogen and synthesis gas</v>
      </c>
      <c r="D314" s="17" t="str">
        <f>Translations!$B$994</f>
        <v>Fuel as process input</v>
      </c>
      <c r="E314" s="17" t="str">
        <f>Translations!$B$1044</f>
        <v>Amount fuel used as process input for hydrogen production [t] or [Nm3]</v>
      </c>
      <c r="F314" s="151" t="str">
        <f>$F$265</f>
        <v>Standard method: Fuel, Article 24(1)</v>
      </c>
      <c r="G314" s="103">
        <v>2</v>
      </c>
      <c r="H314" s="146" t="str">
        <f>Translations!$B$966</f>
        <v>± 7,5%</v>
      </c>
      <c r="I314" s="146" t="str">
        <f>Translations!$B$967</f>
        <v>± 5,0%</v>
      </c>
      <c r="J314" s="17"/>
      <c r="K314" s="17"/>
      <c r="L314" s="146" t="str">
        <f>Translations!$B$968</f>
        <v>± 2,5%</v>
      </c>
      <c r="M314" s="146"/>
      <c r="N314" s="146"/>
      <c r="O314" s="146" t="str">
        <f>Translations!$B$969</f>
        <v>± 1,5%</v>
      </c>
      <c r="P314" s="103">
        <f t="shared" si="15"/>
        <v>4</v>
      </c>
      <c r="Q314" s="147" t="str">
        <f t="shared" si="16"/>
        <v>Hydrogen and synthesis gas: Fuel as process input</v>
      </c>
      <c r="R314" s="17"/>
      <c r="S314" s="17" t="str">
        <f t="shared" si="17"/>
        <v>ActivityData_Hydrogen and synthesis gas: Fuel as process input</v>
      </c>
      <c r="W314" s="21" t="b">
        <v>0</v>
      </c>
      <c r="Z314" s="21" t="b">
        <f t="shared" si="20"/>
        <v>0</v>
      </c>
    </row>
    <row r="315" spans="1:26" ht="12.75" customHeight="1" outlineLevel="1" x14ac:dyDescent="0.2">
      <c r="A315" s="21">
        <v>51</v>
      </c>
      <c r="B315" s="17" t="str">
        <f>B314</f>
        <v>Production of hydrogen and synthesis gas</v>
      </c>
      <c r="C315" s="17" t="str">
        <f>C314</f>
        <v>Hydrogen and synthesis gas</v>
      </c>
      <c r="D315" s="17" t="str">
        <f>Translations!$B$1040</f>
        <v>Mass balance methodology</v>
      </c>
      <c r="E315" s="17" t="str">
        <f>Translations!$B$974</f>
        <v>Each input and output material [t]</v>
      </c>
      <c r="F315" s="151" t="str">
        <f>EUconst_MassBalance</f>
        <v>Mass balance method, Article 25</v>
      </c>
      <c r="G315" s="103">
        <v>1</v>
      </c>
      <c r="H315" s="146" t="str">
        <f>Translations!$B$966</f>
        <v>± 7,5%</v>
      </c>
      <c r="I315" s="146" t="str">
        <f>Translations!$B$967</f>
        <v>± 5,0%</v>
      </c>
      <c r="J315" s="17"/>
      <c r="K315" s="17"/>
      <c r="L315" s="146" t="str">
        <f>Translations!$B$968</f>
        <v>± 2,5%</v>
      </c>
      <c r="M315" s="146"/>
      <c r="N315" s="146"/>
      <c r="O315" s="146" t="str">
        <f>Translations!$B$969</f>
        <v>± 1,5%</v>
      </c>
      <c r="P315" s="103">
        <f t="shared" si="15"/>
        <v>4</v>
      </c>
      <c r="Q315" s="147" t="str">
        <f t="shared" si="16"/>
        <v>Hydrogen and synthesis gas: Mass balance methodology</v>
      </c>
      <c r="R315" s="17"/>
      <c r="S315" s="17" t="str">
        <f t="shared" si="17"/>
        <v>ActivityData_Hydrogen and synthesis gas: Mass balance methodology</v>
      </c>
      <c r="W315" s="21" t="b">
        <v>0</v>
      </c>
      <c r="Z315" s="21" t="b">
        <f t="shared" si="20"/>
        <v>0</v>
      </c>
    </row>
    <row r="316" spans="1:26" ht="12.75" customHeight="1" outlineLevel="1" x14ac:dyDescent="0.2">
      <c r="A316" s="21">
        <v>52</v>
      </c>
      <c r="B316" s="17" t="str">
        <f>C253</f>
        <v>Production of bulk chemicals</v>
      </c>
      <c r="C316" s="17" t="str">
        <f>Translations!$B$1046</f>
        <v>Bulk organic chemicals</v>
      </c>
      <c r="D316" s="17" t="str">
        <f>Translations!$B$1040</f>
        <v>Mass balance methodology</v>
      </c>
      <c r="E316" s="17" t="str">
        <f>Translations!$B$974</f>
        <v>Each input and output material [t]</v>
      </c>
      <c r="F316" s="151" t="str">
        <f>EUconst_MassBalance</f>
        <v>Mass balance method, Article 25</v>
      </c>
      <c r="G316" s="103">
        <v>1</v>
      </c>
      <c r="H316" s="146" t="str">
        <f>Translations!$B$966</f>
        <v>± 7,5%</v>
      </c>
      <c r="I316" s="146" t="str">
        <f>Translations!$B$967</f>
        <v>± 5,0%</v>
      </c>
      <c r="J316" s="17"/>
      <c r="K316" s="17"/>
      <c r="L316" s="146" t="str">
        <f>Translations!$B$968</f>
        <v>± 2,5%</v>
      </c>
      <c r="M316" s="146"/>
      <c r="N316" s="146"/>
      <c r="O316" s="146" t="str">
        <f>Translations!$B$969</f>
        <v>± 1,5%</v>
      </c>
      <c r="P316" s="103">
        <f t="shared" si="15"/>
        <v>4</v>
      </c>
      <c r="Q316" s="147" t="str">
        <f t="shared" si="16"/>
        <v>Bulk organic chemicals: Mass balance methodology</v>
      </c>
      <c r="R316" s="17"/>
      <c r="S316" s="17" t="str">
        <f t="shared" si="17"/>
        <v>ActivityData_Bulk organic chemicals: Mass balance methodology</v>
      </c>
      <c r="W316" s="21" t="b">
        <v>0</v>
      </c>
      <c r="Z316" s="21" t="b">
        <f t="shared" si="20"/>
        <v>0</v>
      </c>
    </row>
    <row r="317" spans="1:26" ht="12.75" customHeight="1" outlineLevel="1" x14ac:dyDescent="0.2">
      <c r="A317" s="21">
        <v>53</v>
      </c>
      <c r="B317" s="17" t="str">
        <f>C236</f>
        <v>Production or processing of ferrous metals</v>
      </c>
      <c r="C317" s="17" t="str">
        <f>Translations!$B$1048</f>
        <v>(Non) ferrous, sec. aluminium</v>
      </c>
      <c r="D317" s="602" t="str">
        <f>Translations!$B$1258</f>
        <v>Process (method A): carbonate only</v>
      </c>
      <c r="E317" s="602" t="str">
        <f>Translations!$B$1259</f>
        <v>Process input [t]</v>
      </c>
      <c r="F317" s="151" t="str">
        <f>$F$271</f>
        <v>Standard method: Process, Article 24(2)</v>
      </c>
      <c r="G317" s="103">
        <v>1</v>
      </c>
      <c r="H317" s="146" t="str">
        <f>Translations!$B$967</f>
        <v>± 5,0%</v>
      </c>
      <c r="I317" s="146" t="str">
        <f>Translations!$B$968</f>
        <v>± 2,5%</v>
      </c>
      <c r="J317" s="17"/>
      <c r="K317" s="17"/>
      <c r="L317" s="146"/>
      <c r="M317" s="146"/>
      <c r="N317" s="146"/>
      <c r="O317" s="146"/>
      <c r="P317" s="103">
        <f t="shared" si="15"/>
        <v>2</v>
      </c>
      <c r="Q317" s="147" t="str">
        <f t="shared" si="16"/>
        <v>(Non) ferrous, sec. aluminium: Process (method A): carbonate only</v>
      </c>
      <c r="R317" s="17"/>
      <c r="S317" s="17" t="str">
        <f t="shared" si="17"/>
        <v>ActivityData_(Non) ferrous, sec. aluminium: Process (method A): carbonate only</v>
      </c>
      <c r="W317" s="21" t="b">
        <v>0</v>
      </c>
      <c r="Z317" s="21" t="b">
        <f t="shared" si="20"/>
        <v>0</v>
      </c>
    </row>
    <row r="318" spans="1:26" ht="12.75" customHeight="1" outlineLevel="1" x14ac:dyDescent="0.2">
      <c r="A318" s="21">
        <v>54</v>
      </c>
      <c r="B318" s="17" t="str">
        <f>B317</f>
        <v>Production or processing of ferrous metals</v>
      </c>
      <c r="C318" s="17" t="str">
        <f>Translations!$B$1048</f>
        <v>(Non) ferrous, sec. aluminium</v>
      </c>
      <c r="D318" s="602" t="str">
        <f>Translations!$B$1260</f>
        <v>Process (method A): mixed (carbonate + non-carbonate)</v>
      </c>
      <c r="E318" s="602" t="str">
        <f>Translations!$B$1259</f>
        <v>Process input [t]</v>
      </c>
      <c r="F318" s="151" t="str">
        <f>$F$271</f>
        <v>Standard method: Process, Article 24(2)</v>
      </c>
      <c r="G318" s="103">
        <v>1</v>
      </c>
      <c r="H318" s="146" t="str">
        <f>Translations!$B$967</f>
        <v>± 5,0%</v>
      </c>
      <c r="I318" s="146" t="str">
        <f>Translations!$B$968</f>
        <v>± 2,5%</v>
      </c>
      <c r="J318" s="17"/>
      <c r="K318" s="17"/>
      <c r="L318" s="146"/>
      <c r="M318" s="146"/>
      <c r="N318" s="146"/>
      <c r="O318" s="146"/>
      <c r="P318" s="103">
        <f t="shared" si="15"/>
        <v>2</v>
      </c>
      <c r="Q318" s="147" t="str">
        <f t="shared" si="16"/>
        <v>(Non) ferrous, sec. aluminium: Process (method A): mixed (carbonate + non-carbonate)</v>
      </c>
      <c r="R318" s="17"/>
      <c r="S318" s="17" t="str">
        <f t="shared" si="17"/>
        <v>ActivityData_(Non) ferrous, sec. aluminium: Process (method A): mixed (carbonate + non-carbonate)</v>
      </c>
      <c r="W318" s="21" t="b">
        <v>0</v>
      </c>
      <c r="Z318" s="21" t="b">
        <f t="shared" si="20"/>
        <v>0</v>
      </c>
    </row>
    <row r="319" spans="1:26" ht="12.75" customHeight="1" outlineLevel="1" x14ac:dyDescent="0.2">
      <c r="A319" s="21">
        <v>55</v>
      </c>
      <c r="B319" s="17" t="str">
        <f>B318</f>
        <v>Production or processing of ferrous metals</v>
      </c>
      <c r="C319" s="17" t="str">
        <f>Translations!$B$1048</f>
        <v>(Non) ferrous, sec. aluminium</v>
      </c>
      <c r="D319" s="602" t="str">
        <f>Translations!$B$1261</f>
        <v>Process (method A): non-carbonate</v>
      </c>
      <c r="E319" s="602" t="str">
        <f>Translations!$B$1259</f>
        <v>Process input [t]</v>
      </c>
      <c r="F319" s="151" t="str">
        <f>$F$271</f>
        <v>Standard method: Process, Article 24(2)</v>
      </c>
      <c r="G319" s="103">
        <v>1</v>
      </c>
      <c r="H319" s="146" t="str">
        <f>Translations!$B$967</f>
        <v>± 5,0%</v>
      </c>
      <c r="I319" s="146" t="str">
        <f>Translations!$B$968</f>
        <v>± 2,5%</v>
      </c>
      <c r="J319" s="17"/>
      <c r="K319" s="17"/>
      <c r="L319" s="146"/>
      <c r="M319" s="146"/>
      <c r="N319" s="146"/>
      <c r="O319" s="146"/>
      <c r="P319" s="103">
        <f t="shared" si="15"/>
        <v>2</v>
      </c>
      <c r="Q319" s="147" t="str">
        <f t="shared" si="16"/>
        <v>(Non) ferrous, sec. aluminium: Process (method A): non-carbonate</v>
      </c>
      <c r="R319" s="17"/>
      <c r="S319" s="17" t="str">
        <f t="shared" si="17"/>
        <v>ActivityData_(Non) ferrous, sec. aluminium: Process (method A): non-carbonate</v>
      </c>
      <c r="W319" s="21" t="b">
        <v>0</v>
      </c>
      <c r="Z319" s="21" t="b">
        <f t="shared" si="20"/>
        <v>0</v>
      </c>
    </row>
    <row r="320" spans="1:26" ht="12.75" customHeight="1" outlineLevel="1" x14ac:dyDescent="0.2">
      <c r="A320" s="21">
        <v>56</v>
      </c>
      <c r="B320" s="17" t="str">
        <f>B319</f>
        <v>Production or processing of ferrous metals</v>
      </c>
      <c r="C320" s="17" t="str">
        <f>Translations!$B$1048</f>
        <v>(Non) ferrous, sec. aluminium</v>
      </c>
      <c r="D320" s="602" t="str">
        <f>Translations!$B$1262</f>
        <v>Process (method B): oxide output</v>
      </c>
      <c r="E320" s="602" t="str">
        <f>Translations!$B$998</f>
        <v>Oxide output [t]</v>
      </c>
      <c r="F320" s="151" t="str">
        <f>$F$271</f>
        <v>Standard method: Process, Article 24(2)</v>
      </c>
      <c r="G320" s="103">
        <v>1</v>
      </c>
      <c r="H320" s="146" t="str">
        <f>Translations!$B$967</f>
        <v>± 5,0%</v>
      </c>
      <c r="I320" s="146" t="str">
        <f>Translations!$B$968</f>
        <v>± 2,5%</v>
      </c>
      <c r="J320" s="17"/>
      <c r="K320" s="17"/>
      <c r="L320" s="146"/>
      <c r="M320" s="146"/>
      <c r="N320" s="146"/>
      <c r="O320" s="146"/>
      <c r="P320" s="103">
        <f t="shared" si="15"/>
        <v>2</v>
      </c>
      <c r="Q320" s="147" t="str">
        <f t="shared" si="16"/>
        <v>(Non) ferrous, sec. aluminium: Process (method B): oxide output</v>
      </c>
      <c r="R320" s="17"/>
      <c r="S320" s="17" t="str">
        <f t="shared" si="17"/>
        <v>ActivityData_(Non) ferrous, sec. aluminium: Process (method B): oxide output</v>
      </c>
      <c r="W320" s="21" t="b">
        <v>0</v>
      </c>
      <c r="Z320" s="21" t="b">
        <f t="shared" si="20"/>
        <v>0</v>
      </c>
    </row>
    <row r="321" spans="1:42" ht="12.75" customHeight="1" outlineLevel="1" x14ac:dyDescent="0.2">
      <c r="A321" s="21">
        <v>57</v>
      </c>
      <c r="B321" s="17" t="str">
        <f>B320</f>
        <v>Production or processing of ferrous metals</v>
      </c>
      <c r="C321" s="17" t="str">
        <f>C317</f>
        <v>(Non) ferrous, sec. aluminium</v>
      </c>
      <c r="D321" s="17" t="str">
        <f>Translations!$B$1040</f>
        <v>Mass balance methodology</v>
      </c>
      <c r="E321" s="17" t="str">
        <f>Translations!$B$974</f>
        <v>Each input and output material [t]</v>
      </c>
      <c r="F321" s="151" t="str">
        <f>EUconst_MassBalance</f>
        <v>Mass balance method, Article 25</v>
      </c>
      <c r="G321" s="103">
        <v>1</v>
      </c>
      <c r="H321" s="146" t="str">
        <f>Translations!$B$966</f>
        <v>± 7,5%</v>
      </c>
      <c r="I321" s="146" t="str">
        <f>Translations!$B$967</f>
        <v>± 5,0%</v>
      </c>
      <c r="J321" s="17"/>
      <c r="K321" s="17"/>
      <c r="L321" s="146" t="str">
        <f>Translations!$B$968</f>
        <v>± 2,5%</v>
      </c>
      <c r="M321" s="146"/>
      <c r="N321" s="146"/>
      <c r="O321" s="146" t="str">
        <f>Translations!$B$969</f>
        <v>± 1,5%</v>
      </c>
      <c r="P321" s="103">
        <f t="shared" si="15"/>
        <v>4</v>
      </c>
      <c r="Q321" s="147" t="str">
        <f t="shared" si="16"/>
        <v>(Non) ferrous, sec. aluminium: Mass balance methodology</v>
      </c>
      <c r="R321" s="17"/>
      <c r="S321" s="17" t="str">
        <f t="shared" si="17"/>
        <v>ActivityData_(Non) ferrous, sec. aluminium: Mass balance methodology</v>
      </c>
      <c r="W321" s="21" t="b">
        <v>0</v>
      </c>
      <c r="Z321" s="21" t="b">
        <f t="shared" si="20"/>
        <v>0</v>
      </c>
    </row>
    <row r="322" spans="1:42" ht="12.75" customHeight="1" outlineLevel="1" x14ac:dyDescent="0.2">
      <c r="A322" s="21">
        <v>58</v>
      </c>
      <c r="B322" s="17" t="str">
        <f>C255</f>
        <v>Production of soda ash and sodium bicarbonate</v>
      </c>
      <c r="C322" s="17" t="str">
        <f>Translations!$B$1051</f>
        <v>Soda ash / sodium bicarbonate</v>
      </c>
      <c r="D322" s="17" t="str">
        <f>Translations!$B$1040</f>
        <v>Mass balance methodology</v>
      </c>
      <c r="E322" s="17" t="str">
        <f>Translations!$B$974</f>
        <v>Each input and output material [t]</v>
      </c>
      <c r="F322" s="151" t="str">
        <f>EUconst_MassBalance</f>
        <v>Mass balance method, Article 25</v>
      </c>
      <c r="G322" s="103">
        <v>1</v>
      </c>
      <c r="H322" s="146" t="str">
        <f>Translations!$B$966</f>
        <v>± 7,5%</v>
      </c>
      <c r="I322" s="146" t="str">
        <f>Translations!$B$967</f>
        <v>± 5,0%</v>
      </c>
      <c r="J322" s="17"/>
      <c r="K322" s="17"/>
      <c r="L322" s="146" t="str">
        <f>Translations!$B$968</f>
        <v>± 2,5%</v>
      </c>
      <c r="M322" s="146"/>
      <c r="N322" s="146"/>
      <c r="O322" s="146" t="str">
        <f>Translations!$B$969</f>
        <v>± 1,5%</v>
      </c>
      <c r="P322" s="103">
        <f t="shared" si="15"/>
        <v>4</v>
      </c>
      <c r="Q322" s="147" t="str">
        <f t="shared" si="16"/>
        <v>Soda ash / sodium bicarbonate: Mass balance methodology</v>
      </c>
      <c r="R322" s="17"/>
      <c r="S322" s="17" t="str">
        <f t="shared" si="17"/>
        <v>ActivityData_Soda ash / sodium bicarbonate: Mass balance methodology</v>
      </c>
      <c r="W322" s="21" t="b">
        <v>0</v>
      </c>
      <c r="Z322" s="21" t="b">
        <f t="shared" si="20"/>
        <v>0</v>
      </c>
    </row>
    <row r="323" spans="1:42" ht="12.75" customHeight="1" outlineLevel="1" x14ac:dyDescent="0.2">
      <c r="A323" s="21">
        <v>59</v>
      </c>
      <c r="B323" s="17" t="str">
        <f>C237</f>
        <v>Production of primary aluminium</v>
      </c>
      <c r="C323" s="17" t="str">
        <f>Translations!$B$1053</f>
        <v>Primary aluminium</v>
      </c>
      <c r="D323" s="17" t="str">
        <f>Translations!$B$1040</f>
        <v>Mass balance methodology</v>
      </c>
      <c r="E323" s="17" t="str">
        <f>Translations!$B$974</f>
        <v>Each input and output material [t]</v>
      </c>
      <c r="F323" s="151" t="str">
        <f>EUconst_MassBalance</f>
        <v>Mass balance method, Article 25</v>
      </c>
      <c r="G323" s="103">
        <v>1</v>
      </c>
      <c r="H323" s="146" t="str">
        <f>Translations!$B$966</f>
        <v>± 7,5%</v>
      </c>
      <c r="I323" s="146" t="str">
        <f>Translations!$B$967</f>
        <v>± 5,0%</v>
      </c>
      <c r="J323" s="17"/>
      <c r="K323" s="17"/>
      <c r="L323" s="146" t="str">
        <f>Translations!$B$968</f>
        <v>± 2,5%</v>
      </c>
      <c r="M323" s="146"/>
      <c r="N323" s="146"/>
      <c r="O323" s="146" t="str">
        <f>Translations!$B$969</f>
        <v>± 1,5%</v>
      </c>
      <c r="P323" s="103">
        <f t="shared" si="15"/>
        <v>4</v>
      </c>
      <c r="Q323" s="147" t="str">
        <f t="shared" si="16"/>
        <v>Primary aluminium: Mass balance methodology</v>
      </c>
      <c r="R323" s="17"/>
      <c r="S323" s="17" t="str">
        <f t="shared" si="17"/>
        <v>ActivityData_Primary aluminium: Mass balance methodology</v>
      </c>
      <c r="W323" s="21" t="b">
        <v>0</v>
      </c>
      <c r="Z323" s="21" t="b">
        <f t="shared" si="20"/>
        <v>0</v>
      </c>
    </row>
    <row r="324" spans="1:42" ht="12.75" customHeight="1" outlineLevel="1" x14ac:dyDescent="0.2">
      <c r="A324" s="21">
        <v>60</v>
      </c>
      <c r="B324" s="17" t="str">
        <f>B323</f>
        <v>Production of primary aluminium</v>
      </c>
      <c r="C324" s="17" t="str">
        <f>C323</f>
        <v>Primary aluminium</v>
      </c>
      <c r="D324" s="17" t="str">
        <f>Translations!$B$1054</f>
        <v>PFC emissions (slope method)</v>
      </c>
      <c r="E324" s="17" t="str">
        <f>Translations!$B$1055</f>
        <v>primary aluminium production in [t], anode effect minutes in [number anode effects/cell day] and [anode effect minutes/ occurrence]</v>
      </c>
      <c r="F324" s="151" t="str">
        <f>EUconst_ProcessPFC</f>
        <v>Calculation with special provisions for PFC (Annex IV section 8)</v>
      </c>
      <c r="G324" s="103">
        <v>1</v>
      </c>
      <c r="H324" s="146" t="str">
        <f>Translations!$B$968</f>
        <v>± 2,5%</v>
      </c>
      <c r="I324" s="146" t="str">
        <f>Translations!$B$969</f>
        <v>± 1,5%</v>
      </c>
      <c r="J324" s="17"/>
      <c r="K324" s="17"/>
      <c r="L324" s="148"/>
      <c r="M324" s="148"/>
      <c r="N324" s="148"/>
      <c r="O324" s="148"/>
      <c r="P324" s="103">
        <f t="shared" si="15"/>
        <v>2</v>
      </c>
      <c r="Q324" s="147" t="str">
        <f t="shared" si="16"/>
        <v>Primary aluminium: PFC emissions (slope method)</v>
      </c>
      <c r="R324" s="17"/>
      <c r="S324" s="17" t="str">
        <f t="shared" si="17"/>
        <v>ActivityData_Primary aluminium: PFC emissions (slope method)</v>
      </c>
      <c r="W324" s="21" t="b">
        <v>0</v>
      </c>
      <c r="Z324" s="21" t="b">
        <f t="shared" si="20"/>
        <v>0</v>
      </c>
    </row>
    <row r="325" spans="1:42" ht="12.75" customHeight="1" outlineLevel="1" x14ac:dyDescent="0.2">
      <c r="A325" s="21">
        <v>61</v>
      </c>
      <c r="B325" s="17" t="str">
        <f>B324</f>
        <v>Production of primary aluminium</v>
      </c>
      <c r="C325" s="17" t="str">
        <f>C324</f>
        <v>Primary aluminium</v>
      </c>
      <c r="D325" s="17" t="str">
        <f>Translations!$B$1056</f>
        <v>PFC emissions (overvoltage method)</v>
      </c>
      <c r="E325" s="17" t="str">
        <f>Translations!$B$1057</f>
        <v>primary aluminium production in [t], anode effect overvoltage [mV] and current efficiency [-]</v>
      </c>
      <c r="F325" s="151" t="str">
        <f>EUconst_ProcessPFC</f>
        <v>Calculation with special provisions for PFC (Annex IV section 8)</v>
      </c>
      <c r="G325" s="103">
        <v>1</v>
      </c>
      <c r="H325" s="146" t="str">
        <f>Translations!$B$968</f>
        <v>± 2,5%</v>
      </c>
      <c r="I325" s="146" t="str">
        <f>Translations!$B$969</f>
        <v>± 1,5%</v>
      </c>
      <c r="J325" s="17"/>
      <c r="K325" s="17"/>
      <c r="L325" s="148"/>
      <c r="M325" s="148"/>
      <c r="N325" s="148"/>
      <c r="O325" s="148"/>
      <c r="P325" s="103">
        <f t="shared" si="15"/>
        <v>2</v>
      </c>
      <c r="Q325" s="147" t="str">
        <f t="shared" si="16"/>
        <v>Primary aluminium: PFC emissions (overvoltage method)</v>
      </c>
      <c r="R325" s="17"/>
      <c r="S325" s="17" t="str">
        <f t="shared" si="17"/>
        <v>ActivityData_Primary aluminium: PFC emissions (overvoltage method)</v>
      </c>
      <c r="W325" s="21" t="b">
        <v>0</v>
      </c>
      <c r="Z325" s="21" t="b">
        <f t="shared" si="20"/>
        <v>0</v>
      </c>
    </row>
    <row r="326" spans="1:42" ht="12.75" customHeight="1" outlineLevel="1" x14ac:dyDescent="0.2">
      <c r="A326" s="21">
        <v>62</v>
      </c>
      <c r="B326" s="17" t="str">
        <f>C256</f>
        <v>Capture of greenhouse gases under Directive 2009/31/EC</v>
      </c>
      <c r="C326" s="17" t="s">
        <v>1767</v>
      </c>
      <c r="D326" s="17" t="s">
        <v>1766</v>
      </c>
      <c r="E326" s="17" t="s">
        <v>1773</v>
      </c>
      <c r="F326" s="151" t="str">
        <f>EUconst_MassBalance</f>
        <v>Mass balance method, Article 25</v>
      </c>
      <c r="G326" s="103">
        <v>1</v>
      </c>
      <c r="H326" s="146" t="str">
        <f>Translations!$B$966</f>
        <v>± 7,5%</v>
      </c>
      <c r="I326" s="146" t="str">
        <f>Translations!$B$967</f>
        <v>± 5,0%</v>
      </c>
      <c r="J326" s="17"/>
      <c r="K326" s="17"/>
      <c r="L326" s="146" t="str">
        <f>Translations!$B$968</f>
        <v>± 2,5%</v>
      </c>
      <c r="M326" s="146"/>
      <c r="N326" s="146"/>
      <c r="O326" s="146" t="str">
        <f>Translations!$B$969</f>
        <v>± 1,5%</v>
      </c>
      <c r="P326" s="103">
        <f t="shared" si="15"/>
        <v>4</v>
      </c>
      <c r="Q326" s="147" t="str">
        <f t="shared" ref="Q326:Q334" si="21">C326 &amp; ": " &amp;D326</f>
        <v>CCS: Capture: CO2 transferred</v>
      </c>
      <c r="R326" s="17"/>
      <c r="S326" s="17" t="str">
        <f t="shared" ref="S326:S334" si="22">EUconst_CNTR_ActivityData&amp;Q326</f>
        <v>ActivityData_CCS: Capture: CO2 transferred</v>
      </c>
      <c r="W326" s="21" t="b">
        <v>1</v>
      </c>
      <c r="Z326" s="21" t="b">
        <f t="shared" si="20"/>
        <v>0</v>
      </c>
    </row>
    <row r="327" spans="1:42" ht="12.75" customHeight="1" outlineLevel="1" x14ac:dyDescent="0.2">
      <c r="A327" s="21">
        <v>63</v>
      </c>
      <c r="B327" s="17" t="str">
        <f>C257</f>
        <v>Transport of greenhouse gases under Directive 2009/31/EC</v>
      </c>
      <c r="C327" s="17" t="s">
        <v>1768</v>
      </c>
      <c r="D327" s="17" t="s">
        <v>1766</v>
      </c>
      <c r="E327" s="17" t="s">
        <v>1773</v>
      </c>
      <c r="F327" s="151" t="str">
        <f>EUconst_MassBalance</f>
        <v>Mass balance method, Article 25</v>
      </c>
      <c r="G327" s="103">
        <v>1</v>
      </c>
      <c r="H327" s="146" t="str">
        <f>Translations!$B$966</f>
        <v>± 7,5%</v>
      </c>
      <c r="I327" s="146" t="str">
        <f>Translations!$B$967</f>
        <v>± 5,0%</v>
      </c>
      <c r="J327" s="17"/>
      <c r="K327" s="17"/>
      <c r="L327" s="146" t="str">
        <f>Translations!$B$968</f>
        <v>± 2,5%</v>
      </c>
      <c r="M327" s="146"/>
      <c r="N327" s="146"/>
      <c r="O327" s="146" t="str">
        <f>Translations!$B$969</f>
        <v>± 1,5%</v>
      </c>
      <c r="P327" s="103">
        <f t="shared" si="15"/>
        <v>4</v>
      </c>
      <c r="Q327" s="147" t="str">
        <f t="shared" si="21"/>
        <v>CCS: Transport: CO2 transferred</v>
      </c>
      <c r="R327" s="17"/>
      <c r="S327" s="17" t="str">
        <f t="shared" si="22"/>
        <v>ActivityData_CCS: Transport: CO2 transferred</v>
      </c>
      <c r="W327" s="21" t="b">
        <v>1</v>
      </c>
      <c r="Z327" s="21" t="b">
        <f t="shared" si="20"/>
        <v>0</v>
      </c>
    </row>
    <row r="328" spans="1:42" ht="12.75" customHeight="1" outlineLevel="1" x14ac:dyDescent="0.2">
      <c r="A328" s="21">
        <v>64</v>
      </c>
      <c r="B328" s="17" t="str">
        <f t="shared" ref="B328:C330" si="23">B327</f>
        <v>Transport of greenhouse gases under Directive 2009/31/EC</v>
      </c>
      <c r="C328" s="17" t="str">
        <f t="shared" si="23"/>
        <v>CCS: Transport</v>
      </c>
      <c r="D328" s="17" t="s">
        <v>1770</v>
      </c>
      <c r="E328" s="17" t="s">
        <v>1773</v>
      </c>
      <c r="F328" s="151" t="str">
        <f>EUconst_ProcessCarbonate</f>
        <v>Standard method: Process, Article 24(2)</v>
      </c>
      <c r="G328" s="103">
        <v>1</v>
      </c>
      <c r="H328" s="146" t="str">
        <f>Translations!$B$977</f>
        <v>± 17,5%</v>
      </c>
      <c r="I328" s="146" t="str">
        <f>Translations!$B$978</f>
        <v>± 12,5%</v>
      </c>
      <c r="J328" s="17"/>
      <c r="K328" s="17"/>
      <c r="L328" s="146" t="str">
        <f>Translations!$B$966</f>
        <v>± 7,5%</v>
      </c>
      <c r="M328" s="148"/>
      <c r="N328" s="148"/>
      <c r="O328" s="148"/>
      <c r="P328" s="103">
        <f t="shared" si="15"/>
        <v>3</v>
      </c>
      <c r="Q328" s="147" t="str">
        <f t="shared" si="21"/>
        <v>CCS: Transport: CO2 vented</v>
      </c>
      <c r="R328" s="17"/>
      <c r="S328" s="17" t="str">
        <f t="shared" si="22"/>
        <v>ActivityData_CCS: Transport: CO2 vented</v>
      </c>
      <c r="W328" s="21" t="b">
        <v>0</v>
      </c>
      <c r="Z328" s="21" t="b">
        <f t="shared" si="20"/>
        <v>0</v>
      </c>
    </row>
    <row r="329" spans="1:42" ht="12.75" customHeight="1" outlineLevel="1" x14ac:dyDescent="0.2">
      <c r="A329" s="21">
        <v>65</v>
      </c>
      <c r="B329" s="17" t="str">
        <f t="shared" si="23"/>
        <v>Transport of greenhouse gases under Directive 2009/31/EC</v>
      </c>
      <c r="C329" s="17" t="str">
        <f t="shared" si="23"/>
        <v>CCS: Transport</v>
      </c>
      <c r="D329" s="17" t="s">
        <v>1771</v>
      </c>
      <c r="E329" s="17" t="s">
        <v>1773</v>
      </c>
      <c r="F329" s="151" t="str">
        <f>EUconst_ProcessCarbonate</f>
        <v>Standard method: Process, Article 24(2)</v>
      </c>
      <c r="G329" s="103">
        <v>1</v>
      </c>
      <c r="H329" s="146" t="str">
        <f>Translations!$B$977</f>
        <v>± 17,5%</v>
      </c>
      <c r="I329" s="146" t="str">
        <f>Translations!$B$978</f>
        <v>± 12,5%</v>
      </c>
      <c r="J329" s="17"/>
      <c r="K329" s="17"/>
      <c r="L329" s="146" t="str">
        <f>Translations!$B$966</f>
        <v>± 7,5%</v>
      </c>
      <c r="M329" s="148"/>
      <c r="N329" s="148"/>
      <c r="O329" s="148"/>
      <c r="P329" s="103">
        <f t="shared" si="15"/>
        <v>3</v>
      </c>
      <c r="Q329" s="147" t="str">
        <f t="shared" si="21"/>
        <v>CCS: Transport: CO2 leaked</v>
      </c>
      <c r="R329" s="17"/>
      <c r="S329" s="17" t="str">
        <f t="shared" si="22"/>
        <v>ActivityData_CCS: Transport: CO2 leaked</v>
      </c>
      <c r="W329" s="21" t="b">
        <v>0</v>
      </c>
      <c r="Z329" s="21" t="b">
        <f t="shared" si="20"/>
        <v>0</v>
      </c>
    </row>
    <row r="330" spans="1:42" ht="12.75" customHeight="1" outlineLevel="1" x14ac:dyDescent="0.2">
      <c r="A330" s="21">
        <v>66</v>
      </c>
      <c r="B330" s="17" t="str">
        <f t="shared" si="23"/>
        <v>Transport of greenhouse gases under Directive 2009/31/EC</v>
      </c>
      <c r="C330" s="17" t="str">
        <f t="shared" si="23"/>
        <v>CCS: Transport</v>
      </c>
      <c r="D330" s="17" t="s">
        <v>1772</v>
      </c>
      <c r="E330" s="17" t="s">
        <v>1773</v>
      </c>
      <c r="F330" s="151" t="str">
        <f>EUconst_ProcessCarbonate</f>
        <v>Standard method: Process, Article 24(2)</v>
      </c>
      <c r="G330" s="103">
        <v>1</v>
      </c>
      <c r="H330" s="146" t="str">
        <f>Translations!$B$977</f>
        <v>± 17,5%</v>
      </c>
      <c r="I330" s="146" t="str">
        <f>Translations!$B$978</f>
        <v>± 12,5%</v>
      </c>
      <c r="J330" s="17"/>
      <c r="K330" s="17"/>
      <c r="L330" s="146" t="str">
        <f>Translations!$B$966</f>
        <v>± 7,5%</v>
      </c>
      <c r="M330" s="148"/>
      <c r="N330" s="148"/>
      <c r="O330" s="148"/>
      <c r="P330" s="103">
        <f t="shared" si="15"/>
        <v>3</v>
      </c>
      <c r="Q330" s="147" t="str">
        <f t="shared" si="21"/>
        <v>CCS: Transport: CO2 fugitive</v>
      </c>
      <c r="R330" s="17"/>
      <c r="S330" s="17" t="str">
        <f t="shared" si="22"/>
        <v>ActivityData_CCS: Transport: CO2 fugitive</v>
      </c>
      <c r="W330" s="21" t="b">
        <v>0</v>
      </c>
      <c r="Z330" s="21" t="b">
        <f t="shared" si="20"/>
        <v>0</v>
      </c>
    </row>
    <row r="331" spans="1:42" ht="12.75" customHeight="1" outlineLevel="1" x14ac:dyDescent="0.2">
      <c r="A331" s="21">
        <v>67</v>
      </c>
      <c r="B331" s="17" t="str">
        <f>C258</f>
        <v>Storage of greenhouse gases under Directive 2009/31/EC</v>
      </c>
      <c r="C331" s="17" t="s">
        <v>1769</v>
      </c>
      <c r="D331" s="17" t="s">
        <v>1766</v>
      </c>
      <c r="E331" s="17" t="s">
        <v>1773</v>
      </c>
      <c r="F331" s="151" t="str">
        <f>EUconst_MassBalance</f>
        <v>Mass balance method, Article 25</v>
      </c>
      <c r="G331" s="103">
        <v>2</v>
      </c>
      <c r="H331" s="146" t="str">
        <f>Translations!$B$966</f>
        <v>± 7,5%</v>
      </c>
      <c r="I331" s="146" t="str">
        <f>Translations!$B$967</f>
        <v>± 5,0%</v>
      </c>
      <c r="J331" s="17"/>
      <c r="K331" s="17"/>
      <c r="L331" s="146" t="str">
        <f>Translations!$B$968</f>
        <v>± 2,5%</v>
      </c>
      <c r="M331" s="146"/>
      <c r="N331" s="146"/>
      <c r="O331" s="146" t="str">
        <f>Translations!$B$969</f>
        <v>± 1,5%</v>
      </c>
      <c r="P331" s="103">
        <f t="shared" si="15"/>
        <v>4</v>
      </c>
      <c r="Q331" s="147" t="str">
        <f t="shared" si="21"/>
        <v>CCS: Storage: CO2 transferred</v>
      </c>
      <c r="R331" s="17"/>
      <c r="S331" s="17" t="str">
        <f t="shared" si="22"/>
        <v>ActivityData_CCS: Storage: CO2 transferred</v>
      </c>
      <c r="W331" s="21" t="b">
        <v>1</v>
      </c>
      <c r="Z331" s="21" t="b">
        <f t="shared" si="20"/>
        <v>0</v>
      </c>
    </row>
    <row r="332" spans="1:42" ht="12.75" customHeight="1" outlineLevel="1" x14ac:dyDescent="0.2">
      <c r="A332" s="21">
        <v>68</v>
      </c>
      <c r="B332" s="17" t="str">
        <f t="shared" ref="B332:C334" si="24">B331</f>
        <v>Storage of greenhouse gases under Directive 2009/31/EC</v>
      </c>
      <c r="C332" s="17" t="str">
        <f t="shared" si="24"/>
        <v>CCS: Storage</v>
      </c>
      <c r="D332" s="17" t="s">
        <v>1770</v>
      </c>
      <c r="E332" s="17" t="s">
        <v>1773</v>
      </c>
      <c r="F332" s="151" t="str">
        <f>EUconst_ProcessCarbonate</f>
        <v>Standard method: Process, Article 24(2)</v>
      </c>
      <c r="G332" s="103">
        <v>2</v>
      </c>
      <c r="H332" s="146" t="str">
        <f>Translations!$B$977</f>
        <v>± 17,5%</v>
      </c>
      <c r="I332" s="146" t="str">
        <f>Translations!$B$978</f>
        <v>± 12,5%</v>
      </c>
      <c r="J332" s="17"/>
      <c r="K332" s="17"/>
      <c r="L332" s="146" t="str">
        <f>Translations!$B$966</f>
        <v>± 7,5%</v>
      </c>
      <c r="M332" s="148"/>
      <c r="N332" s="148"/>
      <c r="O332" s="148"/>
      <c r="P332" s="103">
        <f t="shared" si="15"/>
        <v>3</v>
      </c>
      <c r="Q332" s="147" t="str">
        <f t="shared" si="21"/>
        <v>CCS: Storage: CO2 vented</v>
      </c>
      <c r="R332" s="17"/>
      <c r="S332" s="17" t="str">
        <f t="shared" si="22"/>
        <v>ActivityData_CCS: Storage: CO2 vented</v>
      </c>
      <c r="W332" s="21" t="b">
        <v>0</v>
      </c>
      <c r="Z332" s="21" t="b">
        <f t="shared" si="20"/>
        <v>0</v>
      </c>
    </row>
    <row r="333" spans="1:42" ht="12.75" customHeight="1" outlineLevel="1" x14ac:dyDescent="0.2">
      <c r="A333" s="21">
        <v>69</v>
      </c>
      <c r="B333" s="17" t="str">
        <f t="shared" si="24"/>
        <v>Storage of greenhouse gases under Directive 2009/31/EC</v>
      </c>
      <c r="C333" s="17" t="str">
        <f t="shared" si="24"/>
        <v>CCS: Storage</v>
      </c>
      <c r="D333" s="17" t="s">
        <v>1771</v>
      </c>
      <c r="E333" s="17" t="s">
        <v>1773</v>
      </c>
      <c r="F333" s="151" t="str">
        <f>EUconst_ProcessCarbonate</f>
        <v>Standard method: Process, Article 24(2)</v>
      </c>
      <c r="G333" s="103">
        <v>2</v>
      </c>
      <c r="H333" s="146" t="str">
        <f>Translations!$B$977</f>
        <v>± 17,5%</v>
      </c>
      <c r="I333" s="146" t="str">
        <f>Translations!$B$978</f>
        <v>± 12,5%</v>
      </c>
      <c r="J333" s="17"/>
      <c r="K333" s="17"/>
      <c r="L333" s="146" t="str">
        <f>Translations!$B$966</f>
        <v>± 7,5%</v>
      </c>
      <c r="M333" s="148"/>
      <c r="N333" s="148"/>
      <c r="O333" s="148"/>
      <c r="P333" s="103">
        <f t="shared" si="15"/>
        <v>3</v>
      </c>
      <c r="Q333" s="147" t="str">
        <f t="shared" si="21"/>
        <v>CCS: Storage: CO2 leaked</v>
      </c>
      <c r="R333" s="17"/>
      <c r="S333" s="17" t="str">
        <f t="shared" si="22"/>
        <v>ActivityData_CCS: Storage: CO2 leaked</v>
      </c>
      <c r="W333" s="21" t="b">
        <v>0</v>
      </c>
      <c r="Z333" s="21" t="b">
        <f t="shared" si="20"/>
        <v>0</v>
      </c>
    </row>
    <row r="334" spans="1:42" ht="12.75" customHeight="1" outlineLevel="1" x14ac:dyDescent="0.2">
      <c r="A334" s="21">
        <v>70</v>
      </c>
      <c r="B334" s="17" t="str">
        <f t="shared" si="24"/>
        <v>Storage of greenhouse gases under Directive 2009/31/EC</v>
      </c>
      <c r="C334" s="17" t="str">
        <f t="shared" si="24"/>
        <v>CCS: Storage</v>
      </c>
      <c r="D334" s="17" t="s">
        <v>1772</v>
      </c>
      <c r="E334" s="17" t="s">
        <v>1773</v>
      </c>
      <c r="F334" s="151" t="str">
        <f>EUconst_ProcessCarbonate</f>
        <v>Standard method: Process, Article 24(2)</v>
      </c>
      <c r="G334" s="103">
        <v>2</v>
      </c>
      <c r="H334" s="146" t="str">
        <f>Translations!$B$977</f>
        <v>± 17,5%</v>
      </c>
      <c r="I334" s="146" t="str">
        <f>Translations!$B$978</f>
        <v>± 12,5%</v>
      </c>
      <c r="J334" s="17"/>
      <c r="K334" s="17"/>
      <c r="L334" s="146" t="str">
        <f>Translations!$B$966</f>
        <v>± 7,5%</v>
      </c>
      <c r="M334" s="148"/>
      <c r="N334" s="148"/>
      <c r="O334" s="148"/>
      <c r="P334" s="103">
        <f t="shared" si="15"/>
        <v>3</v>
      </c>
      <c r="Q334" s="147" t="str">
        <f t="shared" si="21"/>
        <v>CCS: Storage: CO2 fugitive</v>
      </c>
      <c r="R334" s="17"/>
      <c r="S334" s="17" t="str">
        <f t="shared" si="22"/>
        <v>ActivityData_CCS: Storage: CO2 fugitive</v>
      </c>
      <c r="W334" s="21" t="b">
        <v>0</v>
      </c>
      <c r="Z334" s="21" t="b">
        <f t="shared" si="20"/>
        <v>0</v>
      </c>
    </row>
    <row r="335" spans="1:42" ht="12.75" customHeight="1" outlineLevel="1" x14ac:dyDescent="0.2">
      <c r="B335" s="17"/>
      <c r="C335" s="17"/>
      <c r="D335" s="17"/>
      <c r="E335" s="17"/>
      <c r="F335" s="151"/>
      <c r="G335" s="17"/>
      <c r="H335" s="88"/>
      <c r="I335" s="88"/>
      <c r="J335" s="17"/>
      <c r="K335" s="17"/>
      <c r="L335" s="88"/>
      <c r="M335" s="88"/>
      <c r="N335" s="88"/>
      <c r="O335" s="88"/>
      <c r="P335" s="103"/>
      <c r="Q335" s="17"/>
      <c r="R335" s="17"/>
      <c r="S335" s="17"/>
      <c r="Z335" s="21" t="b">
        <f t="shared" si="20"/>
        <v>0</v>
      </c>
    </row>
    <row r="336" spans="1:42" s="142" customFormat="1" ht="12.75" customHeight="1" outlineLevel="1" x14ac:dyDescent="0.2">
      <c r="A336" s="142" t="s">
        <v>1610</v>
      </c>
      <c r="B336" s="143" t="str">
        <f>Translations!$B$1059</f>
        <v>Emission factor</v>
      </c>
      <c r="C336" s="143" t="str">
        <f>Translations!$B$957</f>
        <v>Short name</v>
      </c>
      <c r="D336" s="143" t="str">
        <f>Translations!$B$958</f>
        <v>Sub-activity</v>
      </c>
      <c r="E336" s="143" t="str">
        <f>Translations!$B$389</f>
        <v>Parameter</v>
      </c>
      <c r="F336" s="618" t="str">
        <f>Translations!$B$959</f>
        <v>Source type</v>
      </c>
      <c r="G336" s="144" t="str">
        <f>Translations!$B$960</f>
        <v>Minimum</v>
      </c>
      <c r="H336" s="144">
        <v>1</v>
      </c>
      <c r="I336" s="144">
        <v>2</v>
      </c>
      <c r="J336" s="144" t="s">
        <v>1325</v>
      </c>
      <c r="K336" s="144" t="str">
        <f>Translations!$B$928</f>
        <v>2b</v>
      </c>
      <c r="L336" s="144">
        <v>3</v>
      </c>
      <c r="M336" s="144" t="s">
        <v>1759</v>
      </c>
      <c r="N336" s="144" t="s">
        <v>1760</v>
      </c>
      <c r="O336" s="144">
        <v>4</v>
      </c>
      <c r="P336" s="144" t="str">
        <f>Translations!$B$961</f>
        <v>Highest</v>
      </c>
      <c r="Q336" s="145"/>
      <c r="Z336" s="142" t="str">
        <f>Translations!$B$962</f>
        <v>make grey?</v>
      </c>
      <c r="AK336" s="142" t="s">
        <v>1651</v>
      </c>
      <c r="AL336" s="206">
        <v>1</v>
      </c>
      <c r="AM336" s="206">
        <v>2</v>
      </c>
      <c r="AN336" s="206" t="s">
        <v>1325</v>
      </c>
      <c r="AO336" s="206" t="str">
        <f>Translations!$B$928</f>
        <v>2b</v>
      </c>
      <c r="AP336" s="206">
        <v>3</v>
      </c>
    </row>
    <row r="337" spans="1:42" ht="12.75" customHeight="1" outlineLevel="1" x14ac:dyDescent="0.2">
      <c r="A337" s="21">
        <v>1</v>
      </c>
      <c r="B337" s="611" t="str">
        <f t="shared" ref="B337:D356" si="25">B265</f>
        <v>Combustion of fuels</v>
      </c>
      <c r="C337" s="17" t="str">
        <f t="shared" si="25"/>
        <v>Combustion</v>
      </c>
      <c r="D337" s="17" t="str">
        <f t="shared" si="25"/>
        <v>Commercial standard fuels</v>
      </c>
      <c r="E337" s="17"/>
      <c r="F337" s="151" t="str">
        <f t="shared" ref="F337:F368" si="26">F265</f>
        <v>Standard method: Fuel, Article 24(1)</v>
      </c>
      <c r="G337" s="103" t="s">
        <v>1531</v>
      </c>
      <c r="H337" s="149" t="str">
        <f>Translations!$B$493</f>
        <v>Type I default values</v>
      </c>
      <c r="I337" s="149"/>
      <c r="J337" s="149" t="str">
        <f>Translations!$B$528</f>
        <v>Type II default values</v>
      </c>
      <c r="K337" s="149" t="str">
        <f>Translations!$B$1061</f>
        <v>Established proxies (if applicable)</v>
      </c>
      <c r="L337" s="149" t="str">
        <f>Translations!$B$527</f>
        <v>Laboratory analyses</v>
      </c>
      <c r="M337" s="149"/>
      <c r="N337" s="149"/>
      <c r="O337" s="150"/>
      <c r="P337" s="103" t="str">
        <f>G337</f>
        <v>2a/2b</v>
      </c>
      <c r="Q337" s="147" t="str">
        <f t="shared" ref="Q337:Q346" si="27">C337 &amp; ": " &amp;D337</f>
        <v>Combustion: Commercial standard fuels</v>
      </c>
      <c r="R337" s="17"/>
      <c r="S337" s="17" t="str">
        <f t="shared" ref="S337:S346" si="28">EUconst_CNTR_EF&amp;Q337</f>
        <v>EF_Combustion: Commercial standard fuels</v>
      </c>
      <c r="Z337" s="21" t="b">
        <f t="shared" ref="Z337:Z385" si="29">IF(G337=EUconst_NA,TRUE,FALSE)</f>
        <v>0</v>
      </c>
      <c r="AL337" s="624">
        <v>1</v>
      </c>
      <c r="AM337" s="624" t="s">
        <v>992</v>
      </c>
      <c r="AN337" s="624">
        <v>1</v>
      </c>
      <c r="AO337" s="624">
        <v>2</v>
      </c>
      <c r="AP337" s="624">
        <v>2</v>
      </c>
    </row>
    <row r="338" spans="1:42" ht="12.75" customHeight="1" outlineLevel="1" x14ac:dyDescent="0.2">
      <c r="A338" s="21">
        <v>2</v>
      </c>
      <c r="B338" s="611" t="str">
        <f t="shared" si="25"/>
        <v>Combustion of fuels</v>
      </c>
      <c r="C338" s="17" t="str">
        <f t="shared" si="25"/>
        <v>Combustion</v>
      </c>
      <c r="D338" s="17" t="str">
        <f t="shared" si="25"/>
        <v>Other gaseous &amp; liquid fuels</v>
      </c>
      <c r="E338" s="17"/>
      <c r="F338" s="151" t="str">
        <f t="shared" si="26"/>
        <v>Standard method: Fuel, Article 24(1)</v>
      </c>
      <c r="G338" s="103" t="s">
        <v>1531</v>
      </c>
      <c r="H338" s="149" t="str">
        <f>Translations!$B$493</f>
        <v>Type I default values</v>
      </c>
      <c r="I338" s="149"/>
      <c r="J338" s="149" t="str">
        <f>Translations!$B$528</f>
        <v>Type II default values</v>
      </c>
      <c r="K338" s="149" t="str">
        <f>Translations!$B$1061</f>
        <v>Established proxies (if applicable)</v>
      </c>
      <c r="L338" s="149" t="str">
        <f>Translations!$B$527</f>
        <v>Laboratory analyses</v>
      </c>
      <c r="M338" s="149"/>
      <c r="N338" s="149"/>
      <c r="O338" s="150"/>
      <c r="P338" s="103">
        <f t="shared" ref="P338:P346" si="30">IF(G338=EUconst_NA,EUconst_NA,IF(ISBLANK(J338),COUNTA(H338:O338),COUNTA(H338,J338,L338)))</f>
        <v>3</v>
      </c>
      <c r="Q338" s="147" t="str">
        <f t="shared" si="27"/>
        <v>Combustion: Other gaseous &amp; liquid fuels</v>
      </c>
      <c r="R338" s="17"/>
      <c r="S338" s="17" t="str">
        <f t="shared" si="28"/>
        <v>EF_Combustion: Other gaseous &amp; liquid fuels</v>
      </c>
      <c r="Z338" s="21" t="b">
        <f t="shared" si="29"/>
        <v>0</v>
      </c>
      <c r="AL338" s="624">
        <v>1</v>
      </c>
      <c r="AM338" s="624" t="s">
        <v>992</v>
      </c>
      <c r="AN338" s="624">
        <v>1</v>
      </c>
      <c r="AO338" s="624">
        <v>2</v>
      </c>
      <c r="AP338" s="624">
        <v>2</v>
      </c>
    </row>
    <row r="339" spans="1:42" ht="12.75" customHeight="1" outlineLevel="1" x14ac:dyDescent="0.2">
      <c r="A339" s="21">
        <v>3</v>
      </c>
      <c r="B339" s="611" t="str">
        <f t="shared" si="25"/>
        <v>Combustion of fuels</v>
      </c>
      <c r="C339" s="17" t="str">
        <f t="shared" si="25"/>
        <v>Combustion</v>
      </c>
      <c r="D339" s="17" t="str">
        <f t="shared" si="25"/>
        <v>Solid fuels, excluding waste</v>
      </c>
      <c r="E339" s="17"/>
      <c r="F339" s="151" t="str">
        <f t="shared" si="26"/>
        <v>Standard method: Fuel, Article 24(1)</v>
      </c>
      <c r="G339" s="103" t="s">
        <v>1531</v>
      </c>
      <c r="H339" s="149" t="str">
        <f>Translations!$B$493</f>
        <v>Type I default values</v>
      </c>
      <c r="I339" s="149"/>
      <c r="J339" s="149" t="str">
        <f>Translations!$B$528</f>
        <v>Type II default values</v>
      </c>
      <c r="K339" s="149" t="str">
        <f>Translations!$B$1061</f>
        <v>Established proxies (if applicable)</v>
      </c>
      <c r="L339" s="149" t="str">
        <f>Translations!$B$527</f>
        <v>Laboratory analyses</v>
      </c>
      <c r="M339" s="149"/>
      <c r="N339" s="149"/>
      <c r="O339" s="150"/>
      <c r="P339" s="103">
        <f t="shared" si="30"/>
        <v>3</v>
      </c>
      <c r="Q339" s="147" t="str">
        <f t="shared" si="27"/>
        <v>Combustion: Solid fuels, excluding waste</v>
      </c>
      <c r="R339" s="17"/>
      <c r="S339" s="17" t="str">
        <f t="shared" si="28"/>
        <v>EF_Combustion: Solid fuels, excluding waste</v>
      </c>
      <c r="Z339" s="21" t="b">
        <f t="shared" si="29"/>
        <v>0</v>
      </c>
      <c r="AL339" s="624">
        <v>1</v>
      </c>
      <c r="AM339" s="624" t="s">
        <v>992</v>
      </c>
      <c r="AN339" s="624">
        <v>1</v>
      </c>
      <c r="AO339" s="624">
        <v>2</v>
      </c>
      <c r="AP339" s="624">
        <v>2</v>
      </c>
    </row>
    <row r="340" spans="1:42" ht="12.75" customHeight="1" outlineLevel="1" x14ac:dyDescent="0.2">
      <c r="A340" s="21">
        <v>4</v>
      </c>
      <c r="B340" s="611" t="str">
        <f t="shared" si="25"/>
        <v>Combustion of fuels</v>
      </c>
      <c r="C340" s="17" t="str">
        <f t="shared" si="25"/>
        <v>Combustion</v>
      </c>
      <c r="D340" s="17" t="str">
        <f t="shared" si="25"/>
        <v>Waste</v>
      </c>
      <c r="E340" s="17"/>
      <c r="F340" s="151" t="str">
        <f t="shared" si="26"/>
        <v>Standard method: Fuel, Article 24(1)</v>
      </c>
      <c r="G340" s="103" t="s">
        <v>1531</v>
      </c>
      <c r="H340" s="149" t="str">
        <f>Translations!$B$493</f>
        <v>Type I default values</v>
      </c>
      <c r="I340" s="149"/>
      <c r="J340" s="149" t="str">
        <f>Translations!$B$528</f>
        <v>Type II default values</v>
      </c>
      <c r="K340" s="149" t="str">
        <f>Translations!$B$1061</f>
        <v>Established proxies (if applicable)</v>
      </c>
      <c r="L340" s="149" t="str">
        <f>Translations!$B$527</f>
        <v>Laboratory analyses</v>
      </c>
      <c r="M340" s="149"/>
      <c r="N340" s="149"/>
      <c r="O340" s="150"/>
      <c r="P340" s="103">
        <f>IF(G340=EUconst_NA,EUconst_NA,IF(ISBLANK(J340),COUNTA(H340:O340),COUNTA(H340,J340,L340)))</f>
        <v>3</v>
      </c>
      <c r="Q340" s="147" t="str">
        <f>C340 &amp; ": " &amp;D340</f>
        <v>Combustion: Waste</v>
      </c>
      <c r="R340" s="17"/>
      <c r="S340" s="17" t="str">
        <f>EUconst_CNTR_EF&amp;Q340</f>
        <v>EF_Combustion: Waste</v>
      </c>
      <c r="Z340" s="21" t="b">
        <f>IF(G340=EUconst_NA,TRUE,FALSE)</f>
        <v>0</v>
      </c>
      <c r="AL340" s="624">
        <v>1</v>
      </c>
      <c r="AM340" s="624" t="s">
        <v>992</v>
      </c>
      <c r="AN340" s="624">
        <v>1</v>
      </c>
      <c r="AO340" s="624">
        <v>2</v>
      </c>
      <c r="AP340" s="624">
        <v>2</v>
      </c>
    </row>
    <row r="341" spans="1:42" ht="12.75" customHeight="1" outlineLevel="1" x14ac:dyDescent="0.2">
      <c r="A341" s="21">
        <v>5</v>
      </c>
      <c r="B341" s="611" t="str">
        <f t="shared" si="25"/>
        <v>Combustion of fuels</v>
      </c>
      <c r="C341" s="17" t="str">
        <f t="shared" si="25"/>
        <v>Combustion</v>
      </c>
      <c r="D341" s="17" t="str">
        <f t="shared" si="25"/>
        <v>Gas Processing Terminals</v>
      </c>
      <c r="E341" s="17"/>
      <c r="F341" s="151" t="str">
        <f t="shared" si="26"/>
        <v>Mass balance method, Article 25</v>
      </c>
      <c r="G341" s="103" t="str">
        <f>EUconst_NA</f>
        <v>n.a.</v>
      </c>
      <c r="H341" s="149"/>
      <c r="I341" s="149"/>
      <c r="J341" s="151"/>
      <c r="K341" s="151"/>
      <c r="L341" s="149"/>
      <c r="M341" s="149"/>
      <c r="N341" s="149"/>
      <c r="O341" s="150"/>
      <c r="P341" s="103" t="str">
        <f t="shared" si="30"/>
        <v>n.a.</v>
      </c>
      <c r="Q341" s="147" t="str">
        <f t="shared" si="27"/>
        <v>Combustion: Gas Processing Terminals</v>
      </c>
      <c r="R341" s="17"/>
      <c r="S341" s="17" t="str">
        <f t="shared" si="28"/>
        <v>EF_Combustion: Gas Processing Terminals</v>
      </c>
      <c r="W341" s="226"/>
      <c r="Z341" s="21" t="b">
        <f t="shared" si="29"/>
        <v>1</v>
      </c>
      <c r="AL341" s="624" t="s">
        <v>992</v>
      </c>
      <c r="AM341" s="624" t="s">
        <v>992</v>
      </c>
      <c r="AN341" s="624" t="s">
        <v>992</v>
      </c>
      <c r="AO341" s="624" t="s">
        <v>992</v>
      </c>
      <c r="AP341" s="624" t="s">
        <v>992</v>
      </c>
    </row>
    <row r="342" spans="1:42" ht="12.75" customHeight="1" outlineLevel="1" x14ac:dyDescent="0.2">
      <c r="A342" s="21">
        <v>6</v>
      </c>
      <c r="B342" s="611" t="str">
        <f t="shared" si="25"/>
        <v>Combustion of fuels</v>
      </c>
      <c r="C342" s="17" t="str">
        <f t="shared" si="25"/>
        <v>Combustion</v>
      </c>
      <c r="D342" s="17" t="str">
        <f t="shared" si="25"/>
        <v>Flares</v>
      </c>
      <c r="E342" s="17"/>
      <c r="F342" s="151" t="str">
        <f t="shared" si="26"/>
        <v>Standard method: Fuel, Article 24(1)</v>
      </c>
      <c r="G342" s="103">
        <v>1</v>
      </c>
      <c r="H342" s="149" t="str">
        <f>Translations!$B$1066</f>
        <v>0.00393 t CO2/Nm3</v>
      </c>
      <c r="I342" s="149"/>
      <c r="J342" s="149" t="str">
        <f>Translations!$B$528</f>
        <v>Type II default values</v>
      </c>
      <c r="K342" s="149" t="str">
        <f>Translations!$B$1067</f>
        <v>Installation-specific factors</v>
      </c>
      <c r="L342" s="149" t="str">
        <f>Translations!$B$527</f>
        <v>Laboratory analyses</v>
      </c>
      <c r="M342" s="149"/>
      <c r="N342" s="149"/>
      <c r="O342" s="150"/>
      <c r="P342" s="103">
        <f t="shared" si="30"/>
        <v>3</v>
      </c>
      <c r="Q342" s="147" t="str">
        <f t="shared" si="27"/>
        <v>Combustion: Flares</v>
      </c>
      <c r="R342" s="17"/>
      <c r="S342" s="17" t="str">
        <f t="shared" si="28"/>
        <v>EF_Combustion: Flares</v>
      </c>
      <c r="Z342" s="21" t="b">
        <f t="shared" si="29"/>
        <v>0</v>
      </c>
      <c r="AL342" s="624">
        <v>1</v>
      </c>
      <c r="AM342" s="624" t="s">
        <v>992</v>
      </c>
      <c r="AN342" s="624">
        <v>1</v>
      </c>
      <c r="AO342" s="624" t="str">
        <f>Translations!$B$1067</f>
        <v>Installation-specific factors</v>
      </c>
      <c r="AP342" s="624">
        <v>2</v>
      </c>
    </row>
    <row r="343" spans="1:42" ht="12.75" customHeight="1" outlineLevel="1" x14ac:dyDescent="0.2">
      <c r="A343" s="21">
        <v>7</v>
      </c>
      <c r="B343" s="611" t="str">
        <f t="shared" si="25"/>
        <v>Combustion of fuels</v>
      </c>
      <c r="C343" s="17" t="str">
        <f t="shared" si="25"/>
        <v>Combustion</v>
      </c>
      <c r="D343" s="17" t="str">
        <f t="shared" si="25"/>
        <v>Scrubbing (carbonate)</v>
      </c>
      <c r="E343" s="17"/>
      <c r="F343" s="151" t="str">
        <f t="shared" si="26"/>
        <v>Standard method: Process, Article 24(2)</v>
      </c>
      <c r="G343" s="103">
        <v>1</v>
      </c>
      <c r="H343" s="612" t="str">
        <f>Translations!$B$1085</f>
        <v>Best practice</v>
      </c>
      <c r="I343" s="149"/>
      <c r="J343" s="151"/>
      <c r="K343" s="151"/>
      <c r="L343" s="149"/>
      <c r="M343" s="149"/>
      <c r="N343" s="149"/>
      <c r="O343" s="150"/>
      <c r="P343" s="103">
        <f t="shared" si="30"/>
        <v>1</v>
      </c>
      <c r="Q343" s="147" t="str">
        <f t="shared" si="27"/>
        <v>Combustion: Scrubbing (carbonate)</v>
      </c>
      <c r="R343" s="17"/>
      <c r="S343" s="17" t="str">
        <f t="shared" si="28"/>
        <v>EF_Combustion: Scrubbing (carbonate)</v>
      </c>
      <c r="Z343" s="21" t="b">
        <f t="shared" si="29"/>
        <v>0</v>
      </c>
      <c r="AL343" s="624">
        <v>2</v>
      </c>
      <c r="AM343" s="624" t="s">
        <v>992</v>
      </c>
      <c r="AN343" s="624" t="s">
        <v>992</v>
      </c>
      <c r="AO343" s="624" t="s">
        <v>992</v>
      </c>
      <c r="AP343" s="624" t="s">
        <v>992</v>
      </c>
    </row>
    <row r="344" spans="1:42" ht="12.75" customHeight="1" outlineLevel="1" x14ac:dyDescent="0.2">
      <c r="A344" s="21">
        <v>8</v>
      </c>
      <c r="B344" s="611" t="str">
        <f t="shared" si="25"/>
        <v>Combustion of fuels</v>
      </c>
      <c r="C344" s="17" t="str">
        <f t="shared" si="25"/>
        <v>Combustion</v>
      </c>
      <c r="D344" s="17" t="str">
        <f t="shared" si="25"/>
        <v>Scrubbing (gypsum)</v>
      </c>
      <c r="E344" s="17"/>
      <c r="F344" s="151" t="str">
        <f t="shared" si="26"/>
        <v>Standard method: Process, Article 24(2)</v>
      </c>
      <c r="G344" s="103">
        <v>1</v>
      </c>
      <c r="H344" s="149" t="str">
        <f>Translations!$B$1263</f>
        <v>0.2558 t CO2/t gypsum</v>
      </c>
      <c r="I344" s="149"/>
      <c r="J344" s="151"/>
      <c r="K344" s="151"/>
      <c r="L344" s="149"/>
      <c r="M344" s="149"/>
      <c r="N344" s="149"/>
      <c r="O344" s="150"/>
      <c r="P344" s="103">
        <f t="shared" si="30"/>
        <v>1</v>
      </c>
      <c r="Q344" s="147" t="str">
        <f t="shared" si="27"/>
        <v>Combustion: Scrubbing (gypsum)</v>
      </c>
      <c r="R344" s="17"/>
      <c r="S344" s="17" t="str">
        <f t="shared" si="28"/>
        <v>EF_Combustion: Scrubbing (gypsum)</v>
      </c>
      <c r="Z344" s="21" t="b">
        <f t="shared" si="29"/>
        <v>0</v>
      </c>
      <c r="AL344" s="624">
        <v>1</v>
      </c>
      <c r="AM344" s="624" t="s">
        <v>992</v>
      </c>
      <c r="AN344" s="624" t="s">
        <v>992</v>
      </c>
      <c r="AO344" s="624" t="s">
        <v>992</v>
      </c>
      <c r="AP344" s="624" t="s">
        <v>992</v>
      </c>
    </row>
    <row r="345" spans="1:42" ht="12.75" customHeight="1" outlineLevel="1" x14ac:dyDescent="0.2">
      <c r="A345" s="21">
        <v>9</v>
      </c>
      <c r="B345" s="611" t="str">
        <f t="shared" si="25"/>
        <v>Combustion of fuels</v>
      </c>
      <c r="C345" s="17" t="str">
        <f t="shared" si="25"/>
        <v>Combustion</v>
      </c>
      <c r="D345" s="17" t="str">
        <f t="shared" si="25"/>
        <v>Scrubbing (urea)</v>
      </c>
      <c r="E345" s="17"/>
      <c r="F345" s="151" t="str">
        <f t="shared" si="26"/>
        <v>Standard method: Process, Article 24(2)</v>
      </c>
      <c r="G345" s="103">
        <v>1</v>
      </c>
      <c r="H345" s="149" t="str">
        <f>Translations!$B$1264</f>
        <v>0,7328 t CO2/t urea</v>
      </c>
      <c r="I345" s="149"/>
      <c r="J345" s="151"/>
      <c r="K345" s="151"/>
      <c r="L345" s="149"/>
      <c r="M345" s="149"/>
      <c r="N345" s="149"/>
      <c r="O345" s="150"/>
      <c r="P345" s="103">
        <f t="shared" si="30"/>
        <v>1</v>
      </c>
      <c r="Q345" s="147" t="str">
        <f t="shared" si="27"/>
        <v>Combustion: Scrubbing (urea)</v>
      </c>
      <c r="R345" s="17"/>
      <c r="S345" s="17" t="str">
        <f t="shared" si="28"/>
        <v>EF_Combustion: Scrubbing (urea)</v>
      </c>
      <c r="Z345" s="21" t="b">
        <f t="shared" si="29"/>
        <v>0</v>
      </c>
      <c r="AL345" s="624">
        <v>1</v>
      </c>
      <c r="AM345" s="624" t="s">
        <v>992</v>
      </c>
      <c r="AN345" s="624" t="s">
        <v>992</v>
      </c>
      <c r="AO345" s="624" t="s">
        <v>992</v>
      </c>
      <c r="AP345" s="624" t="s">
        <v>992</v>
      </c>
    </row>
    <row r="346" spans="1:42" ht="12.75" customHeight="1" outlineLevel="1" x14ac:dyDescent="0.2">
      <c r="A346" s="21">
        <v>10</v>
      </c>
      <c r="B346" s="611" t="str">
        <f t="shared" si="25"/>
        <v xml:space="preserve">Refining of oil </v>
      </c>
      <c r="C346" s="17" t="str">
        <f t="shared" si="25"/>
        <v>Refineries</v>
      </c>
      <c r="D346" s="17" t="str">
        <f t="shared" si="25"/>
        <v>Mass balance</v>
      </c>
      <c r="E346" s="17"/>
      <c r="F346" s="151" t="str">
        <f t="shared" si="26"/>
        <v>Mass balance method, Article 25</v>
      </c>
      <c r="G346" s="103" t="str">
        <f>EUconst_NA</f>
        <v>n.a.</v>
      </c>
      <c r="H346" s="149"/>
      <c r="I346" s="149"/>
      <c r="J346" s="151"/>
      <c r="K346" s="151"/>
      <c r="L346" s="149"/>
      <c r="M346" s="149"/>
      <c r="N346" s="149"/>
      <c r="O346" s="150"/>
      <c r="P346" s="103" t="str">
        <f t="shared" si="30"/>
        <v>n.a.</v>
      </c>
      <c r="Q346" s="147" t="str">
        <f t="shared" si="27"/>
        <v>Refineries: Mass balance</v>
      </c>
      <c r="R346" s="17"/>
      <c r="S346" s="17" t="str">
        <f t="shared" si="28"/>
        <v>EF_Refineries: Mass balance</v>
      </c>
      <c r="W346" s="226"/>
      <c r="Z346" s="21" t="b">
        <f t="shared" si="29"/>
        <v>1</v>
      </c>
      <c r="AL346" s="624" t="s">
        <v>992</v>
      </c>
      <c r="AM346" s="624" t="s">
        <v>992</v>
      </c>
      <c r="AN346" s="624" t="s">
        <v>992</v>
      </c>
      <c r="AO346" s="624" t="s">
        <v>992</v>
      </c>
      <c r="AP346" s="624" t="s">
        <v>992</v>
      </c>
    </row>
    <row r="347" spans="1:42" ht="12.75" customHeight="1" outlineLevel="1" x14ac:dyDescent="0.2">
      <c r="A347" s="21">
        <v>11</v>
      </c>
      <c r="B347" s="611" t="str">
        <f t="shared" si="25"/>
        <v xml:space="preserve">Refining of mineral oil </v>
      </c>
      <c r="C347" s="17" t="str">
        <f t="shared" si="25"/>
        <v>Refineries</v>
      </c>
      <c r="D347" s="17" t="str">
        <f t="shared" si="25"/>
        <v>Catalytic cracker regeneration</v>
      </c>
      <c r="E347" s="17"/>
      <c r="F347" s="151" t="str">
        <f t="shared" si="26"/>
        <v>Mass balance method, Article 25</v>
      </c>
      <c r="G347" s="103" t="str">
        <f>EUconst_NA</f>
        <v>n.a.</v>
      </c>
      <c r="H347" s="149"/>
      <c r="I347" s="149"/>
      <c r="J347" s="151"/>
      <c r="K347" s="151"/>
      <c r="L347" s="149"/>
      <c r="M347" s="149"/>
      <c r="N347" s="149"/>
      <c r="O347" s="150"/>
      <c r="P347" s="103" t="str">
        <f t="shared" ref="P347:P352" si="31">IF(G347=EUconst_NA,EUconst_NA,IF(ISBLANK(J347),COUNTA(H347:O347),COUNTA(H347,J347,L347)))</f>
        <v>n.a.</v>
      </c>
      <c r="Q347" s="147" t="str">
        <f t="shared" ref="Q347:Q352" si="32">C347 &amp; ": " &amp;D347</f>
        <v>Refineries: Catalytic cracker regeneration</v>
      </c>
      <c r="R347" s="17"/>
      <c r="S347" s="17" t="str">
        <f t="shared" ref="S347:S352" si="33">EUconst_CNTR_EF&amp;Q347</f>
        <v>EF_Refineries: Catalytic cracker regeneration</v>
      </c>
      <c r="Z347" s="21" t="b">
        <f t="shared" si="29"/>
        <v>1</v>
      </c>
      <c r="AL347" s="624" t="s">
        <v>992</v>
      </c>
      <c r="AM347" s="624" t="s">
        <v>992</v>
      </c>
      <c r="AN347" s="624" t="s">
        <v>992</v>
      </c>
      <c r="AO347" s="624" t="s">
        <v>992</v>
      </c>
      <c r="AP347" s="624" t="s">
        <v>992</v>
      </c>
    </row>
    <row r="348" spans="1:42" ht="12.75" customHeight="1" outlineLevel="1" x14ac:dyDescent="0.2">
      <c r="A348" s="21">
        <v>12</v>
      </c>
      <c r="B348" s="611" t="str">
        <f t="shared" si="25"/>
        <v xml:space="preserve">Refining of mineral oil </v>
      </c>
      <c r="C348" s="17" t="str">
        <f t="shared" si="25"/>
        <v>Refineries</v>
      </c>
      <c r="D348" s="17" t="str">
        <f t="shared" si="25"/>
        <v>Hydrogen production</v>
      </c>
      <c r="E348" s="610"/>
      <c r="F348" s="151" t="str">
        <f t="shared" si="26"/>
        <v>Mass balance method, Article 25</v>
      </c>
      <c r="G348" s="103" t="str">
        <f>EUconst_NA</f>
        <v>n.a.</v>
      </c>
      <c r="H348" s="149"/>
      <c r="I348" s="149"/>
      <c r="J348" s="151"/>
      <c r="K348" s="151"/>
      <c r="L348" s="149"/>
      <c r="M348" s="149"/>
      <c r="N348" s="149"/>
      <c r="O348" s="150"/>
      <c r="P348" s="103" t="str">
        <f>IF(G348=EUconst_NA,EUconst_NA,IF(ISBLANK(J348),COUNTA(H348:O348),COUNTA(H348,J348,L348)))</f>
        <v>n.a.</v>
      </c>
      <c r="Q348" s="147" t="str">
        <f t="shared" si="32"/>
        <v>Refineries: Hydrogen production</v>
      </c>
      <c r="R348" s="17"/>
      <c r="S348" s="17" t="str">
        <f t="shared" si="33"/>
        <v>EF_Refineries: Hydrogen production</v>
      </c>
      <c r="X348" s="69"/>
      <c r="Z348" s="21" t="b">
        <f t="shared" si="29"/>
        <v>1</v>
      </c>
      <c r="AL348" s="624">
        <v>1</v>
      </c>
      <c r="AM348" s="624" t="s">
        <v>992</v>
      </c>
      <c r="AN348" s="624">
        <v>1</v>
      </c>
      <c r="AO348" s="624">
        <v>2</v>
      </c>
      <c r="AP348" s="624">
        <v>2</v>
      </c>
    </row>
    <row r="349" spans="1:42" ht="12.75" customHeight="1" outlineLevel="1" x14ac:dyDescent="0.2">
      <c r="A349" s="21">
        <v>13</v>
      </c>
      <c r="B349" s="611" t="str">
        <f t="shared" si="25"/>
        <v>Production of coke</v>
      </c>
      <c r="C349" s="17" t="str">
        <f t="shared" si="25"/>
        <v>Coke</v>
      </c>
      <c r="D349" s="17" t="str">
        <f t="shared" si="25"/>
        <v>Fuel as process input</v>
      </c>
      <c r="E349" s="17"/>
      <c r="F349" s="151" t="str">
        <f t="shared" si="26"/>
        <v>Standard method: Fuel, Article 24(1)</v>
      </c>
      <c r="G349" s="103" t="s">
        <v>1531</v>
      </c>
      <c r="H349" s="613" t="str">
        <f>Translations!$B$493</f>
        <v>Type I default values</v>
      </c>
      <c r="I349" s="150" t="str">
        <f>Translations!$B$528</f>
        <v>Type II default values</v>
      </c>
      <c r="J349" s="150"/>
      <c r="K349" s="150"/>
      <c r="L349" s="613" t="str">
        <f>Translations!$B$527</f>
        <v>Laboratory analyses</v>
      </c>
      <c r="M349" s="613"/>
      <c r="N349" s="613"/>
      <c r="O349" s="146"/>
      <c r="P349" s="103">
        <f t="shared" si="31"/>
        <v>3</v>
      </c>
      <c r="Q349" s="147" t="str">
        <f t="shared" si="32"/>
        <v>Coke: Fuel as process input</v>
      </c>
      <c r="R349" s="17"/>
      <c r="S349" s="17" t="str">
        <f t="shared" si="33"/>
        <v>EF_Coke: Fuel as process input</v>
      </c>
      <c r="W349" s="226"/>
      <c r="X349" s="69"/>
      <c r="Z349" s="21" t="b">
        <f t="shared" si="29"/>
        <v>0</v>
      </c>
      <c r="AL349" s="624">
        <v>1</v>
      </c>
      <c r="AM349" s="624">
        <v>1</v>
      </c>
      <c r="AN349" s="624" t="s">
        <v>992</v>
      </c>
      <c r="AO349" s="624" t="s">
        <v>992</v>
      </c>
      <c r="AP349" s="624">
        <v>2</v>
      </c>
    </row>
    <row r="350" spans="1:42" ht="12.75" customHeight="1" outlineLevel="1" x14ac:dyDescent="0.2">
      <c r="A350" s="21">
        <v>14</v>
      </c>
      <c r="B350" s="611" t="str">
        <f t="shared" si="25"/>
        <v>Production of coke</v>
      </c>
      <c r="C350" s="17" t="str">
        <f t="shared" si="25"/>
        <v>Coke</v>
      </c>
      <c r="D350" s="17" t="str">
        <f t="shared" si="25"/>
        <v>Process (method A): carbonate only</v>
      </c>
      <c r="E350" s="602"/>
      <c r="F350" s="151" t="str">
        <f t="shared" si="26"/>
        <v>Standard method: Process, Article 24(2)</v>
      </c>
      <c r="G350" s="103">
        <v>1</v>
      </c>
      <c r="H350" s="612" t="str">
        <f>Translations!$B$493</f>
        <v>Type I default values</v>
      </c>
      <c r="I350" s="612" t="str">
        <f>Translations!$B$528</f>
        <v>Type II default values</v>
      </c>
      <c r="J350" s="612"/>
      <c r="K350" s="612"/>
      <c r="L350" s="612" t="str">
        <f>Translations!$B$527</f>
        <v>Laboratory analyses</v>
      </c>
      <c r="M350" s="612"/>
      <c r="N350" s="612"/>
      <c r="O350" s="148"/>
      <c r="P350" s="103">
        <f t="shared" si="31"/>
        <v>3</v>
      </c>
      <c r="Q350" s="147" t="str">
        <f t="shared" si="32"/>
        <v>Coke: Process (method A): carbonate only</v>
      </c>
      <c r="R350" s="17"/>
      <c r="S350" s="17" t="str">
        <f t="shared" si="33"/>
        <v>EF_Coke: Process (method A): carbonate only</v>
      </c>
      <c r="W350" s="226"/>
      <c r="X350" s="69"/>
      <c r="Z350" s="21" t="b">
        <f t="shared" si="29"/>
        <v>0</v>
      </c>
      <c r="AL350" s="624">
        <v>1</v>
      </c>
      <c r="AM350" s="624">
        <v>1</v>
      </c>
      <c r="AN350" s="624" t="s">
        <v>992</v>
      </c>
      <c r="AO350" s="624" t="s">
        <v>992</v>
      </c>
      <c r="AP350" s="624">
        <v>2</v>
      </c>
    </row>
    <row r="351" spans="1:42" ht="12.75" customHeight="1" outlineLevel="1" x14ac:dyDescent="0.2">
      <c r="A351" s="21">
        <v>15</v>
      </c>
      <c r="B351" s="611" t="str">
        <f t="shared" si="25"/>
        <v>Production of coke</v>
      </c>
      <c r="C351" s="17" t="str">
        <f t="shared" si="25"/>
        <v>Coke</v>
      </c>
      <c r="D351" s="17" t="str">
        <f t="shared" si="25"/>
        <v>Process (method A): mixed (carbonate + non-carbonate)</v>
      </c>
      <c r="E351" s="602"/>
      <c r="F351" s="151" t="str">
        <f t="shared" si="26"/>
        <v>Standard method: Process, Article 24(2)</v>
      </c>
      <c r="G351" s="103">
        <v>1</v>
      </c>
      <c r="H351" s="612" t="str">
        <f>EUconst_NA</f>
        <v>n.a.</v>
      </c>
      <c r="I351" s="612" t="str">
        <f>EUconst_NA</f>
        <v>n.a.</v>
      </c>
      <c r="J351" s="612"/>
      <c r="K351" s="612"/>
      <c r="L351" s="612" t="str">
        <f>Translations!$B$527</f>
        <v>Laboratory analyses</v>
      </c>
      <c r="M351" s="612"/>
      <c r="N351" s="612"/>
      <c r="O351" s="148"/>
      <c r="P351" s="103">
        <f t="shared" si="31"/>
        <v>3</v>
      </c>
      <c r="Q351" s="147" t="str">
        <f t="shared" si="32"/>
        <v>Coke: Process (method A): mixed (carbonate + non-carbonate)</v>
      </c>
      <c r="R351" s="17"/>
      <c r="S351" s="17" t="str">
        <f t="shared" si="33"/>
        <v>EF_Coke: Process (method A): mixed (carbonate + non-carbonate)</v>
      </c>
      <c r="W351" s="226"/>
      <c r="X351" s="69"/>
      <c r="Z351" s="21" t="b">
        <f t="shared" si="29"/>
        <v>0</v>
      </c>
      <c r="AL351" s="624" t="str">
        <f>Translations!$B$530</f>
        <v>n.a.</v>
      </c>
      <c r="AM351" s="624" t="str">
        <f>Translations!$B$530</f>
        <v>n.a.</v>
      </c>
      <c r="AN351" s="624" t="s">
        <v>992</v>
      </c>
      <c r="AO351" s="624" t="s">
        <v>992</v>
      </c>
      <c r="AP351" s="624">
        <v>2</v>
      </c>
    </row>
    <row r="352" spans="1:42" ht="12.75" customHeight="1" outlineLevel="1" x14ac:dyDescent="0.2">
      <c r="A352" s="21">
        <v>16</v>
      </c>
      <c r="B352" s="611" t="str">
        <f t="shared" si="25"/>
        <v>Production of coke</v>
      </c>
      <c r="C352" s="17" t="str">
        <f t="shared" si="25"/>
        <v>Coke</v>
      </c>
      <c r="D352" s="17" t="str">
        <f t="shared" si="25"/>
        <v>Process (method A): non-carbonate</v>
      </c>
      <c r="E352" s="602"/>
      <c r="F352" s="151" t="str">
        <f t="shared" si="26"/>
        <v>Standard method: Process, Article 24(2)</v>
      </c>
      <c r="G352" s="103">
        <v>1</v>
      </c>
      <c r="H352" s="612" t="str">
        <f>Translations!$B$493</f>
        <v>Type I default values</v>
      </c>
      <c r="I352" s="612" t="str">
        <f>Translations!$B$528</f>
        <v>Type II default values</v>
      </c>
      <c r="J352" s="612"/>
      <c r="K352" s="612"/>
      <c r="L352" s="612" t="str">
        <f>Translations!$B$527</f>
        <v>Laboratory analyses</v>
      </c>
      <c r="M352" s="612"/>
      <c r="N352" s="612"/>
      <c r="O352" s="148"/>
      <c r="P352" s="103">
        <f t="shared" si="31"/>
        <v>3</v>
      </c>
      <c r="Q352" s="147" t="str">
        <f t="shared" si="32"/>
        <v>Coke: Process (method A): non-carbonate</v>
      </c>
      <c r="R352" s="17"/>
      <c r="S352" s="17" t="str">
        <f t="shared" si="33"/>
        <v>EF_Coke: Process (method A): non-carbonate</v>
      </c>
      <c r="W352" s="226"/>
      <c r="X352" s="69"/>
      <c r="Z352" s="21" t="b">
        <f t="shared" si="29"/>
        <v>0</v>
      </c>
      <c r="AL352" s="624">
        <v>1</v>
      </c>
      <c r="AM352" s="624">
        <v>1</v>
      </c>
      <c r="AN352" s="624" t="s">
        <v>992</v>
      </c>
      <c r="AO352" s="624" t="s">
        <v>992</v>
      </c>
      <c r="AP352" s="624">
        <v>2</v>
      </c>
    </row>
    <row r="353" spans="1:42" ht="12.75" customHeight="1" outlineLevel="1" x14ac:dyDescent="0.2">
      <c r="A353" s="21">
        <v>17</v>
      </c>
      <c r="B353" s="611" t="str">
        <f t="shared" si="25"/>
        <v>Production of coke</v>
      </c>
      <c r="C353" s="17" t="str">
        <f t="shared" si="25"/>
        <v>Coke</v>
      </c>
      <c r="D353" s="17" t="str">
        <f t="shared" si="25"/>
        <v>Process (method B): oxide output</v>
      </c>
      <c r="E353" s="610"/>
      <c r="F353" s="151" t="str">
        <f t="shared" si="26"/>
        <v>Standard method: Process, Article 24(2)</v>
      </c>
      <c r="G353" s="103">
        <v>1</v>
      </c>
      <c r="H353" s="613" t="str">
        <f>Translations!$B$493</f>
        <v>Type I default values</v>
      </c>
      <c r="I353" s="150" t="str">
        <f>Translations!$B$528</f>
        <v>Type II default values</v>
      </c>
      <c r="J353" s="150"/>
      <c r="K353" s="150"/>
      <c r="L353" s="613" t="str">
        <f>Translations!$B$527</f>
        <v>Laboratory analyses</v>
      </c>
      <c r="M353" s="613"/>
      <c r="N353" s="613"/>
      <c r="O353" s="148"/>
      <c r="P353" s="103">
        <f t="shared" ref="P353:P397" si="34">IF(G353=EUconst_NA,EUconst_NA,IF(ISBLANK(J353),COUNTA(H353:O353),COUNTA(H353,J353,L353)))</f>
        <v>3</v>
      </c>
      <c r="Q353" s="147" t="str">
        <f t="shared" ref="Q353:Q397" si="35">C353 &amp; ": " &amp;D353</f>
        <v>Coke: Process (method B): oxide output</v>
      </c>
      <c r="R353" s="17"/>
      <c r="S353" s="17" t="str">
        <f t="shared" ref="S353:S397" si="36">EUconst_CNTR_EF&amp;Q353</f>
        <v>EF_Coke: Process (method B): oxide output</v>
      </c>
      <c r="W353" s="226"/>
      <c r="X353" s="69"/>
      <c r="Z353" s="21" t="b">
        <f t="shared" si="29"/>
        <v>0</v>
      </c>
      <c r="AL353" s="624">
        <v>1</v>
      </c>
      <c r="AM353" s="624">
        <v>1</v>
      </c>
      <c r="AN353" s="624" t="s">
        <v>992</v>
      </c>
      <c r="AO353" s="624" t="s">
        <v>992</v>
      </c>
      <c r="AP353" s="624">
        <v>2</v>
      </c>
    </row>
    <row r="354" spans="1:42" ht="12.75" customHeight="1" outlineLevel="1" x14ac:dyDescent="0.2">
      <c r="A354" s="21">
        <v>18</v>
      </c>
      <c r="B354" s="611" t="str">
        <f t="shared" si="25"/>
        <v>Production of coke</v>
      </c>
      <c r="C354" s="17" t="str">
        <f t="shared" si="25"/>
        <v>Coke</v>
      </c>
      <c r="D354" s="17" t="str">
        <f t="shared" si="25"/>
        <v>Mass balance</v>
      </c>
      <c r="E354" s="17"/>
      <c r="F354" s="151" t="str">
        <f t="shared" si="26"/>
        <v>Mass balance method, Article 25</v>
      </c>
      <c r="G354" s="103" t="str">
        <f>EUconst_NA</f>
        <v>n.a.</v>
      </c>
      <c r="H354" s="149"/>
      <c r="I354" s="149"/>
      <c r="J354" s="151"/>
      <c r="K354" s="151"/>
      <c r="L354" s="149"/>
      <c r="M354" s="149"/>
      <c r="N354" s="149"/>
      <c r="O354" s="150"/>
      <c r="P354" s="103" t="str">
        <f t="shared" si="34"/>
        <v>n.a.</v>
      </c>
      <c r="Q354" s="147" t="str">
        <f t="shared" si="35"/>
        <v>Coke: Mass balance</v>
      </c>
      <c r="R354" s="17"/>
      <c r="S354" s="17" t="str">
        <f t="shared" si="36"/>
        <v>EF_Coke: Mass balance</v>
      </c>
      <c r="X354" s="69"/>
      <c r="Z354" s="21" t="b">
        <f t="shared" si="29"/>
        <v>1</v>
      </c>
      <c r="AL354" s="624" t="s">
        <v>992</v>
      </c>
      <c r="AM354" s="624" t="s">
        <v>992</v>
      </c>
      <c r="AN354" s="624" t="s">
        <v>992</v>
      </c>
      <c r="AO354" s="624" t="s">
        <v>992</v>
      </c>
      <c r="AP354" s="624" t="s">
        <v>992</v>
      </c>
    </row>
    <row r="355" spans="1:42" ht="12.75" customHeight="1" outlineLevel="1" x14ac:dyDescent="0.2">
      <c r="A355" s="21">
        <v>19</v>
      </c>
      <c r="B355" s="611" t="str">
        <f t="shared" si="25"/>
        <v>Metal ore roasting or sintering</v>
      </c>
      <c r="C355" s="17" t="str">
        <f t="shared" si="25"/>
        <v>Metal ore</v>
      </c>
      <c r="D355" s="17" t="str">
        <f t="shared" si="25"/>
        <v>Process (method A): carbonate only</v>
      </c>
      <c r="E355" s="602"/>
      <c r="F355" s="151" t="str">
        <f t="shared" si="26"/>
        <v>Standard method: Process, Article 24(2)</v>
      </c>
      <c r="G355" s="103">
        <v>1</v>
      </c>
      <c r="H355" s="612" t="str">
        <f>Translations!$B$493</f>
        <v>Type I default values</v>
      </c>
      <c r="I355" s="612" t="str">
        <f>Translations!$B$528</f>
        <v>Type II default values</v>
      </c>
      <c r="J355" s="612"/>
      <c r="K355" s="612"/>
      <c r="L355" s="612" t="str">
        <f>Translations!$B$527</f>
        <v>Laboratory analyses</v>
      </c>
      <c r="M355" s="612"/>
      <c r="N355" s="612"/>
      <c r="O355" s="148"/>
      <c r="P355" s="103">
        <f t="shared" si="34"/>
        <v>3</v>
      </c>
      <c r="Q355" s="147" t="str">
        <f t="shared" si="35"/>
        <v>Metal ore: Process (method A): carbonate only</v>
      </c>
      <c r="R355" s="17"/>
      <c r="S355" s="17" t="str">
        <f t="shared" si="36"/>
        <v>EF_Metal ore: Process (method A): carbonate only</v>
      </c>
      <c r="X355" s="69"/>
      <c r="Z355" s="21" t="b">
        <f t="shared" si="29"/>
        <v>0</v>
      </c>
      <c r="AL355" s="624">
        <v>1</v>
      </c>
      <c r="AM355" s="624">
        <v>1</v>
      </c>
      <c r="AN355" s="624" t="s">
        <v>992</v>
      </c>
      <c r="AO355" s="624" t="s">
        <v>992</v>
      </c>
      <c r="AP355" s="624">
        <v>2</v>
      </c>
    </row>
    <row r="356" spans="1:42" ht="12.75" customHeight="1" outlineLevel="1" x14ac:dyDescent="0.2">
      <c r="A356" s="21">
        <v>20</v>
      </c>
      <c r="B356" s="611" t="str">
        <f t="shared" si="25"/>
        <v>Metal ore roasting or sintering</v>
      </c>
      <c r="C356" s="17" t="str">
        <f t="shared" si="25"/>
        <v>Metal ore</v>
      </c>
      <c r="D356" s="17" t="str">
        <f t="shared" si="25"/>
        <v>Process (method A): mixed (carbonate + non-carbonate)</v>
      </c>
      <c r="E356" s="602"/>
      <c r="F356" s="151" t="str">
        <f t="shared" si="26"/>
        <v>Standard method: Process, Article 24(2)</v>
      </c>
      <c r="G356" s="103">
        <v>1</v>
      </c>
      <c r="H356" s="612" t="str">
        <f>EUconst_NA</f>
        <v>n.a.</v>
      </c>
      <c r="I356" s="612" t="str">
        <f>EUconst_NA</f>
        <v>n.a.</v>
      </c>
      <c r="J356" s="612"/>
      <c r="K356" s="612"/>
      <c r="L356" s="612" t="str">
        <f>Translations!$B$527</f>
        <v>Laboratory analyses</v>
      </c>
      <c r="M356" s="612"/>
      <c r="N356" s="612"/>
      <c r="O356" s="148"/>
      <c r="P356" s="103">
        <f t="shared" si="34"/>
        <v>3</v>
      </c>
      <c r="Q356" s="147" t="str">
        <f t="shared" si="35"/>
        <v>Metal ore: Process (method A): mixed (carbonate + non-carbonate)</v>
      </c>
      <c r="R356" s="17"/>
      <c r="S356" s="17" t="str">
        <f t="shared" si="36"/>
        <v>EF_Metal ore: Process (method A): mixed (carbonate + non-carbonate)</v>
      </c>
      <c r="W356" s="226"/>
      <c r="X356" s="69"/>
      <c r="Z356" s="21" t="b">
        <f t="shared" si="29"/>
        <v>0</v>
      </c>
      <c r="AL356" s="624" t="str">
        <f>Translations!$B$530</f>
        <v>n.a.</v>
      </c>
      <c r="AM356" s="624" t="str">
        <f>Translations!$B$530</f>
        <v>n.a.</v>
      </c>
      <c r="AN356" s="624" t="s">
        <v>992</v>
      </c>
      <c r="AO356" s="624" t="s">
        <v>992</v>
      </c>
      <c r="AP356" s="624">
        <v>2</v>
      </c>
    </row>
    <row r="357" spans="1:42" ht="12.75" customHeight="1" outlineLevel="1" x14ac:dyDescent="0.2">
      <c r="A357" s="21">
        <v>21</v>
      </c>
      <c r="B357" s="611" t="str">
        <f t="shared" ref="B357:D376" si="37">B285</f>
        <v>Metal ore roasting or sintering</v>
      </c>
      <c r="C357" s="17" t="str">
        <f t="shared" si="37"/>
        <v>Metal ore</v>
      </c>
      <c r="D357" s="17" t="str">
        <f t="shared" si="37"/>
        <v>Process (method A): non-carbonate</v>
      </c>
      <c r="E357" s="602"/>
      <c r="F357" s="151" t="str">
        <f t="shared" si="26"/>
        <v>Standard method: Process, Article 24(2)</v>
      </c>
      <c r="G357" s="103">
        <v>1</v>
      </c>
      <c r="H357" s="612" t="str">
        <f>Translations!$B$493</f>
        <v>Type I default values</v>
      </c>
      <c r="I357" s="612" t="str">
        <f>Translations!$B$528</f>
        <v>Type II default values</v>
      </c>
      <c r="J357" s="612"/>
      <c r="K357" s="612"/>
      <c r="L357" s="612" t="str">
        <f>Translations!$B$527</f>
        <v>Laboratory analyses</v>
      </c>
      <c r="M357" s="612"/>
      <c r="N357" s="612"/>
      <c r="O357" s="148"/>
      <c r="P357" s="103">
        <f t="shared" si="34"/>
        <v>3</v>
      </c>
      <c r="Q357" s="147" t="str">
        <f t="shared" si="35"/>
        <v>Metal ore: Process (method A): non-carbonate</v>
      </c>
      <c r="R357" s="17"/>
      <c r="S357" s="17" t="str">
        <f t="shared" si="36"/>
        <v>EF_Metal ore: Process (method A): non-carbonate</v>
      </c>
      <c r="W357" s="226"/>
      <c r="X357" s="69"/>
      <c r="Z357" s="21" t="b">
        <f t="shared" si="29"/>
        <v>0</v>
      </c>
      <c r="AL357" s="624">
        <v>1</v>
      </c>
      <c r="AM357" s="624">
        <v>1</v>
      </c>
      <c r="AN357" s="624" t="s">
        <v>992</v>
      </c>
      <c r="AO357" s="624" t="s">
        <v>992</v>
      </c>
      <c r="AP357" s="624">
        <v>2</v>
      </c>
    </row>
    <row r="358" spans="1:42" ht="12.75" customHeight="1" outlineLevel="1" x14ac:dyDescent="0.2">
      <c r="A358" s="21">
        <v>22</v>
      </c>
      <c r="B358" s="611" t="str">
        <f t="shared" si="37"/>
        <v>Metal ore roasting or sintering</v>
      </c>
      <c r="C358" s="17" t="str">
        <f t="shared" si="37"/>
        <v>Metal ore</v>
      </c>
      <c r="D358" s="17" t="str">
        <f t="shared" si="37"/>
        <v>Process (method B): oxide output</v>
      </c>
      <c r="E358" s="602"/>
      <c r="F358" s="151" t="str">
        <f t="shared" si="26"/>
        <v>Standard method: Process, Article 24(2)</v>
      </c>
      <c r="G358" s="103">
        <v>1</v>
      </c>
      <c r="H358" s="613" t="str">
        <f>Translations!$B$493</f>
        <v>Type I default values</v>
      </c>
      <c r="I358" s="150" t="str">
        <f>Translations!$B$528</f>
        <v>Type II default values</v>
      </c>
      <c r="J358" s="150"/>
      <c r="K358" s="150"/>
      <c r="L358" s="613" t="str">
        <f>Translations!$B$527</f>
        <v>Laboratory analyses</v>
      </c>
      <c r="M358" s="613"/>
      <c r="N358" s="613"/>
      <c r="O358" s="148"/>
      <c r="P358" s="103">
        <f t="shared" si="34"/>
        <v>3</v>
      </c>
      <c r="Q358" s="147" t="str">
        <f t="shared" si="35"/>
        <v>Metal ore: Process (method B): oxide output</v>
      </c>
      <c r="R358" s="17"/>
      <c r="S358" s="17" t="str">
        <f t="shared" si="36"/>
        <v>EF_Metal ore: Process (method B): oxide output</v>
      </c>
      <c r="W358" s="226"/>
      <c r="X358" s="69"/>
      <c r="Z358" s="21" t="b">
        <f t="shared" si="29"/>
        <v>0</v>
      </c>
      <c r="AL358" s="624">
        <v>1</v>
      </c>
      <c r="AM358" s="624">
        <v>1</v>
      </c>
      <c r="AN358" s="624" t="s">
        <v>992</v>
      </c>
      <c r="AO358" s="624" t="s">
        <v>992</v>
      </c>
      <c r="AP358" s="624">
        <v>2</v>
      </c>
    </row>
    <row r="359" spans="1:42" ht="12.75" customHeight="1" outlineLevel="1" x14ac:dyDescent="0.2">
      <c r="A359" s="21">
        <v>23</v>
      </c>
      <c r="B359" s="611" t="str">
        <f t="shared" si="37"/>
        <v>Metal ore roasting or sintering</v>
      </c>
      <c r="C359" s="17" t="str">
        <f t="shared" si="37"/>
        <v>Metal ore</v>
      </c>
      <c r="D359" s="17" t="str">
        <f t="shared" si="37"/>
        <v>Mass balance</v>
      </c>
      <c r="E359" s="17"/>
      <c r="F359" s="151" t="str">
        <f t="shared" si="26"/>
        <v>Mass balance method, Article 25</v>
      </c>
      <c r="G359" s="103" t="str">
        <f>EUconst_NA</f>
        <v>n.a.</v>
      </c>
      <c r="H359" s="149"/>
      <c r="I359" s="149"/>
      <c r="J359" s="151"/>
      <c r="K359" s="151"/>
      <c r="L359" s="149"/>
      <c r="M359" s="149"/>
      <c r="N359" s="149"/>
      <c r="O359" s="150"/>
      <c r="P359" s="103" t="str">
        <f t="shared" si="34"/>
        <v>n.a.</v>
      </c>
      <c r="Q359" s="147" t="str">
        <f t="shared" si="35"/>
        <v>Metal ore: Mass balance</v>
      </c>
      <c r="R359" s="17"/>
      <c r="S359" s="17" t="str">
        <f t="shared" si="36"/>
        <v>EF_Metal ore: Mass balance</v>
      </c>
      <c r="X359" s="69"/>
      <c r="Z359" s="21" t="b">
        <f t="shared" si="29"/>
        <v>1</v>
      </c>
      <c r="AL359" s="624" t="s">
        <v>992</v>
      </c>
      <c r="AM359" s="624" t="s">
        <v>992</v>
      </c>
      <c r="AN359" s="624" t="s">
        <v>992</v>
      </c>
      <c r="AO359" s="624" t="s">
        <v>992</v>
      </c>
      <c r="AP359" s="624" t="s">
        <v>992</v>
      </c>
    </row>
    <row r="360" spans="1:42" ht="12.75" customHeight="1" outlineLevel="1" x14ac:dyDescent="0.2">
      <c r="A360" s="21">
        <v>24</v>
      </c>
      <c r="B360" s="611" t="str">
        <f t="shared" si="37"/>
        <v>Production of iron or steel</v>
      </c>
      <c r="C360" s="17" t="str">
        <f t="shared" si="37"/>
        <v>Iron &amp; steel</v>
      </c>
      <c r="D360" s="17" t="str">
        <f t="shared" si="37"/>
        <v>Fuel as process input</v>
      </c>
      <c r="E360" s="17"/>
      <c r="F360" s="151" t="str">
        <f t="shared" si="26"/>
        <v>Standard method: Fuel, Article 24(1)</v>
      </c>
      <c r="G360" s="103">
        <v>2</v>
      </c>
      <c r="H360" s="613" t="str">
        <f>Translations!$B$493</f>
        <v>Type I default values</v>
      </c>
      <c r="I360" s="613"/>
      <c r="J360" s="150" t="str">
        <f>Translations!$B$528</f>
        <v>Type II default values</v>
      </c>
      <c r="K360" s="150" t="str">
        <f>Translations!$B$1061</f>
        <v>Established proxies (if applicable)</v>
      </c>
      <c r="L360" s="613" t="str">
        <f>Translations!$B$527</f>
        <v>Laboratory analyses</v>
      </c>
      <c r="M360" s="613"/>
      <c r="N360" s="613"/>
      <c r="O360" s="613"/>
      <c r="P360" s="103">
        <f t="shared" si="34"/>
        <v>3</v>
      </c>
      <c r="Q360" s="147" t="str">
        <f t="shared" si="35"/>
        <v>Iron &amp; steel: Fuel as process input</v>
      </c>
      <c r="R360" s="17"/>
      <c r="S360" s="17" t="str">
        <f t="shared" si="36"/>
        <v>EF_Iron &amp; steel: Fuel as process input</v>
      </c>
      <c r="X360" s="69"/>
      <c r="Z360" s="21" t="b">
        <f t="shared" si="29"/>
        <v>0</v>
      </c>
      <c r="AL360" s="624">
        <v>1</v>
      </c>
      <c r="AM360" s="624" t="s">
        <v>992</v>
      </c>
      <c r="AN360" s="624">
        <v>1</v>
      </c>
      <c r="AO360" s="624">
        <v>2</v>
      </c>
      <c r="AP360" s="624">
        <v>2</v>
      </c>
    </row>
    <row r="361" spans="1:42" ht="12.75" customHeight="1" outlineLevel="1" x14ac:dyDescent="0.2">
      <c r="A361" s="21">
        <v>25</v>
      </c>
      <c r="B361" s="611" t="str">
        <f t="shared" si="37"/>
        <v>Production of iron or steel</v>
      </c>
      <c r="C361" s="17" t="str">
        <f t="shared" si="37"/>
        <v>Iron &amp; steel</v>
      </c>
      <c r="D361" s="17" t="str">
        <f t="shared" si="37"/>
        <v>Process (method A): carbonate only</v>
      </c>
      <c r="E361" s="602"/>
      <c r="F361" s="151" t="str">
        <f t="shared" si="26"/>
        <v>Standard method: Process, Article 24(2)</v>
      </c>
      <c r="G361" s="103">
        <v>1</v>
      </c>
      <c r="H361" s="612" t="str">
        <f>Translations!$B$493</f>
        <v>Type I default values</v>
      </c>
      <c r="I361" s="612" t="str">
        <f>Translations!$B$528</f>
        <v>Type II default values</v>
      </c>
      <c r="J361" s="612"/>
      <c r="K361" s="612"/>
      <c r="L361" s="612" t="str">
        <f>Translations!$B$527</f>
        <v>Laboratory analyses</v>
      </c>
      <c r="M361" s="612"/>
      <c r="N361" s="612"/>
      <c r="O361" s="613"/>
      <c r="P361" s="103">
        <f t="shared" si="34"/>
        <v>3</v>
      </c>
      <c r="Q361" s="147" t="str">
        <f t="shared" si="35"/>
        <v>Iron &amp; steel: Process (method A): carbonate only</v>
      </c>
      <c r="R361" s="17"/>
      <c r="S361" s="17" t="str">
        <f t="shared" si="36"/>
        <v>EF_Iron &amp; steel: Process (method A): carbonate only</v>
      </c>
      <c r="W361" s="226"/>
      <c r="X361" s="69"/>
      <c r="Z361" s="21" t="b">
        <f t="shared" si="29"/>
        <v>0</v>
      </c>
      <c r="AL361" s="624">
        <v>1</v>
      </c>
      <c r="AM361" s="624">
        <v>1</v>
      </c>
      <c r="AN361" s="624" t="s">
        <v>992</v>
      </c>
      <c r="AO361" s="624" t="s">
        <v>992</v>
      </c>
      <c r="AP361" s="624">
        <v>2</v>
      </c>
    </row>
    <row r="362" spans="1:42" ht="12.75" customHeight="1" outlineLevel="1" x14ac:dyDescent="0.2">
      <c r="A362" s="21">
        <v>26</v>
      </c>
      <c r="B362" s="611" t="str">
        <f t="shared" si="37"/>
        <v>Production of iron or steel</v>
      </c>
      <c r="C362" s="17" t="str">
        <f t="shared" si="37"/>
        <v>Iron &amp; steel</v>
      </c>
      <c r="D362" s="17" t="str">
        <f t="shared" si="37"/>
        <v>Process (method A): mixed (carbonate + non-carbonate)</v>
      </c>
      <c r="E362" s="602"/>
      <c r="F362" s="151" t="str">
        <f t="shared" si="26"/>
        <v>Standard method: Process, Article 24(2)</v>
      </c>
      <c r="G362" s="103">
        <v>1</v>
      </c>
      <c r="H362" s="612" t="str">
        <f>EUconst_NA</f>
        <v>n.a.</v>
      </c>
      <c r="I362" s="612" t="str">
        <f>EUconst_NA</f>
        <v>n.a.</v>
      </c>
      <c r="J362" s="612"/>
      <c r="K362" s="612"/>
      <c r="L362" s="612" t="str">
        <f>Translations!$B$527</f>
        <v>Laboratory analyses</v>
      </c>
      <c r="M362" s="612"/>
      <c r="N362" s="612"/>
      <c r="O362" s="613"/>
      <c r="P362" s="103">
        <f t="shared" si="34"/>
        <v>3</v>
      </c>
      <c r="Q362" s="147" t="str">
        <f t="shared" si="35"/>
        <v>Iron &amp; steel: Process (method A): mixed (carbonate + non-carbonate)</v>
      </c>
      <c r="R362" s="17"/>
      <c r="S362" s="17" t="str">
        <f t="shared" si="36"/>
        <v>EF_Iron &amp; steel: Process (method A): mixed (carbonate + non-carbonate)</v>
      </c>
      <c r="W362" s="226"/>
      <c r="X362" s="69"/>
      <c r="Z362" s="21" t="b">
        <f t="shared" si="29"/>
        <v>0</v>
      </c>
      <c r="AL362" s="624"/>
      <c r="AM362" s="624"/>
      <c r="AN362" s="624" t="s">
        <v>992</v>
      </c>
      <c r="AO362" s="624" t="s">
        <v>992</v>
      </c>
      <c r="AP362" s="624" t="s">
        <v>992</v>
      </c>
    </row>
    <row r="363" spans="1:42" ht="12.75" customHeight="1" outlineLevel="1" x14ac:dyDescent="0.2">
      <c r="A363" s="21">
        <v>27</v>
      </c>
      <c r="B363" s="611" t="str">
        <f t="shared" si="37"/>
        <v>Production of iron or steel</v>
      </c>
      <c r="C363" s="17" t="str">
        <f t="shared" si="37"/>
        <v>Iron &amp; steel</v>
      </c>
      <c r="D363" s="17" t="str">
        <f t="shared" si="37"/>
        <v>Process (method A): non-carbonate</v>
      </c>
      <c r="E363" s="602"/>
      <c r="F363" s="151" t="str">
        <f t="shared" si="26"/>
        <v>Standard method: Process, Article 24(2)</v>
      </c>
      <c r="G363" s="103">
        <v>1</v>
      </c>
      <c r="H363" s="612" t="str">
        <f>Translations!$B$493</f>
        <v>Type I default values</v>
      </c>
      <c r="I363" s="612" t="str">
        <f>Translations!$B$528</f>
        <v>Type II default values</v>
      </c>
      <c r="J363" s="612"/>
      <c r="K363" s="612"/>
      <c r="L363" s="612" t="str">
        <f>Translations!$B$527</f>
        <v>Laboratory analyses</v>
      </c>
      <c r="M363" s="612"/>
      <c r="N363" s="612"/>
      <c r="O363" s="613"/>
      <c r="P363" s="103">
        <f t="shared" si="34"/>
        <v>3</v>
      </c>
      <c r="Q363" s="147" t="str">
        <f t="shared" si="35"/>
        <v>Iron &amp; steel: Process (method A): non-carbonate</v>
      </c>
      <c r="R363" s="17"/>
      <c r="S363" s="17" t="str">
        <f t="shared" si="36"/>
        <v>EF_Iron &amp; steel: Process (method A): non-carbonate</v>
      </c>
      <c r="W363" s="226"/>
      <c r="X363" s="69"/>
      <c r="Z363" s="21" t="b">
        <f t="shared" si="29"/>
        <v>0</v>
      </c>
      <c r="AL363" s="624">
        <v>2</v>
      </c>
      <c r="AM363" s="624">
        <v>2</v>
      </c>
      <c r="AN363" s="624" t="s">
        <v>992</v>
      </c>
      <c r="AO363" s="624" t="s">
        <v>992</v>
      </c>
      <c r="AP363" s="624" t="s">
        <v>992</v>
      </c>
    </row>
    <row r="364" spans="1:42" ht="12.75" customHeight="1" outlineLevel="1" x14ac:dyDescent="0.2">
      <c r="A364" s="21">
        <v>28</v>
      </c>
      <c r="B364" s="611" t="str">
        <f t="shared" si="37"/>
        <v>Production of iron or steel</v>
      </c>
      <c r="C364" s="17" t="str">
        <f t="shared" si="37"/>
        <v>Iron &amp; steel</v>
      </c>
      <c r="D364" s="17" t="str">
        <f t="shared" si="37"/>
        <v>Process (method B): oxide output</v>
      </c>
      <c r="E364" s="602"/>
      <c r="F364" s="151" t="str">
        <f t="shared" si="26"/>
        <v>Standard method: Process, Article 24(2)</v>
      </c>
      <c r="G364" s="103">
        <v>1</v>
      </c>
      <c r="H364" s="612" t="str">
        <f>Translations!$B$493</f>
        <v>Type I default values</v>
      </c>
      <c r="I364" s="612" t="str">
        <f>Translations!$B$528</f>
        <v>Type II default values</v>
      </c>
      <c r="J364" s="612"/>
      <c r="K364" s="612"/>
      <c r="L364" s="612" t="str">
        <f>Translations!$B$527</f>
        <v>Laboratory analyses</v>
      </c>
      <c r="M364" s="612"/>
      <c r="N364" s="612"/>
      <c r="O364" s="146"/>
      <c r="P364" s="103">
        <f t="shared" si="34"/>
        <v>3</v>
      </c>
      <c r="Q364" s="147" t="str">
        <f t="shared" si="35"/>
        <v>Iron &amp; steel: Process (method B): oxide output</v>
      </c>
      <c r="R364" s="17"/>
      <c r="S364" s="17" t="str">
        <f t="shared" si="36"/>
        <v>EF_Iron &amp; steel: Process (method B): oxide output</v>
      </c>
      <c r="W364" s="226"/>
      <c r="X364" s="69"/>
      <c r="Z364" s="21" t="b">
        <f t="shared" si="29"/>
        <v>0</v>
      </c>
      <c r="AL364" s="624">
        <v>1</v>
      </c>
      <c r="AM364" s="624">
        <v>1</v>
      </c>
      <c r="AN364" s="624" t="s">
        <v>992</v>
      </c>
      <c r="AO364" s="624" t="s">
        <v>992</v>
      </c>
      <c r="AP364" s="624">
        <v>2</v>
      </c>
    </row>
    <row r="365" spans="1:42" ht="12.75" customHeight="1" outlineLevel="1" x14ac:dyDescent="0.2">
      <c r="A365" s="21">
        <v>29</v>
      </c>
      <c r="B365" s="611" t="str">
        <f t="shared" si="37"/>
        <v>Production of iron or steel</v>
      </c>
      <c r="C365" s="17" t="str">
        <f t="shared" si="37"/>
        <v>Iron &amp; steel</v>
      </c>
      <c r="D365" s="17" t="str">
        <f t="shared" si="37"/>
        <v>Mass balance</v>
      </c>
      <c r="E365" s="17"/>
      <c r="F365" s="151" t="str">
        <f t="shared" si="26"/>
        <v>Mass balance method, Article 25</v>
      </c>
      <c r="G365" s="103" t="str">
        <f>EUconst_NA</f>
        <v>n.a.</v>
      </c>
      <c r="H365" s="149"/>
      <c r="I365" s="149"/>
      <c r="J365" s="151"/>
      <c r="K365" s="151"/>
      <c r="L365" s="149"/>
      <c r="M365" s="149"/>
      <c r="N365" s="149"/>
      <c r="O365" s="150"/>
      <c r="P365" s="103" t="str">
        <f t="shared" si="34"/>
        <v>n.a.</v>
      </c>
      <c r="Q365" s="147" t="str">
        <f t="shared" si="35"/>
        <v>Iron &amp; steel: Mass balance</v>
      </c>
      <c r="R365" s="17"/>
      <c r="S365" s="17" t="str">
        <f t="shared" si="36"/>
        <v>EF_Iron &amp; steel: Mass balance</v>
      </c>
      <c r="X365" s="69"/>
      <c r="Z365" s="21" t="b">
        <f t="shared" si="29"/>
        <v>1</v>
      </c>
      <c r="AL365" s="624" t="s">
        <v>992</v>
      </c>
      <c r="AM365" s="624" t="s">
        <v>992</v>
      </c>
      <c r="AN365" s="624" t="s">
        <v>992</v>
      </c>
      <c r="AO365" s="624" t="s">
        <v>992</v>
      </c>
      <c r="AP365" s="624" t="s">
        <v>992</v>
      </c>
    </row>
    <row r="366" spans="1:42" ht="12.75" customHeight="1" outlineLevel="1" x14ac:dyDescent="0.2">
      <c r="A366" s="21">
        <v>30</v>
      </c>
      <c r="B366" s="611" t="str">
        <f t="shared" si="37"/>
        <v>Production of cement clinker</v>
      </c>
      <c r="C366" s="17" t="str">
        <f t="shared" si="37"/>
        <v>Cement clinker</v>
      </c>
      <c r="D366" s="17" t="str">
        <f t="shared" si="37"/>
        <v>Kiln input based (Method A)</v>
      </c>
      <c r="E366" s="17"/>
      <c r="F366" s="151" t="str">
        <f t="shared" si="26"/>
        <v>Standard method: Process, Article 24(2)</v>
      </c>
      <c r="G366" s="103">
        <v>1</v>
      </c>
      <c r="H366" s="612" t="str">
        <f>Translations!$B$493</f>
        <v>Type I default values</v>
      </c>
      <c r="I366" s="612" t="str">
        <f>Translations!$B$528</f>
        <v>Type II default values</v>
      </c>
      <c r="J366" s="612"/>
      <c r="K366" s="612"/>
      <c r="L366" s="612" t="str">
        <f>Translations!$B$527</f>
        <v>Laboratory analyses</v>
      </c>
      <c r="M366" s="612"/>
      <c r="N366" s="612"/>
      <c r="O366" s="146"/>
      <c r="P366" s="103">
        <f>IF(G366=EUconst_NA,EUconst_NA,IF(ISBLANK(J366),COUNTA(H366:O366),COUNTA(H366,J366,L366)))</f>
        <v>3</v>
      </c>
      <c r="Q366" s="147" t="str">
        <f>C366 &amp; ": " &amp;D366</f>
        <v>Cement clinker: Kiln input based (Method A)</v>
      </c>
      <c r="R366" s="17"/>
      <c r="S366" s="17" t="str">
        <f>EUconst_CNTR_EF&amp;Q366</f>
        <v>EF_Cement clinker: Kiln input based (Method A)</v>
      </c>
      <c r="W366" s="226"/>
      <c r="X366" s="69"/>
      <c r="Z366" s="21" t="b">
        <f>IF(G366=EUconst_NA,TRUE,FALSE)</f>
        <v>0</v>
      </c>
      <c r="AL366" s="624">
        <v>1</v>
      </c>
      <c r="AM366" s="624">
        <v>1</v>
      </c>
      <c r="AN366" s="624" t="s">
        <v>992</v>
      </c>
      <c r="AO366" s="624" t="s">
        <v>992</v>
      </c>
      <c r="AP366" s="624">
        <v>2</v>
      </c>
    </row>
    <row r="367" spans="1:42" ht="12.75" customHeight="1" outlineLevel="1" x14ac:dyDescent="0.2">
      <c r="A367" s="21">
        <v>31</v>
      </c>
      <c r="B367" s="611" t="str">
        <f t="shared" si="37"/>
        <v>Production of cement clinker</v>
      </c>
      <c r="C367" s="17" t="str">
        <f t="shared" si="37"/>
        <v>Cement clinker</v>
      </c>
      <c r="D367" s="17" t="str">
        <f t="shared" si="37"/>
        <v>Clinker output (Method B)</v>
      </c>
      <c r="E367" s="17"/>
      <c r="F367" s="151" t="str">
        <f t="shared" si="26"/>
        <v>Standard method: Process, Article 24(2)</v>
      </c>
      <c r="G367" s="103">
        <v>1</v>
      </c>
      <c r="H367" s="613" t="str">
        <f>Translations!$B$1078</f>
        <v>0.525 t CO2/t clinker.</v>
      </c>
      <c r="I367" s="613" t="str">
        <f>Translations!$B$528</f>
        <v>Type II default values</v>
      </c>
      <c r="J367" s="150"/>
      <c r="K367" s="150"/>
      <c r="L367" s="613" t="str">
        <f>Translations!$B$527</f>
        <v>Laboratory analyses</v>
      </c>
      <c r="M367" s="613"/>
      <c r="N367" s="613"/>
      <c r="O367" s="148"/>
      <c r="P367" s="103">
        <f t="shared" si="34"/>
        <v>3</v>
      </c>
      <c r="Q367" s="147" t="str">
        <f t="shared" si="35"/>
        <v>Cement clinker: Clinker output (Method B)</v>
      </c>
      <c r="R367" s="17"/>
      <c r="S367" s="17" t="str">
        <f t="shared" si="36"/>
        <v>EF_Cement clinker: Clinker output (Method B)</v>
      </c>
      <c r="X367" s="69"/>
      <c r="Z367" s="21" t="b">
        <f t="shared" si="29"/>
        <v>0</v>
      </c>
      <c r="AL367" s="624">
        <v>1</v>
      </c>
      <c r="AM367" s="624">
        <v>1</v>
      </c>
      <c r="AN367" s="624" t="s">
        <v>992</v>
      </c>
      <c r="AO367" s="624" t="s">
        <v>992</v>
      </c>
      <c r="AP367" s="624">
        <v>2</v>
      </c>
    </row>
    <row r="368" spans="1:42" ht="12.75" customHeight="1" outlineLevel="1" x14ac:dyDescent="0.2">
      <c r="A368" s="21">
        <v>32</v>
      </c>
      <c r="B368" s="611" t="str">
        <f t="shared" si="37"/>
        <v>Production of cement clinker</v>
      </c>
      <c r="C368" s="17" t="str">
        <f t="shared" si="37"/>
        <v>Cement clinker</v>
      </c>
      <c r="D368" s="17" t="str">
        <f t="shared" si="37"/>
        <v>CKD</v>
      </c>
      <c r="E368" s="17"/>
      <c r="F368" s="151" t="str">
        <f t="shared" si="26"/>
        <v>Standard method: Process, Article 24(2)</v>
      </c>
      <c r="G368" s="103">
        <v>1</v>
      </c>
      <c r="H368" s="613" t="str">
        <f>Translations!$B$1082</f>
        <v>0.525 t CO2/t dust.</v>
      </c>
      <c r="I368" s="613" t="str">
        <f>Translations!$B$527</f>
        <v>Laboratory analyses</v>
      </c>
      <c r="J368" s="150"/>
      <c r="K368" s="150"/>
      <c r="L368" s="613"/>
      <c r="M368" s="613"/>
      <c r="N368" s="613"/>
      <c r="O368" s="148"/>
      <c r="P368" s="103">
        <f t="shared" si="34"/>
        <v>2</v>
      </c>
      <c r="Q368" s="147" t="str">
        <f t="shared" si="35"/>
        <v>Cement clinker: CKD</v>
      </c>
      <c r="R368" s="17"/>
      <c r="S368" s="17" t="str">
        <f t="shared" si="36"/>
        <v>EF_Cement clinker: CKD</v>
      </c>
      <c r="X368" s="69"/>
      <c r="Z368" s="21" t="b">
        <f t="shared" si="29"/>
        <v>0</v>
      </c>
      <c r="AL368" s="624">
        <v>1</v>
      </c>
      <c r="AM368" s="624">
        <v>2</v>
      </c>
      <c r="AN368" s="624" t="s">
        <v>992</v>
      </c>
      <c r="AO368" s="624" t="s">
        <v>992</v>
      </c>
      <c r="AP368" s="624" t="s">
        <v>992</v>
      </c>
    </row>
    <row r="369" spans="1:42" ht="12.75" customHeight="1" outlineLevel="1" x14ac:dyDescent="0.2">
      <c r="A369" s="21">
        <v>33</v>
      </c>
      <c r="B369" s="611" t="str">
        <f t="shared" si="37"/>
        <v>Production of cement clinker</v>
      </c>
      <c r="C369" s="17" t="str">
        <f t="shared" si="37"/>
        <v>Cement clinker</v>
      </c>
      <c r="D369" s="17" t="str">
        <f t="shared" si="37"/>
        <v>Non-carbonate carbon</v>
      </c>
      <c r="E369" s="17"/>
      <c r="F369" s="151" t="str">
        <f t="shared" ref="F369:F397" si="38">F297</f>
        <v>Standard method: Process, Article 24(2)</v>
      </c>
      <c r="G369" s="103">
        <v>1</v>
      </c>
      <c r="H369" s="613" t="str">
        <f>Translations!$B$1085</f>
        <v>Best practice</v>
      </c>
      <c r="I369" s="613" t="str">
        <f>Translations!$B$527</f>
        <v>Laboratory analyses</v>
      </c>
      <c r="J369" s="150"/>
      <c r="K369" s="150"/>
      <c r="L369" s="613"/>
      <c r="M369" s="613"/>
      <c r="N369" s="613"/>
      <c r="O369" s="148"/>
      <c r="P369" s="103">
        <f t="shared" si="34"/>
        <v>2</v>
      </c>
      <c r="Q369" s="147" t="str">
        <f t="shared" si="35"/>
        <v>Cement clinker: Non-carbonate carbon</v>
      </c>
      <c r="R369" s="17"/>
      <c r="S369" s="17" t="str">
        <f t="shared" si="36"/>
        <v>EF_Cement clinker: Non-carbonate carbon</v>
      </c>
      <c r="Z369" s="21" t="b">
        <f t="shared" si="29"/>
        <v>0</v>
      </c>
      <c r="AL369" s="624">
        <v>2</v>
      </c>
      <c r="AM369" s="624">
        <v>2</v>
      </c>
      <c r="AN369" s="624" t="s">
        <v>992</v>
      </c>
      <c r="AO369" s="624" t="s">
        <v>992</v>
      </c>
      <c r="AP369" s="624" t="s">
        <v>992</v>
      </c>
    </row>
    <row r="370" spans="1:42" ht="12.75" customHeight="1" outlineLevel="1" x14ac:dyDescent="0.2">
      <c r="A370" s="21">
        <v>34</v>
      </c>
      <c r="B370" s="611" t="str">
        <f t="shared" si="37"/>
        <v>Production of lime, or calcination of dolomite/magnesite</v>
      </c>
      <c r="C370" s="17" t="str">
        <f t="shared" si="37"/>
        <v>Lime / dolomite / magnesite</v>
      </c>
      <c r="D370" s="17" t="str">
        <f t="shared" si="37"/>
        <v>Process (method A): carbonate only</v>
      </c>
      <c r="E370" s="602"/>
      <c r="F370" s="151" t="str">
        <f t="shared" si="38"/>
        <v>Standard method: Process, Article 24(2)</v>
      </c>
      <c r="G370" s="103">
        <v>1</v>
      </c>
      <c r="H370" s="612" t="str">
        <f>Translations!$B$493</f>
        <v>Type I default values</v>
      </c>
      <c r="I370" s="612" t="str">
        <f>Translations!$B$528</f>
        <v>Type II default values</v>
      </c>
      <c r="J370" s="612"/>
      <c r="K370" s="612"/>
      <c r="L370" s="612" t="str">
        <f>Translations!$B$527</f>
        <v>Laboratory analyses</v>
      </c>
      <c r="M370" s="612"/>
      <c r="N370" s="612"/>
      <c r="O370" s="148"/>
      <c r="P370" s="103">
        <f t="shared" si="34"/>
        <v>3</v>
      </c>
      <c r="Q370" s="147" t="str">
        <f t="shared" si="35"/>
        <v>Lime / dolomite / magnesite: Process (method A): carbonate only</v>
      </c>
      <c r="R370" s="17"/>
      <c r="S370" s="17" t="str">
        <f t="shared" si="36"/>
        <v>EF_Lime / dolomite / magnesite: Process (method A): carbonate only</v>
      </c>
      <c r="Z370" s="21" t="b">
        <f t="shared" si="29"/>
        <v>0</v>
      </c>
      <c r="AL370" s="624">
        <v>1</v>
      </c>
      <c r="AM370" s="624">
        <v>1</v>
      </c>
      <c r="AN370" s="624" t="s">
        <v>992</v>
      </c>
      <c r="AO370" s="624" t="s">
        <v>992</v>
      </c>
      <c r="AP370" s="624">
        <v>2</v>
      </c>
    </row>
    <row r="371" spans="1:42" ht="12.75" customHeight="1" outlineLevel="1" x14ac:dyDescent="0.2">
      <c r="A371" s="21">
        <v>35</v>
      </c>
      <c r="B371" s="611" t="str">
        <f t="shared" si="37"/>
        <v>Production of lime, or calcination of dolomite/magnesite</v>
      </c>
      <c r="C371" s="17" t="str">
        <f t="shared" si="37"/>
        <v>Lime / dolomite / magnesite</v>
      </c>
      <c r="D371" s="17" t="str">
        <f t="shared" si="37"/>
        <v>Process (method A): mixed (carbonate + non-carbonate)</v>
      </c>
      <c r="E371" s="602"/>
      <c r="F371" s="151" t="str">
        <f t="shared" si="38"/>
        <v>Standard method: Process, Article 24(2)</v>
      </c>
      <c r="G371" s="103">
        <v>1</v>
      </c>
      <c r="H371" s="612" t="str">
        <f>EUconst_NA</f>
        <v>n.a.</v>
      </c>
      <c r="I371" s="612" t="str">
        <f>EUconst_NA</f>
        <v>n.a.</v>
      </c>
      <c r="J371" s="612"/>
      <c r="K371" s="612"/>
      <c r="L371" s="612" t="str">
        <f>Translations!$B$527</f>
        <v>Laboratory analyses</v>
      </c>
      <c r="M371" s="612"/>
      <c r="N371" s="612"/>
      <c r="O371" s="148"/>
      <c r="P371" s="103">
        <f t="shared" si="34"/>
        <v>3</v>
      </c>
      <c r="Q371" s="147" t="str">
        <f t="shared" si="35"/>
        <v>Lime / dolomite / magnesite: Process (method A): mixed (carbonate + non-carbonate)</v>
      </c>
      <c r="R371" s="17"/>
      <c r="S371" s="17" t="str">
        <f t="shared" si="36"/>
        <v>EF_Lime / dolomite / magnesite: Process (method A): mixed (carbonate + non-carbonate)</v>
      </c>
      <c r="Z371" s="21" t="b">
        <f t="shared" si="29"/>
        <v>0</v>
      </c>
      <c r="AL371" s="624" t="str">
        <f>Translations!$B$530</f>
        <v>n.a.</v>
      </c>
      <c r="AM371" s="624" t="str">
        <f>Translations!$B$530</f>
        <v>n.a.</v>
      </c>
      <c r="AN371" s="624" t="s">
        <v>992</v>
      </c>
      <c r="AO371" s="624" t="s">
        <v>992</v>
      </c>
      <c r="AP371" s="624">
        <v>2</v>
      </c>
    </row>
    <row r="372" spans="1:42" ht="12.75" customHeight="1" outlineLevel="1" x14ac:dyDescent="0.2">
      <c r="A372" s="21">
        <v>36</v>
      </c>
      <c r="B372" s="611" t="str">
        <f t="shared" si="37"/>
        <v>Production of lime, or calcination of dolomite/magnesite</v>
      </c>
      <c r="C372" s="17" t="str">
        <f t="shared" si="37"/>
        <v>Lime / dolomite / magnesite</v>
      </c>
      <c r="D372" s="17" t="str">
        <f t="shared" si="37"/>
        <v>Process (method A): non-carbonate</v>
      </c>
      <c r="E372" s="602"/>
      <c r="F372" s="151" t="str">
        <f t="shared" si="38"/>
        <v>Standard method: Process, Article 24(2)</v>
      </c>
      <c r="G372" s="103">
        <v>1</v>
      </c>
      <c r="H372" s="612" t="str">
        <f>Translations!$B$1085</f>
        <v>Best practice</v>
      </c>
      <c r="I372" s="612" t="str">
        <f>Translations!$B$527</f>
        <v>Laboratory analyses</v>
      </c>
      <c r="J372" s="612"/>
      <c r="K372" s="612"/>
      <c r="L372" s="612"/>
      <c r="M372" s="612"/>
      <c r="N372" s="612"/>
      <c r="O372" s="148"/>
      <c r="P372" s="103">
        <f t="shared" si="34"/>
        <v>2</v>
      </c>
      <c r="Q372" s="147" t="str">
        <f t="shared" si="35"/>
        <v>Lime / dolomite / magnesite: Process (method A): non-carbonate</v>
      </c>
      <c r="R372" s="17"/>
      <c r="S372" s="17" t="str">
        <f t="shared" si="36"/>
        <v>EF_Lime / dolomite / magnesite: Process (method A): non-carbonate</v>
      </c>
      <c r="Z372" s="21" t="b">
        <f t="shared" si="29"/>
        <v>0</v>
      </c>
      <c r="AL372" s="624">
        <v>2</v>
      </c>
      <c r="AM372" s="624">
        <v>2</v>
      </c>
      <c r="AN372" s="624" t="s">
        <v>992</v>
      </c>
      <c r="AO372" s="624" t="s">
        <v>992</v>
      </c>
      <c r="AP372" s="624" t="s">
        <v>992</v>
      </c>
    </row>
    <row r="373" spans="1:42" ht="12.75" customHeight="1" outlineLevel="1" x14ac:dyDescent="0.2">
      <c r="A373" s="21">
        <v>37</v>
      </c>
      <c r="B373" s="611" t="str">
        <f t="shared" si="37"/>
        <v>Production of lime, or calcination of dolomite/magnesite</v>
      </c>
      <c r="C373" s="17" t="str">
        <f t="shared" si="37"/>
        <v>Lime / dolomite / magnesite</v>
      </c>
      <c r="D373" s="17" t="str">
        <f t="shared" si="37"/>
        <v>Process (method B): oxide output</v>
      </c>
      <c r="E373" s="602"/>
      <c r="F373" s="151" t="str">
        <f t="shared" si="38"/>
        <v>Standard method: Process, Article 24(2)</v>
      </c>
      <c r="G373" s="103">
        <v>1</v>
      </c>
      <c r="H373" s="613" t="str">
        <f>Translations!$B$493</f>
        <v>Type I default values</v>
      </c>
      <c r="I373" s="613" t="str">
        <f>Translations!$B$528</f>
        <v>Type II default values</v>
      </c>
      <c r="J373" s="150"/>
      <c r="K373" s="150"/>
      <c r="L373" s="613" t="str">
        <f>Translations!$B$527</f>
        <v>Laboratory analyses</v>
      </c>
      <c r="M373" s="613"/>
      <c r="N373" s="613"/>
      <c r="O373" s="148"/>
      <c r="P373" s="103">
        <f t="shared" si="34"/>
        <v>3</v>
      </c>
      <c r="Q373" s="147" t="str">
        <f t="shared" si="35"/>
        <v>Lime / dolomite / magnesite: Process (method B): oxide output</v>
      </c>
      <c r="R373" s="17"/>
      <c r="S373" s="17" t="str">
        <f t="shared" si="36"/>
        <v>EF_Lime / dolomite / magnesite: Process (method B): oxide output</v>
      </c>
      <c r="Z373" s="21" t="b">
        <f t="shared" si="29"/>
        <v>0</v>
      </c>
      <c r="AL373" s="624">
        <v>1</v>
      </c>
      <c r="AM373" s="624">
        <v>1</v>
      </c>
      <c r="AN373" s="624" t="s">
        <v>992</v>
      </c>
      <c r="AO373" s="624" t="s">
        <v>992</v>
      </c>
      <c r="AP373" s="624">
        <v>2</v>
      </c>
    </row>
    <row r="374" spans="1:42" ht="12.75" customHeight="1" outlineLevel="1" x14ac:dyDescent="0.2">
      <c r="A374" s="21">
        <v>38</v>
      </c>
      <c r="B374" s="611" t="str">
        <f t="shared" si="37"/>
        <v>Production of lime, or calcination of dolomite/magnesite</v>
      </c>
      <c r="C374" s="17" t="str">
        <f t="shared" si="37"/>
        <v>Lime / dolomite / magnesite</v>
      </c>
      <c r="D374" s="17" t="str">
        <f t="shared" si="37"/>
        <v>Kiln dust (Method B)</v>
      </c>
      <c r="E374" s="17"/>
      <c r="F374" s="151" t="str">
        <f t="shared" si="38"/>
        <v>Standard method: Process, Article 24(2)</v>
      </c>
      <c r="G374" s="103">
        <v>1</v>
      </c>
      <c r="H374" s="613" t="str">
        <f>Translations!$B$493</f>
        <v>Type I default values</v>
      </c>
      <c r="I374" s="613" t="str">
        <f>Translations!$B$528</f>
        <v>Type II default values</v>
      </c>
      <c r="J374" s="150"/>
      <c r="K374" s="150"/>
      <c r="L374" s="613" t="str">
        <f>Translations!$B$527</f>
        <v>Laboratory analyses</v>
      </c>
      <c r="M374" s="613"/>
      <c r="N374" s="613"/>
      <c r="O374" s="148"/>
      <c r="P374" s="103">
        <f t="shared" si="34"/>
        <v>3</v>
      </c>
      <c r="Q374" s="147" t="str">
        <f t="shared" si="35"/>
        <v>Lime / dolomite / magnesite: Kiln dust (Method B)</v>
      </c>
      <c r="R374" s="17"/>
      <c r="S374" s="17" t="str">
        <f t="shared" si="36"/>
        <v>EF_Lime / dolomite / magnesite: Kiln dust (Method B)</v>
      </c>
      <c r="Z374" s="21" t="b">
        <f t="shared" si="29"/>
        <v>0</v>
      </c>
      <c r="AL374" s="624">
        <v>1</v>
      </c>
      <c r="AM374" s="624">
        <v>1</v>
      </c>
      <c r="AN374" s="624" t="s">
        <v>992</v>
      </c>
      <c r="AO374" s="624" t="s">
        <v>992</v>
      </c>
      <c r="AP374" s="624">
        <v>2</v>
      </c>
    </row>
    <row r="375" spans="1:42" ht="12.75" customHeight="1" outlineLevel="1" x14ac:dyDescent="0.2">
      <c r="A375" s="21">
        <v>39</v>
      </c>
      <c r="B375" s="611" t="str">
        <f t="shared" si="37"/>
        <v>Manufacture of glass</v>
      </c>
      <c r="C375" s="17" t="str">
        <f t="shared" si="37"/>
        <v>Glass and mineral wool</v>
      </c>
      <c r="D375" s="17" t="str">
        <f t="shared" si="37"/>
        <v>Process (method A): carbonate only</v>
      </c>
      <c r="E375" s="602"/>
      <c r="F375" s="151" t="str">
        <f t="shared" si="38"/>
        <v>Standard method: Process, Article 24(2)</v>
      </c>
      <c r="G375" s="103">
        <v>1</v>
      </c>
      <c r="H375" s="613" t="str">
        <f>Translations!$B$1085</f>
        <v>Best practice</v>
      </c>
      <c r="I375" s="613" t="str">
        <f>Translations!$B$527</f>
        <v>Laboratory analyses</v>
      </c>
      <c r="J375" s="612"/>
      <c r="K375" s="612"/>
      <c r="L375" s="612"/>
      <c r="M375" s="612"/>
      <c r="N375" s="612"/>
      <c r="O375" s="146"/>
      <c r="P375" s="103">
        <f t="shared" si="34"/>
        <v>2</v>
      </c>
      <c r="Q375" s="147" t="str">
        <f t="shared" si="35"/>
        <v>Glass and mineral wool: Process (method A): carbonate only</v>
      </c>
      <c r="R375" s="17"/>
      <c r="S375" s="17" t="str">
        <f t="shared" si="36"/>
        <v>EF_Glass and mineral wool: Process (method A): carbonate only</v>
      </c>
      <c r="Z375" s="21" t="b">
        <f t="shared" si="29"/>
        <v>0</v>
      </c>
      <c r="AL375" s="624">
        <v>2</v>
      </c>
      <c r="AM375" s="624">
        <v>2</v>
      </c>
      <c r="AN375" s="624" t="s">
        <v>992</v>
      </c>
      <c r="AO375" s="624" t="s">
        <v>992</v>
      </c>
      <c r="AP375" s="624" t="s">
        <v>992</v>
      </c>
    </row>
    <row r="376" spans="1:42" ht="12.75" customHeight="1" outlineLevel="1" x14ac:dyDescent="0.2">
      <c r="A376" s="21">
        <v>40</v>
      </c>
      <c r="B376" s="611" t="str">
        <f t="shared" si="37"/>
        <v>Manufacture of glass</v>
      </c>
      <c r="C376" s="17" t="str">
        <f t="shared" si="37"/>
        <v>Glass and mineral wool</v>
      </c>
      <c r="D376" s="17" t="str">
        <f t="shared" si="37"/>
        <v>Process (method A): mixed (carbonate + non-carbonate)</v>
      </c>
      <c r="E376" s="602"/>
      <c r="F376" s="151" t="str">
        <f t="shared" si="38"/>
        <v>Standard method: Process, Article 24(2)</v>
      </c>
      <c r="G376" s="103">
        <v>1</v>
      </c>
      <c r="H376" s="612" t="str">
        <f>EUconst_NA</f>
        <v>n.a.</v>
      </c>
      <c r="I376" s="612" t="str">
        <f>EUconst_NA</f>
        <v>n.a.</v>
      </c>
      <c r="J376" s="612"/>
      <c r="K376" s="612"/>
      <c r="L376" s="612" t="str">
        <f>Translations!$B$527</f>
        <v>Laboratory analyses</v>
      </c>
      <c r="M376" s="612"/>
      <c r="N376" s="612"/>
      <c r="O376" s="146"/>
      <c r="P376" s="103">
        <f t="shared" si="34"/>
        <v>3</v>
      </c>
      <c r="Q376" s="147" t="str">
        <f t="shared" si="35"/>
        <v>Glass and mineral wool: Process (method A): mixed (carbonate + non-carbonate)</v>
      </c>
      <c r="R376" s="17"/>
      <c r="S376" s="17" t="str">
        <f t="shared" si="36"/>
        <v>EF_Glass and mineral wool: Process (method A): mixed (carbonate + non-carbonate)</v>
      </c>
      <c r="Z376" s="21" t="b">
        <f t="shared" si="29"/>
        <v>0</v>
      </c>
      <c r="AL376" s="624" t="str">
        <f>Translations!$B$530</f>
        <v>n.a.</v>
      </c>
      <c r="AM376" s="624" t="str">
        <f>Translations!$B$530</f>
        <v>n.a.</v>
      </c>
      <c r="AN376" s="624" t="s">
        <v>992</v>
      </c>
      <c r="AO376" s="624" t="s">
        <v>992</v>
      </c>
      <c r="AP376" s="624">
        <v>2</v>
      </c>
    </row>
    <row r="377" spans="1:42" ht="12.75" customHeight="1" outlineLevel="1" x14ac:dyDescent="0.2">
      <c r="A377" s="21">
        <v>41</v>
      </c>
      <c r="B377" s="611" t="str">
        <f t="shared" ref="B377:D396" si="39">B305</f>
        <v>Manufacture of glass</v>
      </c>
      <c r="C377" s="17" t="str">
        <f t="shared" si="39"/>
        <v>Glass and mineral wool</v>
      </c>
      <c r="D377" s="17" t="str">
        <f t="shared" si="39"/>
        <v>Process (method A): non-carbonate</v>
      </c>
      <c r="E377" s="602"/>
      <c r="F377" s="151" t="str">
        <f t="shared" si="38"/>
        <v>Standard method: Process, Article 24(2)</v>
      </c>
      <c r="G377" s="103">
        <v>1</v>
      </c>
      <c r="H377" s="615" t="str">
        <f>Translations!$B$1070</f>
        <v>Type I default value &amp; best practice</v>
      </c>
      <c r="I377" s="615" t="str">
        <f>Translations!$B$527</f>
        <v>Laboratory analyses</v>
      </c>
      <c r="J377" s="612"/>
      <c r="K377" s="612"/>
      <c r="L377" s="612"/>
      <c r="M377" s="612"/>
      <c r="N377" s="612"/>
      <c r="O377" s="146"/>
      <c r="P377" s="103">
        <f t="shared" si="34"/>
        <v>2</v>
      </c>
      <c r="Q377" s="147" t="str">
        <f t="shared" si="35"/>
        <v>Glass and mineral wool: Process (method A): non-carbonate</v>
      </c>
      <c r="R377" s="17"/>
      <c r="S377" s="17" t="str">
        <f t="shared" si="36"/>
        <v>EF_Glass and mineral wool: Process (method A): non-carbonate</v>
      </c>
      <c r="Z377" s="21" t="b">
        <f t="shared" si="29"/>
        <v>0</v>
      </c>
      <c r="AL377" s="624">
        <v>1</v>
      </c>
      <c r="AM377" s="624">
        <v>2</v>
      </c>
      <c r="AN377" s="624" t="s">
        <v>992</v>
      </c>
      <c r="AO377" s="624" t="s">
        <v>992</v>
      </c>
      <c r="AP377" s="624" t="s">
        <v>992</v>
      </c>
    </row>
    <row r="378" spans="1:42" ht="12.75" customHeight="1" outlineLevel="1" x14ac:dyDescent="0.2">
      <c r="A378" s="21">
        <v>42</v>
      </c>
      <c r="B378" s="611" t="str">
        <f t="shared" si="39"/>
        <v>Manufacture of ceramics</v>
      </c>
      <c r="C378" s="17" t="str">
        <f t="shared" si="39"/>
        <v>Ceramics</v>
      </c>
      <c r="D378" s="17" t="str">
        <f t="shared" si="39"/>
        <v>Process (method A): carbonate only</v>
      </c>
      <c r="E378" s="602"/>
      <c r="F378" s="151" t="str">
        <f t="shared" si="38"/>
        <v>Standard method: Process, Article 24(2)</v>
      </c>
      <c r="G378" s="103">
        <v>1</v>
      </c>
      <c r="H378" s="613" t="str">
        <f>Translations!$B$1093</f>
        <v>0.08794 tonnes of CO2 per tonne of dry clay</v>
      </c>
      <c r="I378" s="613" t="str">
        <f>Translations!$B$1085</f>
        <v>Best practice</v>
      </c>
      <c r="J378" s="150"/>
      <c r="K378" s="150"/>
      <c r="L378" s="613" t="str">
        <f>Translations!$B$527</f>
        <v>Laboratory analyses</v>
      </c>
      <c r="M378" s="613"/>
      <c r="N378" s="613"/>
      <c r="O378" s="146"/>
      <c r="P378" s="103">
        <f t="shared" si="34"/>
        <v>3</v>
      </c>
      <c r="Q378" s="147" t="str">
        <f t="shared" si="35"/>
        <v>Ceramics: Process (method A): carbonate only</v>
      </c>
      <c r="R378" s="17"/>
      <c r="S378" s="17" t="str">
        <f t="shared" si="36"/>
        <v>EF_Ceramics: Process (method A): carbonate only</v>
      </c>
      <c r="Z378" s="21" t="b">
        <f t="shared" si="29"/>
        <v>0</v>
      </c>
      <c r="AL378" s="624">
        <v>1</v>
      </c>
      <c r="AM378" s="624">
        <v>2</v>
      </c>
      <c r="AN378" s="624" t="s">
        <v>992</v>
      </c>
      <c r="AO378" s="624" t="s">
        <v>992</v>
      </c>
      <c r="AP378" s="624">
        <v>2</v>
      </c>
    </row>
    <row r="379" spans="1:42" ht="12.75" customHeight="1" outlineLevel="1" x14ac:dyDescent="0.2">
      <c r="A379" s="21">
        <v>43</v>
      </c>
      <c r="B379" s="611" t="str">
        <f t="shared" si="39"/>
        <v>Manufacture of ceramics</v>
      </c>
      <c r="C379" s="17" t="str">
        <f t="shared" si="39"/>
        <v>Ceramics</v>
      </c>
      <c r="D379" s="17" t="str">
        <f t="shared" si="39"/>
        <v>Process (method A): mixed (carbonate + non-carbonate)</v>
      </c>
      <c r="E379" s="602"/>
      <c r="F379" s="151" t="str">
        <f t="shared" si="38"/>
        <v>Standard method: Process, Article 24(2)</v>
      </c>
      <c r="G379" s="103">
        <v>1</v>
      </c>
      <c r="H379" s="613" t="str">
        <f>Translations!$B$1093</f>
        <v>0.08794 tonnes of CO2 per tonne of dry clay</v>
      </c>
      <c r="I379" s="613" t="str">
        <f>Translations!$B$1085</f>
        <v>Best practice</v>
      </c>
      <c r="J379" s="150"/>
      <c r="K379" s="150"/>
      <c r="L379" s="613" t="str">
        <f>Translations!$B$527</f>
        <v>Laboratory analyses</v>
      </c>
      <c r="M379" s="613"/>
      <c r="N379" s="613"/>
      <c r="O379" s="148"/>
      <c r="P379" s="103">
        <f t="shared" si="34"/>
        <v>3</v>
      </c>
      <c r="Q379" s="147" t="str">
        <f t="shared" si="35"/>
        <v>Ceramics: Process (method A): mixed (carbonate + non-carbonate)</v>
      </c>
      <c r="R379" s="17"/>
      <c r="S379" s="17" t="str">
        <f t="shared" si="36"/>
        <v>EF_Ceramics: Process (method A): mixed (carbonate + non-carbonate)</v>
      </c>
      <c r="W379" s="226"/>
      <c r="X379" s="69"/>
      <c r="Z379" s="21" t="b">
        <f t="shared" si="29"/>
        <v>0</v>
      </c>
      <c r="AL379" s="624">
        <v>1</v>
      </c>
      <c r="AM379" s="624">
        <v>2</v>
      </c>
      <c r="AN379" s="624" t="s">
        <v>992</v>
      </c>
      <c r="AO379" s="624" t="s">
        <v>992</v>
      </c>
      <c r="AP379" s="624">
        <v>2</v>
      </c>
    </row>
    <row r="380" spans="1:42" ht="12.75" customHeight="1" outlineLevel="1" x14ac:dyDescent="0.2">
      <c r="A380" s="21">
        <v>44</v>
      </c>
      <c r="B380" s="611" t="str">
        <f t="shared" si="39"/>
        <v>Manufacture of ceramics</v>
      </c>
      <c r="C380" s="17" t="str">
        <f t="shared" si="39"/>
        <v>Ceramics</v>
      </c>
      <c r="D380" s="17" t="str">
        <f t="shared" si="39"/>
        <v>Process (method A): non-carbonate</v>
      </c>
      <c r="E380" s="602"/>
      <c r="F380" s="151" t="str">
        <f t="shared" si="38"/>
        <v>Standard method: Process, Article 24(2)</v>
      </c>
      <c r="G380" s="103">
        <v>1</v>
      </c>
      <c r="H380" s="613" t="str">
        <f>Translations!$B$1093</f>
        <v>0.08794 tonnes of CO2 per tonne of dry clay</v>
      </c>
      <c r="I380" s="613" t="str">
        <f>Translations!$B$1085</f>
        <v>Best practice</v>
      </c>
      <c r="J380" s="150"/>
      <c r="K380" s="150"/>
      <c r="L380" s="613" t="str">
        <f>Translations!$B$527</f>
        <v>Laboratory analyses</v>
      </c>
      <c r="M380" s="613"/>
      <c r="N380" s="613"/>
      <c r="O380" s="148"/>
      <c r="P380" s="103">
        <f t="shared" si="34"/>
        <v>3</v>
      </c>
      <c r="Q380" s="147" t="str">
        <f t="shared" si="35"/>
        <v>Ceramics: Process (method A): non-carbonate</v>
      </c>
      <c r="R380" s="17"/>
      <c r="S380" s="17" t="str">
        <f t="shared" si="36"/>
        <v>EF_Ceramics: Process (method A): non-carbonate</v>
      </c>
      <c r="W380" s="226"/>
      <c r="X380" s="69"/>
      <c r="Z380" s="21" t="b">
        <f t="shared" si="29"/>
        <v>0</v>
      </c>
      <c r="AL380" s="624">
        <v>1</v>
      </c>
      <c r="AM380" s="624">
        <v>2</v>
      </c>
      <c r="AN380" s="624" t="s">
        <v>992</v>
      </c>
      <c r="AO380" s="624" t="s">
        <v>992</v>
      </c>
      <c r="AP380" s="624">
        <v>2</v>
      </c>
    </row>
    <row r="381" spans="1:42" ht="12.75" customHeight="1" outlineLevel="1" x14ac:dyDescent="0.2">
      <c r="A381" s="21">
        <v>45</v>
      </c>
      <c r="B381" s="611" t="str">
        <f t="shared" si="39"/>
        <v>Manufacture of ceramics</v>
      </c>
      <c r="C381" s="17" t="str">
        <f t="shared" si="39"/>
        <v>Ceramics</v>
      </c>
      <c r="D381" s="17" t="str">
        <f t="shared" si="39"/>
        <v>Process (method B): oxide output</v>
      </c>
      <c r="E381" s="17"/>
      <c r="F381" s="151" t="str">
        <f t="shared" si="38"/>
        <v>Standard method: Process, Article 24(2)</v>
      </c>
      <c r="G381" s="103">
        <v>1</v>
      </c>
      <c r="H381" s="613" t="str">
        <f>Translations!$B$1096</f>
        <v>0.09642 tonnes of CO2 per tonne of product</v>
      </c>
      <c r="I381" s="613" t="str">
        <f>Translations!$B$1085</f>
        <v>Best practice</v>
      </c>
      <c r="J381" s="150"/>
      <c r="K381" s="150"/>
      <c r="L381" s="613" t="str">
        <f>Translations!$B$527</f>
        <v>Laboratory analyses</v>
      </c>
      <c r="M381" s="613"/>
      <c r="N381" s="613"/>
      <c r="O381" s="146"/>
      <c r="P381" s="103">
        <f t="shared" si="34"/>
        <v>3</v>
      </c>
      <c r="Q381" s="147" t="str">
        <f t="shared" si="35"/>
        <v>Ceramics: Process (method B): oxide output</v>
      </c>
      <c r="R381" s="17"/>
      <c r="S381" s="17" t="str">
        <f t="shared" si="36"/>
        <v>EF_Ceramics: Process (method B): oxide output</v>
      </c>
      <c r="Z381" s="21" t="b">
        <f t="shared" si="29"/>
        <v>0</v>
      </c>
      <c r="AL381" s="624">
        <v>1</v>
      </c>
      <c r="AM381" s="624">
        <v>2</v>
      </c>
      <c r="AN381" s="624" t="s">
        <v>992</v>
      </c>
      <c r="AO381" s="624" t="s">
        <v>992</v>
      </c>
      <c r="AP381" s="624">
        <v>2</v>
      </c>
    </row>
    <row r="382" spans="1:42" ht="12.75" customHeight="1" outlineLevel="1" x14ac:dyDescent="0.2">
      <c r="A382" s="21">
        <v>46</v>
      </c>
      <c r="B382" s="611" t="str">
        <f t="shared" si="39"/>
        <v>Manufacture of ceramics</v>
      </c>
      <c r="C382" s="17" t="str">
        <f t="shared" si="39"/>
        <v>Ceramics</v>
      </c>
      <c r="D382" s="17" t="str">
        <f t="shared" si="39"/>
        <v>Scrubbing</v>
      </c>
      <c r="E382" s="17"/>
      <c r="F382" s="151" t="str">
        <f t="shared" si="38"/>
        <v>Standard method: Process, Article 24(2)</v>
      </c>
      <c r="G382" s="103">
        <v>1</v>
      </c>
      <c r="H382" s="613" t="str">
        <f>Translations!$B$493</f>
        <v>Type I default values</v>
      </c>
      <c r="I382" s="146"/>
      <c r="J382" s="17"/>
      <c r="K382" s="17"/>
      <c r="L382" s="146"/>
      <c r="M382" s="146"/>
      <c r="N382" s="146"/>
      <c r="O382" s="146"/>
      <c r="P382" s="103">
        <f t="shared" si="34"/>
        <v>1</v>
      </c>
      <c r="Q382" s="147" t="str">
        <f t="shared" si="35"/>
        <v>Ceramics: Scrubbing</v>
      </c>
      <c r="R382" s="17"/>
      <c r="S382" s="17" t="str">
        <f t="shared" si="36"/>
        <v>EF_Ceramics: Scrubbing</v>
      </c>
      <c r="Z382" s="21" t="b">
        <f t="shared" si="29"/>
        <v>0</v>
      </c>
      <c r="AL382" s="624">
        <v>1</v>
      </c>
      <c r="AM382" s="624" t="s">
        <v>992</v>
      </c>
      <c r="AN382" s="624" t="s">
        <v>992</v>
      </c>
      <c r="AO382" s="624" t="s">
        <v>992</v>
      </c>
      <c r="AP382" s="624" t="s">
        <v>992</v>
      </c>
    </row>
    <row r="383" spans="1:42" ht="12.75" customHeight="1" outlineLevel="1" x14ac:dyDescent="0.2">
      <c r="A383" s="21">
        <v>47</v>
      </c>
      <c r="B383" s="611" t="str">
        <f t="shared" si="39"/>
        <v>Production of pulp</v>
      </c>
      <c r="C383" s="17" t="str">
        <f t="shared" si="39"/>
        <v>Pulp &amp; paper</v>
      </c>
      <c r="D383" s="17" t="str">
        <f t="shared" si="39"/>
        <v>Make up chemicals</v>
      </c>
      <c r="E383" s="17"/>
      <c r="F383" s="151" t="str">
        <f t="shared" si="38"/>
        <v>Standard method: Process, Article 24(2)</v>
      </c>
      <c r="G383" s="103">
        <v>1</v>
      </c>
      <c r="H383" s="613" t="str">
        <f>Translations!$B$1070</f>
        <v>Type I default value &amp; best practice</v>
      </c>
      <c r="I383" s="613" t="str">
        <f>Translations!$B$527</f>
        <v>Laboratory analyses</v>
      </c>
      <c r="J383" s="17"/>
      <c r="K383" s="17"/>
      <c r="L383" s="146"/>
      <c r="M383" s="146"/>
      <c r="N383" s="146"/>
      <c r="O383" s="146"/>
      <c r="P383" s="103">
        <f t="shared" si="34"/>
        <v>2</v>
      </c>
      <c r="Q383" s="147" t="str">
        <f t="shared" si="35"/>
        <v>Pulp &amp; paper: Make up chemicals</v>
      </c>
      <c r="R383" s="17"/>
      <c r="S383" s="17" t="str">
        <f t="shared" si="36"/>
        <v>EF_Pulp &amp; paper: Make up chemicals</v>
      </c>
      <c r="Z383" s="21" t="b">
        <f t="shared" si="29"/>
        <v>0</v>
      </c>
      <c r="AL383" s="624">
        <v>1</v>
      </c>
      <c r="AM383" s="624">
        <v>2</v>
      </c>
      <c r="AN383" s="624" t="s">
        <v>992</v>
      </c>
      <c r="AO383" s="624" t="s">
        <v>992</v>
      </c>
      <c r="AP383" s="624" t="s">
        <v>992</v>
      </c>
    </row>
    <row r="384" spans="1:42" ht="12.75" customHeight="1" outlineLevel="1" x14ac:dyDescent="0.2">
      <c r="A384" s="21">
        <v>48</v>
      </c>
      <c r="B384" s="611" t="str">
        <f t="shared" si="39"/>
        <v>Production of carbon black</v>
      </c>
      <c r="C384" s="17" t="str">
        <f t="shared" si="39"/>
        <v>Carbon black</v>
      </c>
      <c r="D384" s="17" t="str">
        <f t="shared" si="39"/>
        <v>Mass balance methodology</v>
      </c>
      <c r="E384" s="17"/>
      <c r="F384" s="151" t="str">
        <f t="shared" si="38"/>
        <v>Mass balance method, Article 25</v>
      </c>
      <c r="G384" s="103" t="str">
        <f>EUconst_NA</f>
        <v>n.a.</v>
      </c>
      <c r="H384" s="149"/>
      <c r="I384" s="149"/>
      <c r="J384" s="151"/>
      <c r="K384" s="151"/>
      <c r="L384" s="149"/>
      <c r="M384" s="149"/>
      <c r="N384" s="149"/>
      <c r="O384" s="150"/>
      <c r="P384" s="103" t="str">
        <f t="shared" si="34"/>
        <v>n.a.</v>
      </c>
      <c r="Q384" s="147" t="str">
        <f t="shared" si="35"/>
        <v>Carbon black: Mass balance methodology</v>
      </c>
      <c r="R384" s="17"/>
      <c r="S384" s="17" t="str">
        <f t="shared" si="36"/>
        <v>EF_Carbon black: Mass balance methodology</v>
      </c>
      <c r="Z384" s="21" t="b">
        <f t="shared" si="29"/>
        <v>1</v>
      </c>
      <c r="AL384" s="624" t="s">
        <v>992</v>
      </c>
      <c r="AM384" s="624" t="s">
        <v>992</v>
      </c>
      <c r="AN384" s="624" t="s">
        <v>992</v>
      </c>
      <c r="AO384" s="624" t="s">
        <v>992</v>
      </c>
      <c r="AP384" s="624" t="s">
        <v>992</v>
      </c>
    </row>
    <row r="385" spans="1:42" ht="12.75" customHeight="1" outlineLevel="1" x14ac:dyDescent="0.2">
      <c r="A385" s="21">
        <v>49</v>
      </c>
      <c r="B385" s="611" t="str">
        <f t="shared" si="39"/>
        <v>Production of ammonia</v>
      </c>
      <c r="C385" s="17" t="str">
        <f t="shared" si="39"/>
        <v>Ammonia</v>
      </c>
      <c r="D385" s="17" t="str">
        <f t="shared" si="39"/>
        <v>Fuel as process input</v>
      </c>
      <c r="E385" s="17"/>
      <c r="F385" s="151" t="str">
        <f t="shared" si="38"/>
        <v>Standard method: Fuel, Article 24(1)</v>
      </c>
      <c r="G385" s="152" t="s">
        <v>1531</v>
      </c>
      <c r="H385" s="613" t="str">
        <f>Translations!$B$493</f>
        <v>Type I default values</v>
      </c>
      <c r="I385" s="613"/>
      <c r="J385" s="150" t="str">
        <f>Translations!$B$528</f>
        <v>Type II default values</v>
      </c>
      <c r="K385" s="150" t="str">
        <f>Translations!$B$1061</f>
        <v>Established proxies (if applicable)</v>
      </c>
      <c r="L385" s="613" t="str">
        <f>Translations!$B$527</f>
        <v>Laboratory analyses</v>
      </c>
      <c r="M385" s="613"/>
      <c r="N385" s="613"/>
      <c r="O385" s="146"/>
      <c r="P385" s="103">
        <f t="shared" si="34"/>
        <v>3</v>
      </c>
      <c r="Q385" s="147" t="str">
        <f t="shared" si="35"/>
        <v>Ammonia: Fuel as process input</v>
      </c>
      <c r="R385" s="17"/>
      <c r="S385" s="17" t="str">
        <f t="shared" si="36"/>
        <v>EF_Ammonia: Fuel as process input</v>
      </c>
      <c r="Z385" s="21" t="b">
        <f t="shared" si="29"/>
        <v>0</v>
      </c>
      <c r="AL385" s="624">
        <v>1</v>
      </c>
      <c r="AM385" s="624" t="s">
        <v>992</v>
      </c>
      <c r="AN385" s="624">
        <v>1</v>
      </c>
      <c r="AO385" s="624">
        <v>2</v>
      </c>
      <c r="AP385" s="624">
        <v>2</v>
      </c>
    </row>
    <row r="386" spans="1:42" ht="12.75" customHeight="1" outlineLevel="1" x14ac:dyDescent="0.2">
      <c r="A386" s="21">
        <v>50</v>
      </c>
      <c r="B386" s="611" t="str">
        <f t="shared" si="39"/>
        <v>Production of hydrogen and synthesis gas</v>
      </c>
      <c r="C386" s="17" t="str">
        <f t="shared" si="39"/>
        <v>Hydrogen and synthesis gas</v>
      </c>
      <c r="D386" s="17" t="str">
        <f t="shared" si="39"/>
        <v>Fuel as process input</v>
      </c>
      <c r="E386" s="17"/>
      <c r="F386" s="151" t="str">
        <f t="shared" si="38"/>
        <v>Standard method: Fuel, Article 24(1)</v>
      </c>
      <c r="G386" s="152" t="s">
        <v>1531</v>
      </c>
      <c r="H386" s="613" t="str">
        <f>Translations!$B$493</f>
        <v>Type I default values</v>
      </c>
      <c r="I386" s="613"/>
      <c r="J386" s="150" t="str">
        <f>Translations!$B$528</f>
        <v>Type II default values</v>
      </c>
      <c r="K386" s="150" t="str">
        <f>Translations!$B$1061</f>
        <v>Established proxies (if applicable)</v>
      </c>
      <c r="L386" s="613" t="str">
        <f>Translations!$B$527</f>
        <v>Laboratory analyses</v>
      </c>
      <c r="M386" s="613"/>
      <c r="N386" s="613"/>
      <c r="O386" s="146"/>
      <c r="P386" s="103">
        <f t="shared" si="34"/>
        <v>3</v>
      </c>
      <c r="Q386" s="147" t="str">
        <f t="shared" si="35"/>
        <v>Hydrogen and synthesis gas: Fuel as process input</v>
      </c>
      <c r="R386" s="17"/>
      <c r="S386" s="17" t="str">
        <f t="shared" si="36"/>
        <v>EF_Hydrogen and synthesis gas: Fuel as process input</v>
      </c>
      <c r="Z386" s="21" t="b">
        <f t="shared" ref="Z386:Z392" si="40">IF(G386=EUconst_NA,TRUE,FALSE)</f>
        <v>0</v>
      </c>
      <c r="AL386" s="624">
        <v>1</v>
      </c>
      <c r="AM386" s="624" t="s">
        <v>992</v>
      </c>
      <c r="AN386" s="624">
        <v>1</v>
      </c>
      <c r="AO386" s="624">
        <v>2</v>
      </c>
      <c r="AP386" s="624">
        <v>2</v>
      </c>
    </row>
    <row r="387" spans="1:42" ht="12.75" customHeight="1" outlineLevel="1" x14ac:dyDescent="0.2">
      <c r="A387" s="21">
        <v>51</v>
      </c>
      <c r="B387" s="611" t="str">
        <f t="shared" si="39"/>
        <v>Production of hydrogen and synthesis gas</v>
      </c>
      <c r="C387" s="17" t="str">
        <f t="shared" si="39"/>
        <v>Hydrogen and synthesis gas</v>
      </c>
      <c r="D387" s="17" t="str">
        <f t="shared" si="39"/>
        <v>Mass balance methodology</v>
      </c>
      <c r="E387" s="17"/>
      <c r="F387" s="151" t="str">
        <f t="shared" si="38"/>
        <v>Mass balance method, Article 25</v>
      </c>
      <c r="G387" s="103" t="str">
        <f>EUconst_NA</f>
        <v>n.a.</v>
      </c>
      <c r="H387" s="149"/>
      <c r="I387" s="149"/>
      <c r="J387" s="151"/>
      <c r="K387" s="151"/>
      <c r="L387" s="149"/>
      <c r="M387" s="149"/>
      <c r="N387" s="149"/>
      <c r="O387" s="150"/>
      <c r="P387" s="103" t="str">
        <f t="shared" si="34"/>
        <v>n.a.</v>
      </c>
      <c r="Q387" s="147" t="str">
        <f t="shared" si="35"/>
        <v>Hydrogen and synthesis gas: Mass balance methodology</v>
      </c>
      <c r="R387" s="17"/>
      <c r="S387" s="17" t="str">
        <f t="shared" si="36"/>
        <v>EF_Hydrogen and synthesis gas: Mass balance methodology</v>
      </c>
      <c r="Z387" s="21" t="b">
        <f t="shared" si="40"/>
        <v>1</v>
      </c>
      <c r="AL387" s="624" t="s">
        <v>992</v>
      </c>
      <c r="AM387" s="624" t="s">
        <v>992</v>
      </c>
      <c r="AN387" s="624" t="s">
        <v>992</v>
      </c>
      <c r="AO387" s="624" t="s">
        <v>992</v>
      </c>
      <c r="AP387" s="624" t="s">
        <v>992</v>
      </c>
    </row>
    <row r="388" spans="1:42" ht="12.75" customHeight="1" outlineLevel="1" x14ac:dyDescent="0.2">
      <c r="A388" s="21">
        <v>52</v>
      </c>
      <c r="B388" s="611" t="str">
        <f t="shared" si="39"/>
        <v>Production of bulk chemicals</v>
      </c>
      <c r="C388" s="17" t="str">
        <f t="shared" si="39"/>
        <v>Bulk organic chemicals</v>
      </c>
      <c r="D388" s="17" t="str">
        <f t="shared" si="39"/>
        <v>Mass balance methodology</v>
      </c>
      <c r="E388" s="17"/>
      <c r="F388" s="151" t="str">
        <f t="shared" si="38"/>
        <v>Mass balance method, Article 25</v>
      </c>
      <c r="G388" s="103" t="str">
        <f>EUconst_NA</f>
        <v>n.a.</v>
      </c>
      <c r="H388" s="149"/>
      <c r="I388" s="149"/>
      <c r="J388" s="151"/>
      <c r="K388" s="151"/>
      <c r="L388" s="149"/>
      <c r="M388" s="149"/>
      <c r="N388" s="149"/>
      <c r="O388" s="150"/>
      <c r="P388" s="103" t="str">
        <f t="shared" si="34"/>
        <v>n.a.</v>
      </c>
      <c r="Q388" s="147" t="str">
        <f t="shared" si="35"/>
        <v>Bulk organic chemicals: Mass balance methodology</v>
      </c>
      <c r="R388" s="17"/>
      <c r="S388" s="17" t="str">
        <f t="shared" si="36"/>
        <v>EF_Bulk organic chemicals: Mass balance methodology</v>
      </c>
      <c r="Z388" s="21" t="b">
        <f t="shared" si="40"/>
        <v>1</v>
      </c>
      <c r="AL388" s="624" t="s">
        <v>992</v>
      </c>
      <c r="AM388" s="624" t="s">
        <v>992</v>
      </c>
      <c r="AN388" s="624" t="s">
        <v>992</v>
      </c>
      <c r="AO388" s="624" t="s">
        <v>992</v>
      </c>
      <c r="AP388" s="624" t="s">
        <v>992</v>
      </c>
    </row>
    <row r="389" spans="1:42" ht="12.75" customHeight="1" outlineLevel="1" x14ac:dyDescent="0.2">
      <c r="A389" s="21">
        <v>53</v>
      </c>
      <c r="B389" s="611" t="str">
        <f t="shared" si="39"/>
        <v>Production or processing of ferrous metals</v>
      </c>
      <c r="C389" s="17" t="str">
        <f t="shared" si="39"/>
        <v>(Non) ferrous, sec. aluminium</v>
      </c>
      <c r="D389" s="17" t="str">
        <f t="shared" si="39"/>
        <v>Process (method A): carbonate only</v>
      </c>
      <c r="E389" s="602"/>
      <c r="F389" s="151" t="str">
        <f t="shared" si="38"/>
        <v>Standard method: Process, Article 24(2)</v>
      </c>
      <c r="G389" s="103">
        <v>1</v>
      </c>
      <c r="H389" s="612" t="str">
        <f>Translations!$B$493</f>
        <v>Type I default values</v>
      </c>
      <c r="I389" s="612" t="str">
        <f>Translations!$B$528</f>
        <v>Type II default values</v>
      </c>
      <c r="J389" s="612"/>
      <c r="K389" s="612"/>
      <c r="L389" s="612" t="str">
        <f>Translations!$B$527</f>
        <v>Laboratory analyses</v>
      </c>
      <c r="M389" s="612"/>
      <c r="N389" s="612"/>
      <c r="O389" s="146"/>
      <c r="P389" s="103">
        <f t="shared" si="34"/>
        <v>3</v>
      </c>
      <c r="Q389" s="147" t="str">
        <f t="shared" si="35"/>
        <v>(Non) ferrous, sec. aluminium: Process (method A): carbonate only</v>
      </c>
      <c r="R389" s="17"/>
      <c r="S389" s="17" t="str">
        <f t="shared" si="36"/>
        <v>EF_(Non) ferrous, sec. aluminium: Process (method A): carbonate only</v>
      </c>
      <c r="Z389" s="21" t="b">
        <f t="shared" si="40"/>
        <v>0</v>
      </c>
      <c r="AL389" s="624">
        <v>1</v>
      </c>
      <c r="AM389" s="624">
        <v>1</v>
      </c>
      <c r="AN389" s="624" t="s">
        <v>992</v>
      </c>
      <c r="AO389" s="624" t="s">
        <v>992</v>
      </c>
      <c r="AP389" s="624">
        <v>2</v>
      </c>
    </row>
    <row r="390" spans="1:42" ht="12.75" customHeight="1" outlineLevel="1" x14ac:dyDescent="0.2">
      <c r="A390" s="21">
        <v>54</v>
      </c>
      <c r="B390" s="611" t="str">
        <f t="shared" si="39"/>
        <v>Production or processing of ferrous metals</v>
      </c>
      <c r="C390" s="17" t="str">
        <f t="shared" si="39"/>
        <v>(Non) ferrous, sec. aluminium</v>
      </c>
      <c r="D390" s="17" t="str">
        <f t="shared" si="39"/>
        <v>Process (method A): mixed (carbonate + non-carbonate)</v>
      </c>
      <c r="E390" s="602"/>
      <c r="F390" s="151" t="str">
        <f t="shared" si="38"/>
        <v>Standard method: Process, Article 24(2)</v>
      </c>
      <c r="G390" s="103">
        <v>1</v>
      </c>
      <c r="H390" s="612" t="str">
        <f>EUconst_NA</f>
        <v>n.a.</v>
      </c>
      <c r="I390" s="612" t="str">
        <f>EUconst_NA</f>
        <v>n.a.</v>
      </c>
      <c r="J390" s="612"/>
      <c r="K390" s="612"/>
      <c r="L390" s="612" t="str">
        <f>Translations!$B$527</f>
        <v>Laboratory analyses</v>
      </c>
      <c r="M390" s="612"/>
      <c r="N390" s="612"/>
      <c r="O390" s="146"/>
      <c r="P390" s="103">
        <f t="shared" si="34"/>
        <v>3</v>
      </c>
      <c r="Q390" s="147" t="str">
        <f t="shared" si="35"/>
        <v>(Non) ferrous, sec. aluminium: Process (method A): mixed (carbonate + non-carbonate)</v>
      </c>
      <c r="R390" s="17"/>
      <c r="S390" s="17" t="str">
        <f t="shared" si="36"/>
        <v>EF_(Non) ferrous, sec. aluminium: Process (method A): mixed (carbonate + non-carbonate)</v>
      </c>
      <c r="Z390" s="21" t="b">
        <f t="shared" si="40"/>
        <v>0</v>
      </c>
      <c r="AL390" s="624" t="str">
        <f>Translations!$B$530</f>
        <v>n.a.</v>
      </c>
      <c r="AM390" s="624" t="str">
        <f>Translations!$B$530</f>
        <v>n.a.</v>
      </c>
      <c r="AN390" s="624" t="s">
        <v>992</v>
      </c>
      <c r="AO390" s="624" t="s">
        <v>992</v>
      </c>
      <c r="AP390" s="624">
        <v>2</v>
      </c>
    </row>
    <row r="391" spans="1:42" ht="12.75" customHeight="1" outlineLevel="1" x14ac:dyDescent="0.2">
      <c r="A391" s="21">
        <v>55</v>
      </c>
      <c r="B391" s="611" t="str">
        <f t="shared" si="39"/>
        <v>Production or processing of ferrous metals</v>
      </c>
      <c r="C391" s="17" t="str">
        <f t="shared" si="39"/>
        <v>(Non) ferrous, sec. aluminium</v>
      </c>
      <c r="D391" s="17" t="str">
        <f t="shared" si="39"/>
        <v>Process (method A): non-carbonate</v>
      </c>
      <c r="E391" s="602"/>
      <c r="F391" s="151" t="str">
        <f t="shared" si="38"/>
        <v>Standard method: Process, Article 24(2)</v>
      </c>
      <c r="G391" s="103">
        <v>1</v>
      </c>
      <c r="H391" s="612" t="str">
        <f>Translations!$B$493</f>
        <v>Type I default values</v>
      </c>
      <c r="I391" s="612" t="str">
        <f>Translations!$B$528</f>
        <v>Type II default values</v>
      </c>
      <c r="J391" s="612"/>
      <c r="K391" s="612"/>
      <c r="L391" s="612" t="str">
        <f>Translations!$B$527</f>
        <v>Laboratory analyses</v>
      </c>
      <c r="M391" s="612"/>
      <c r="N391" s="612"/>
      <c r="O391" s="146"/>
      <c r="P391" s="103">
        <f t="shared" si="34"/>
        <v>3</v>
      </c>
      <c r="Q391" s="147" t="str">
        <f t="shared" si="35"/>
        <v>(Non) ferrous, sec. aluminium: Process (method A): non-carbonate</v>
      </c>
      <c r="R391" s="17"/>
      <c r="S391" s="17" t="str">
        <f t="shared" si="36"/>
        <v>EF_(Non) ferrous, sec. aluminium: Process (method A): non-carbonate</v>
      </c>
      <c r="Z391" s="21" t="b">
        <f t="shared" si="40"/>
        <v>0</v>
      </c>
      <c r="AL391" s="624">
        <v>1</v>
      </c>
      <c r="AM391" s="624">
        <v>1</v>
      </c>
      <c r="AN391" s="624" t="s">
        <v>992</v>
      </c>
      <c r="AO391" s="624" t="s">
        <v>992</v>
      </c>
      <c r="AP391" s="624">
        <v>2</v>
      </c>
    </row>
    <row r="392" spans="1:42" ht="12.75" customHeight="1" outlineLevel="1" x14ac:dyDescent="0.2">
      <c r="A392" s="21">
        <v>56</v>
      </c>
      <c r="B392" s="611" t="str">
        <f t="shared" si="39"/>
        <v>Production or processing of ferrous metals</v>
      </c>
      <c r="C392" s="17" t="str">
        <f t="shared" si="39"/>
        <v>(Non) ferrous, sec. aluminium</v>
      </c>
      <c r="D392" s="17" t="str">
        <f t="shared" si="39"/>
        <v>Process (method B): oxide output</v>
      </c>
      <c r="E392" s="602"/>
      <c r="F392" s="151" t="str">
        <f t="shared" si="38"/>
        <v>Standard method: Process, Article 24(2)</v>
      </c>
      <c r="G392" s="103">
        <v>1</v>
      </c>
      <c r="H392" s="612" t="str">
        <f>Translations!$B$493</f>
        <v>Type I default values</v>
      </c>
      <c r="I392" s="612" t="str">
        <f>Translations!$B$528</f>
        <v>Type II default values</v>
      </c>
      <c r="J392" s="612"/>
      <c r="K392" s="612"/>
      <c r="L392" s="612" t="str">
        <f>Translations!$B$527</f>
        <v>Laboratory analyses</v>
      </c>
      <c r="M392" s="612"/>
      <c r="N392" s="612"/>
      <c r="O392" s="146"/>
      <c r="P392" s="103">
        <f t="shared" si="34"/>
        <v>3</v>
      </c>
      <c r="Q392" s="147" t="str">
        <f t="shared" si="35"/>
        <v>(Non) ferrous, sec. aluminium: Process (method B): oxide output</v>
      </c>
      <c r="R392" s="17"/>
      <c r="S392" s="17" t="str">
        <f t="shared" si="36"/>
        <v>EF_(Non) ferrous, sec. aluminium: Process (method B): oxide output</v>
      </c>
      <c r="Z392" s="21" t="b">
        <f t="shared" si="40"/>
        <v>0</v>
      </c>
      <c r="AL392" s="624">
        <v>1</v>
      </c>
      <c r="AM392" s="624">
        <v>1</v>
      </c>
      <c r="AN392" s="624" t="s">
        <v>992</v>
      </c>
      <c r="AO392" s="624" t="s">
        <v>992</v>
      </c>
      <c r="AP392" s="624">
        <v>2</v>
      </c>
    </row>
    <row r="393" spans="1:42" ht="12.75" customHeight="1" outlineLevel="1" x14ac:dyDescent="0.2">
      <c r="A393" s="21">
        <v>57</v>
      </c>
      <c r="B393" s="611" t="str">
        <f t="shared" si="39"/>
        <v>Production or processing of ferrous metals</v>
      </c>
      <c r="C393" s="17" t="str">
        <f t="shared" si="39"/>
        <v>(Non) ferrous, sec. aluminium</v>
      </c>
      <c r="D393" s="17" t="str">
        <f t="shared" si="39"/>
        <v>Mass balance methodology</v>
      </c>
      <c r="E393" s="17"/>
      <c r="F393" s="151" t="str">
        <f t="shared" si="38"/>
        <v>Mass balance method, Article 25</v>
      </c>
      <c r="G393" s="103" t="str">
        <f>EUconst_NA</f>
        <v>n.a.</v>
      </c>
      <c r="H393" s="149"/>
      <c r="I393" s="149"/>
      <c r="J393" s="151"/>
      <c r="K393" s="151"/>
      <c r="L393" s="149"/>
      <c r="M393" s="149"/>
      <c r="N393" s="149"/>
      <c r="O393" s="150"/>
      <c r="P393" s="103" t="str">
        <f t="shared" si="34"/>
        <v>n.a.</v>
      </c>
      <c r="Q393" s="147" t="str">
        <f t="shared" si="35"/>
        <v>(Non) ferrous, sec. aluminium: Mass balance methodology</v>
      </c>
      <c r="R393" s="17"/>
      <c r="S393" s="17" t="str">
        <f t="shared" si="36"/>
        <v>EF_(Non) ferrous, sec. aluminium: Mass balance methodology</v>
      </c>
      <c r="Z393" s="21" t="b">
        <f>IF(G393=EUconst_NA,TRUE,FALSE)</f>
        <v>1</v>
      </c>
      <c r="AL393" s="624" t="s">
        <v>992</v>
      </c>
      <c r="AM393" s="624" t="s">
        <v>992</v>
      </c>
      <c r="AN393" s="624" t="s">
        <v>992</v>
      </c>
      <c r="AO393" s="624" t="s">
        <v>992</v>
      </c>
      <c r="AP393" s="624" t="s">
        <v>992</v>
      </c>
    </row>
    <row r="394" spans="1:42" ht="12.75" customHeight="1" outlineLevel="1" x14ac:dyDescent="0.2">
      <c r="A394" s="21">
        <v>58</v>
      </c>
      <c r="B394" s="611" t="str">
        <f t="shared" si="39"/>
        <v>Production of soda ash and sodium bicarbonate</v>
      </c>
      <c r="C394" s="17" t="str">
        <f t="shared" si="39"/>
        <v>Soda ash / sodium bicarbonate</v>
      </c>
      <c r="D394" s="17" t="str">
        <f t="shared" si="39"/>
        <v>Mass balance methodology</v>
      </c>
      <c r="E394" s="17"/>
      <c r="F394" s="151" t="str">
        <f t="shared" si="38"/>
        <v>Mass balance method, Article 25</v>
      </c>
      <c r="G394" s="103" t="str">
        <f>EUconst_NA</f>
        <v>n.a.</v>
      </c>
      <c r="H394" s="149"/>
      <c r="I394" s="149"/>
      <c r="J394" s="151"/>
      <c r="K394" s="151"/>
      <c r="L394" s="149"/>
      <c r="M394" s="149"/>
      <c r="N394" s="149"/>
      <c r="O394" s="150"/>
      <c r="P394" s="103" t="str">
        <f t="shared" si="34"/>
        <v>n.a.</v>
      </c>
      <c r="Q394" s="147" t="str">
        <f t="shared" si="35"/>
        <v>Soda ash / sodium bicarbonate: Mass balance methodology</v>
      </c>
      <c r="R394" s="17"/>
      <c r="S394" s="17" t="str">
        <f t="shared" si="36"/>
        <v>EF_Soda ash / sodium bicarbonate: Mass balance methodology</v>
      </c>
      <c r="W394" s="226"/>
      <c r="Z394" s="21" t="b">
        <f>IF(G394=EUconst_NA,TRUE,FALSE)</f>
        <v>1</v>
      </c>
      <c r="AL394" s="624" t="s">
        <v>992</v>
      </c>
      <c r="AM394" s="624" t="s">
        <v>992</v>
      </c>
      <c r="AN394" s="624" t="s">
        <v>992</v>
      </c>
      <c r="AO394" s="624" t="s">
        <v>992</v>
      </c>
      <c r="AP394" s="624" t="s">
        <v>992</v>
      </c>
    </row>
    <row r="395" spans="1:42" ht="12.75" customHeight="1" outlineLevel="1" x14ac:dyDescent="0.2">
      <c r="A395" s="21">
        <v>59</v>
      </c>
      <c r="B395" s="611" t="str">
        <f t="shared" si="39"/>
        <v>Production of primary aluminium</v>
      </c>
      <c r="C395" s="17" t="str">
        <f t="shared" si="39"/>
        <v>Primary aluminium</v>
      </c>
      <c r="D395" s="17" t="str">
        <f t="shared" si="39"/>
        <v>Mass balance methodology</v>
      </c>
      <c r="E395" s="17"/>
      <c r="F395" s="151" t="str">
        <f t="shared" si="38"/>
        <v>Mass balance method, Article 25</v>
      </c>
      <c r="G395" s="103" t="str">
        <f>EUconst_NA</f>
        <v>n.a.</v>
      </c>
      <c r="H395" s="149"/>
      <c r="I395" s="149"/>
      <c r="J395" s="151"/>
      <c r="K395" s="151"/>
      <c r="L395" s="149"/>
      <c r="M395" s="149"/>
      <c r="N395" s="149"/>
      <c r="O395" s="150"/>
      <c r="P395" s="103" t="str">
        <f>IF(G395=EUconst_NA,EUconst_NA,IF(ISBLANK(J395),COUNTA(H395:O395),COUNTA(H395,J395,L395)))</f>
        <v>n.a.</v>
      </c>
      <c r="Q395" s="147" t="str">
        <f>C395 &amp; ": " &amp;D395</f>
        <v>Primary aluminium: Mass balance methodology</v>
      </c>
      <c r="R395" s="17"/>
      <c r="S395" s="17" t="str">
        <f>EUconst_CNTR_EF&amp;Q395</f>
        <v>EF_Primary aluminium: Mass balance methodology</v>
      </c>
      <c r="Z395" s="21" t="b">
        <f>IF(G395=EUconst_NA,TRUE,FALSE)</f>
        <v>1</v>
      </c>
      <c r="AL395" s="624" t="s">
        <v>992</v>
      </c>
      <c r="AM395" s="624" t="s">
        <v>992</v>
      </c>
      <c r="AN395" s="624" t="s">
        <v>992</v>
      </c>
      <c r="AO395" s="624" t="s">
        <v>992</v>
      </c>
      <c r="AP395" s="624" t="s">
        <v>992</v>
      </c>
    </row>
    <row r="396" spans="1:42" ht="12.75" customHeight="1" outlineLevel="1" x14ac:dyDescent="0.2">
      <c r="A396" s="21">
        <v>60</v>
      </c>
      <c r="B396" s="611" t="str">
        <f t="shared" si="39"/>
        <v>Production of primary aluminium</v>
      </c>
      <c r="C396" s="17" t="str">
        <f t="shared" si="39"/>
        <v>Primary aluminium</v>
      </c>
      <c r="D396" s="17" t="str">
        <f t="shared" si="39"/>
        <v>PFC emissions (slope method)</v>
      </c>
      <c r="E396" s="17"/>
      <c r="F396" s="151" t="str">
        <f t="shared" si="38"/>
        <v>Calculation with special provisions for PFC (Annex IV section 8)</v>
      </c>
      <c r="G396" s="103">
        <v>1</v>
      </c>
      <c r="H396" s="613" t="str">
        <f>Translations!$B$493</f>
        <v>Type I default values</v>
      </c>
      <c r="I396" s="613" t="str">
        <f>Translations!$B$1101</f>
        <v>Installation-specific emission factors</v>
      </c>
      <c r="J396" s="17"/>
      <c r="K396" s="17"/>
      <c r="L396" s="148"/>
      <c r="M396" s="148"/>
      <c r="N396" s="148"/>
      <c r="O396" s="148"/>
      <c r="P396" s="103">
        <f t="shared" si="34"/>
        <v>2</v>
      </c>
      <c r="Q396" s="147" t="str">
        <f t="shared" si="35"/>
        <v>Primary aluminium: PFC emissions (slope method)</v>
      </c>
      <c r="R396" s="17"/>
      <c r="S396" s="17" t="str">
        <f t="shared" si="36"/>
        <v>EF_Primary aluminium: PFC emissions (slope method)</v>
      </c>
      <c r="Z396" s="21" t="b">
        <f>IF(G396=EUconst_NA,TRUE,FALSE)</f>
        <v>0</v>
      </c>
      <c r="AL396" s="624">
        <v>1</v>
      </c>
      <c r="AM396" s="624">
        <v>2</v>
      </c>
      <c r="AN396" s="624" t="s">
        <v>992</v>
      </c>
      <c r="AO396" s="624" t="s">
        <v>992</v>
      </c>
      <c r="AP396" s="624"/>
    </row>
    <row r="397" spans="1:42" ht="12.75" customHeight="1" outlineLevel="1" x14ac:dyDescent="0.2">
      <c r="A397" s="21">
        <v>61</v>
      </c>
      <c r="B397" s="611" t="str">
        <f t="shared" ref="B397:D406" si="41">B325</f>
        <v>Production of primary aluminium</v>
      </c>
      <c r="C397" s="17" t="str">
        <f t="shared" si="41"/>
        <v>Primary aluminium</v>
      </c>
      <c r="D397" s="17" t="str">
        <f t="shared" si="41"/>
        <v>PFC emissions (overvoltage method)</v>
      </c>
      <c r="E397" s="17"/>
      <c r="F397" s="151" t="str">
        <f t="shared" si="38"/>
        <v>Calculation with special provisions for PFC (Annex IV section 8)</v>
      </c>
      <c r="G397" s="103">
        <v>1</v>
      </c>
      <c r="H397" s="613" t="str">
        <f>Translations!$B$493</f>
        <v>Type I default values</v>
      </c>
      <c r="I397" s="613" t="str">
        <f>Translations!$B$1101</f>
        <v>Installation-specific emission factors</v>
      </c>
      <c r="J397" s="17"/>
      <c r="K397" s="17"/>
      <c r="L397" s="148"/>
      <c r="M397" s="148"/>
      <c r="N397" s="148"/>
      <c r="O397" s="148"/>
      <c r="P397" s="103">
        <f t="shared" si="34"/>
        <v>2</v>
      </c>
      <c r="Q397" s="147" t="str">
        <f t="shared" si="35"/>
        <v>Primary aluminium: PFC emissions (overvoltage method)</v>
      </c>
      <c r="R397" s="17"/>
      <c r="S397" s="17" t="str">
        <f t="shared" si="36"/>
        <v>EF_Primary aluminium: PFC emissions (overvoltage method)</v>
      </c>
      <c r="Z397" s="21" t="b">
        <f>IF(G397=EUconst_NA,TRUE,FALSE)</f>
        <v>0</v>
      </c>
      <c r="AL397" s="624">
        <v>1</v>
      </c>
      <c r="AM397" s="624">
        <v>2</v>
      </c>
      <c r="AN397" s="624" t="s">
        <v>992</v>
      </c>
      <c r="AO397" s="624" t="s">
        <v>992</v>
      </c>
      <c r="AP397" s="624" t="s">
        <v>992</v>
      </c>
    </row>
    <row r="398" spans="1:42" ht="12.75" customHeight="1" outlineLevel="1" x14ac:dyDescent="0.2">
      <c r="A398" s="21">
        <v>62</v>
      </c>
      <c r="B398" s="611" t="str">
        <f t="shared" si="41"/>
        <v>Capture of greenhouse gases under Directive 2009/31/EC</v>
      </c>
      <c r="C398" s="17" t="str">
        <f t="shared" si="41"/>
        <v>CCS: Capture</v>
      </c>
      <c r="D398" s="17" t="str">
        <f t="shared" si="41"/>
        <v>CO2 transferred</v>
      </c>
      <c r="E398" s="17"/>
      <c r="F398" s="151" t="str">
        <f t="shared" ref="F398:F406" si="42">F326</f>
        <v>Mass balance method, Article 25</v>
      </c>
      <c r="G398" s="103" t="str">
        <f>EUconst_NA</f>
        <v>n.a.</v>
      </c>
      <c r="H398" s="613"/>
      <c r="I398" s="613"/>
      <c r="J398" s="17"/>
      <c r="K398" s="17"/>
      <c r="L398" s="613"/>
      <c r="M398" s="148"/>
      <c r="N398" s="148"/>
      <c r="O398" s="148"/>
      <c r="P398" s="103" t="str">
        <f t="shared" ref="P398:P406" si="43">IF(G398=EUconst_NA,EUconst_NA,IF(ISBLANK(J398),COUNTA(H398:O398),COUNTA(H398,J398,L398)))</f>
        <v>n.a.</v>
      </c>
      <c r="Q398" s="147" t="str">
        <f t="shared" ref="Q398:Q406" si="44">C398 &amp; ": " &amp;D398</f>
        <v>CCS: Capture: CO2 transferred</v>
      </c>
      <c r="R398" s="17"/>
      <c r="S398" s="17" t="str">
        <f t="shared" ref="S398:S406" si="45">EUconst_CNTR_EF&amp;Q398</f>
        <v>EF_CCS: Capture: CO2 transferred</v>
      </c>
      <c r="Z398" s="21" t="b">
        <f t="shared" ref="Z398:Z406" si="46">IF(G398=EUconst_NA,TRUE,FALSE)</f>
        <v>1</v>
      </c>
      <c r="AL398" s="624"/>
      <c r="AM398" s="624"/>
      <c r="AN398" s="624"/>
      <c r="AO398" s="624"/>
      <c r="AP398" s="624"/>
    </row>
    <row r="399" spans="1:42" ht="12.75" customHeight="1" outlineLevel="1" x14ac:dyDescent="0.2">
      <c r="A399" s="21">
        <v>63</v>
      </c>
      <c r="B399" s="611" t="str">
        <f t="shared" si="41"/>
        <v>Transport of greenhouse gases under Directive 2009/31/EC</v>
      </c>
      <c r="C399" s="17" t="str">
        <f t="shared" si="41"/>
        <v>CCS: Transport</v>
      </c>
      <c r="D399" s="17" t="str">
        <f t="shared" si="41"/>
        <v>CO2 transferred</v>
      </c>
      <c r="E399" s="17"/>
      <c r="F399" s="151" t="str">
        <f t="shared" si="42"/>
        <v>Mass balance method, Article 25</v>
      </c>
      <c r="G399" s="103" t="str">
        <f>EUconst_NA</f>
        <v>n.a.</v>
      </c>
      <c r="H399" s="613"/>
      <c r="I399" s="613"/>
      <c r="J399" s="17"/>
      <c r="K399" s="17"/>
      <c r="L399" s="613"/>
      <c r="M399" s="148"/>
      <c r="N399" s="148"/>
      <c r="O399" s="148"/>
      <c r="P399" s="103" t="str">
        <f t="shared" si="43"/>
        <v>n.a.</v>
      </c>
      <c r="Q399" s="147" t="str">
        <f t="shared" si="44"/>
        <v>CCS: Transport: CO2 transferred</v>
      </c>
      <c r="R399" s="17"/>
      <c r="S399" s="17" t="str">
        <f t="shared" si="45"/>
        <v>EF_CCS: Transport: CO2 transferred</v>
      </c>
      <c r="Z399" s="21" t="b">
        <f t="shared" si="46"/>
        <v>1</v>
      </c>
      <c r="AL399" s="624"/>
      <c r="AM399" s="624"/>
      <c r="AN399" s="624"/>
      <c r="AO399" s="624"/>
      <c r="AP399" s="624"/>
    </row>
    <row r="400" spans="1:42" ht="12.75" customHeight="1" outlineLevel="1" x14ac:dyDescent="0.2">
      <c r="A400" s="21">
        <v>64</v>
      </c>
      <c r="B400" s="611" t="str">
        <f t="shared" si="41"/>
        <v>Transport of greenhouse gases under Directive 2009/31/EC</v>
      </c>
      <c r="C400" s="17" t="str">
        <f t="shared" si="41"/>
        <v>CCS: Transport</v>
      </c>
      <c r="D400" s="17" t="str">
        <f t="shared" si="41"/>
        <v>CO2 vented</v>
      </c>
      <c r="E400" s="17"/>
      <c r="F400" s="151" t="str">
        <f t="shared" si="42"/>
        <v>Standard method: Process, Article 24(2)</v>
      </c>
      <c r="G400" s="103">
        <v>2</v>
      </c>
      <c r="H400" s="613" t="str">
        <f>Translations!$B$493</f>
        <v>Type I default values</v>
      </c>
      <c r="I400" s="613" t="str">
        <f>Translations!$B$1085</f>
        <v>Best practice</v>
      </c>
      <c r="J400" s="17"/>
      <c r="K400" s="17"/>
      <c r="L400" s="613" t="str">
        <f>Translations!$B$527</f>
        <v>Laboratory analyses</v>
      </c>
      <c r="M400" s="148"/>
      <c r="N400" s="148"/>
      <c r="O400" s="148"/>
      <c r="P400" s="103">
        <f t="shared" si="43"/>
        <v>3</v>
      </c>
      <c r="Q400" s="147" t="str">
        <f t="shared" si="44"/>
        <v>CCS: Transport: CO2 vented</v>
      </c>
      <c r="R400" s="17"/>
      <c r="S400" s="17" t="str">
        <f t="shared" si="45"/>
        <v>EF_CCS: Transport: CO2 vented</v>
      </c>
      <c r="Z400" s="21" t="b">
        <f t="shared" si="46"/>
        <v>0</v>
      </c>
      <c r="AL400" s="624">
        <v>1</v>
      </c>
      <c r="AM400" s="624">
        <v>2</v>
      </c>
      <c r="AN400" s="624"/>
      <c r="AO400" s="624"/>
      <c r="AP400" s="624">
        <v>2</v>
      </c>
    </row>
    <row r="401" spans="1:42" ht="12.75" customHeight="1" outlineLevel="1" x14ac:dyDescent="0.2">
      <c r="A401" s="21">
        <v>65</v>
      </c>
      <c r="B401" s="611" t="str">
        <f t="shared" si="41"/>
        <v>Transport of greenhouse gases under Directive 2009/31/EC</v>
      </c>
      <c r="C401" s="17" t="str">
        <f t="shared" si="41"/>
        <v>CCS: Transport</v>
      </c>
      <c r="D401" s="17" t="str">
        <f t="shared" si="41"/>
        <v>CO2 leaked</v>
      </c>
      <c r="E401" s="17"/>
      <c r="F401" s="151" t="str">
        <f t="shared" si="42"/>
        <v>Standard method: Process, Article 24(2)</v>
      </c>
      <c r="G401" s="103">
        <v>2</v>
      </c>
      <c r="H401" s="613" t="str">
        <f>Translations!$B$493</f>
        <v>Type I default values</v>
      </c>
      <c r="I401" s="613" t="str">
        <f>Translations!$B$1085</f>
        <v>Best practice</v>
      </c>
      <c r="J401" s="17"/>
      <c r="K401" s="17"/>
      <c r="L401" s="613" t="str">
        <f>Translations!$B$527</f>
        <v>Laboratory analyses</v>
      </c>
      <c r="M401" s="148"/>
      <c r="N401" s="148"/>
      <c r="O401" s="148"/>
      <c r="P401" s="103">
        <f t="shared" si="43"/>
        <v>3</v>
      </c>
      <c r="Q401" s="147" t="str">
        <f t="shared" si="44"/>
        <v>CCS: Transport: CO2 leaked</v>
      </c>
      <c r="R401" s="17"/>
      <c r="S401" s="17" t="str">
        <f t="shared" si="45"/>
        <v>EF_CCS: Transport: CO2 leaked</v>
      </c>
      <c r="Z401" s="21" t="b">
        <f t="shared" si="46"/>
        <v>0</v>
      </c>
      <c r="AL401" s="624">
        <v>1</v>
      </c>
      <c r="AM401" s="624">
        <v>2</v>
      </c>
      <c r="AN401" s="624"/>
      <c r="AO401" s="624"/>
      <c r="AP401" s="624">
        <v>2</v>
      </c>
    </row>
    <row r="402" spans="1:42" ht="12.75" customHeight="1" outlineLevel="1" x14ac:dyDescent="0.2">
      <c r="A402" s="21">
        <v>66</v>
      </c>
      <c r="B402" s="611" t="str">
        <f t="shared" si="41"/>
        <v>Transport of greenhouse gases under Directive 2009/31/EC</v>
      </c>
      <c r="C402" s="17" t="str">
        <f t="shared" si="41"/>
        <v>CCS: Transport</v>
      </c>
      <c r="D402" s="17" t="str">
        <f t="shared" si="41"/>
        <v>CO2 fugitive</v>
      </c>
      <c r="E402" s="17"/>
      <c r="F402" s="151" t="str">
        <f t="shared" si="42"/>
        <v>Standard method: Process, Article 24(2)</v>
      </c>
      <c r="G402" s="103">
        <v>2</v>
      </c>
      <c r="H402" s="613" t="str">
        <f>Translations!$B$493</f>
        <v>Type I default values</v>
      </c>
      <c r="I402" s="613" t="str">
        <f>Translations!$B$1085</f>
        <v>Best practice</v>
      </c>
      <c r="J402" s="17"/>
      <c r="K402" s="17"/>
      <c r="L402" s="613" t="str">
        <f>Translations!$B$527</f>
        <v>Laboratory analyses</v>
      </c>
      <c r="M402" s="148"/>
      <c r="N402" s="148"/>
      <c r="O402" s="148"/>
      <c r="P402" s="103">
        <f t="shared" si="43"/>
        <v>3</v>
      </c>
      <c r="Q402" s="147" t="str">
        <f t="shared" si="44"/>
        <v>CCS: Transport: CO2 fugitive</v>
      </c>
      <c r="R402" s="17"/>
      <c r="S402" s="17" t="str">
        <f t="shared" si="45"/>
        <v>EF_CCS: Transport: CO2 fugitive</v>
      </c>
      <c r="Z402" s="21" t="b">
        <f t="shared" si="46"/>
        <v>0</v>
      </c>
      <c r="AL402" s="624">
        <v>1</v>
      </c>
      <c r="AM402" s="624">
        <v>2</v>
      </c>
      <c r="AN402" s="624"/>
      <c r="AO402" s="624"/>
      <c r="AP402" s="624">
        <v>2</v>
      </c>
    </row>
    <row r="403" spans="1:42" ht="12.75" customHeight="1" outlineLevel="1" x14ac:dyDescent="0.2">
      <c r="A403" s="21">
        <v>67</v>
      </c>
      <c r="B403" s="611" t="str">
        <f t="shared" si="41"/>
        <v>Storage of greenhouse gases under Directive 2009/31/EC</v>
      </c>
      <c r="C403" s="17" t="str">
        <f t="shared" si="41"/>
        <v>CCS: Storage</v>
      </c>
      <c r="D403" s="17" t="str">
        <f t="shared" si="41"/>
        <v>CO2 transferred</v>
      </c>
      <c r="E403" s="17"/>
      <c r="F403" s="151" t="str">
        <f t="shared" si="42"/>
        <v>Mass balance method, Article 25</v>
      </c>
      <c r="G403" s="103" t="str">
        <f>EUconst_NA</f>
        <v>n.a.</v>
      </c>
      <c r="H403" s="613"/>
      <c r="I403" s="613"/>
      <c r="J403" s="17"/>
      <c r="K403" s="17"/>
      <c r="L403" s="613"/>
      <c r="M403" s="148"/>
      <c r="N403" s="148"/>
      <c r="O403" s="148"/>
      <c r="P403" s="103" t="str">
        <f t="shared" si="43"/>
        <v>n.a.</v>
      </c>
      <c r="Q403" s="147" t="str">
        <f t="shared" si="44"/>
        <v>CCS: Storage: CO2 transferred</v>
      </c>
      <c r="R403" s="17"/>
      <c r="S403" s="17" t="str">
        <f t="shared" si="45"/>
        <v>EF_CCS: Storage: CO2 transferred</v>
      </c>
      <c r="Z403" s="21" t="b">
        <f t="shared" si="46"/>
        <v>1</v>
      </c>
      <c r="AL403" s="624"/>
      <c r="AM403" s="624"/>
      <c r="AN403" s="624"/>
      <c r="AO403" s="624"/>
      <c r="AP403" s="624"/>
    </row>
    <row r="404" spans="1:42" ht="12.75" customHeight="1" outlineLevel="1" x14ac:dyDescent="0.2">
      <c r="A404" s="21">
        <v>68</v>
      </c>
      <c r="B404" s="611" t="str">
        <f t="shared" si="41"/>
        <v>Storage of greenhouse gases under Directive 2009/31/EC</v>
      </c>
      <c r="C404" s="17" t="str">
        <f t="shared" si="41"/>
        <v>CCS: Storage</v>
      </c>
      <c r="D404" s="17" t="str">
        <f t="shared" si="41"/>
        <v>CO2 vented</v>
      </c>
      <c r="E404" s="17"/>
      <c r="F404" s="151" t="str">
        <f t="shared" si="42"/>
        <v>Standard method: Process, Article 24(2)</v>
      </c>
      <c r="G404" s="103">
        <v>2</v>
      </c>
      <c r="H404" s="613" t="str">
        <f>Translations!$B$493</f>
        <v>Type I default values</v>
      </c>
      <c r="I404" s="613" t="str">
        <f>Translations!$B$1085</f>
        <v>Best practice</v>
      </c>
      <c r="J404" s="17"/>
      <c r="K404" s="17"/>
      <c r="L404" s="613" t="str">
        <f>Translations!$B$527</f>
        <v>Laboratory analyses</v>
      </c>
      <c r="M404" s="148"/>
      <c r="N404" s="148"/>
      <c r="O404" s="148"/>
      <c r="P404" s="103">
        <f t="shared" si="43"/>
        <v>3</v>
      </c>
      <c r="Q404" s="147" t="str">
        <f t="shared" si="44"/>
        <v>CCS: Storage: CO2 vented</v>
      </c>
      <c r="R404" s="17"/>
      <c r="S404" s="17" t="str">
        <f t="shared" si="45"/>
        <v>EF_CCS: Storage: CO2 vented</v>
      </c>
      <c r="Z404" s="21" t="b">
        <f t="shared" si="46"/>
        <v>0</v>
      </c>
      <c r="AL404" s="624">
        <v>1</v>
      </c>
      <c r="AM404" s="624">
        <v>2</v>
      </c>
      <c r="AN404" s="624"/>
      <c r="AO404" s="624"/>
      <c r="AP404" s="624">
        <v>2</v>
      </c>
    </row>
    <row r="405" spans="1:42" ht="12.75" customHeight="1" outlineLevel="1" x14ac:dyDescent="0.2">
      <c r="A405" s="21">
        <v>69</v>
      </c>
      <c r="B405" s="611" t="str">
        <f t="shared" si="41"/>
        <v>Storage of greenhouse gases under Directive 2009/31/EC</v>
      </c>
      <c r="C405" s="17" t="str">
        <f t="shared" si="41"/>
        <v>CCS: Storage</v>
      </c>
      <c r="D405" s="17" t="str">
        <f t="shared" si="41"/>
        <v>CO2 leaked</v>
      </c>
      <c r="E405" s="17"/>
      <c r="F405" s="151" t="str">
        <f t="shared" si="42"/>
        <v>Standard method: Process, Article 24(2)</v>
      </c>
      <c r="G405" s="103">
        <v>2</v>
      </c>
      <c r="H405" s="613" t="str">
        <f>Translations!$B$493</f>
        <v>Type I default values</v>
      </c>
      <c r="I405" s="613" t="str">
        <f>Translations!$B$1085</f>
        <v>Best practice</v>
      </c>
      <c r="J405" s="17"/>
      <c r="K405" s="17"/>
      <c r="L405" s="613" t="str">
        <f>Translations!$B$527</f>
        <v>Laboratory analyses</v>
      </c>
      <c r="M405" s="148"/>
      <c r="N405" s="148"/>
      <c r="O405" s="148"/>
      <c r="P405" s="103">
        <f t="shared" si="43"/>
        <v>3</v>
      </c>
      <c r="Q405" s="147" t="str">
        <f t="shared" si="44"/>
        <v>CCS: Storage: CO2 leaked</v>
      </c>
      <c r="R405" s="17"/>
      <c r="S405" s="17" t="str">
        <f t="shared" si="45"/>
        <v>EF_CCS: Storage: CO2 leaked</v>
      </c>
      <c r="Z405" s="21" t="b">
        <f t="shared" si="46"/>
        <v>0</v>
      </c>
      <c r="AL405" s="624">
        <v>1</v>
      </c>
      <c r="AM405" s="624">
        <v>2</v>
      </c>
      <c r="AN405" s="624"/>
      <c r="AO405" s="624"/>
      <c r="AP405" s="624">
        <v>2</v>
      </c>
    </row>
    <row r="406" spans="1:42" ht="12.75" customHeight="1" outlineLevel="1" x14ac:dyDescent="0.2">
      <c r="A406" s="21">
        <v>70</v>
      </c>
      <c r="B406" s="611" t="str">
        <f t="shared" si="41"/>
        <v>Storage of greenhouse gases under Directive 2009/31/EC</v>
      </c>
      <c r="C406" s="17" t="str">
        <f t="shared" si="41"/>
        <v>CCS: Storage</v>
      </c>
      <c r="D406" s="17" t="str">
        <f t="shared" si="41"/>
        <v>CO2 fugitive</v>
      </c>
      <c r="E406" s="17"/>
      <c r="F406" s="151" t="str">
        <f t="shared" si="42"/>
        <v>Standard method: Process, Article 24(2)</v>
      </c>
      <c r="G406" s="103">
        <v>2</v>
      </c>
      <c r="H406" s="613" t="str">
        <f>Translations!$B$493</f>
        <v>Type I default values</v>
      </c>
      <c r="I406" s="613" t="str">
        <f>Translations!$B$1085</f>
        <v>Best practice</v>
      </c>
      <c r="J406" s="17"/>
      <c r="K406" s="17"/>
      <c r="L406" s="613" t="str">
        <f>Translations!$B$527</f>
        <v>Laboratory analyses</v>
      </c>
      <c r="M406" s="148"/>
      <c r="N406" s="148"/>
      <c r="O406" s="148"/>
      <c r="P406" s="103">
        <f t="shared" si="43"/>
        <v>3</v>
      </c>
      <c r="Q406" s="147" t="str">
        <f t="shared" si="44"/>
        <v>CCS: Storage: CO2 fugitive</v>
      </c>
      <c r="R406" s="17"/>
      <c r="S406" s="17" t="str">
        <f t="shared" si="45"/>
        <v>EF_CCS: Storage: CO2 fugitive</v>
      </c>
      <c r="Z406" s="21" t="b">
        <f t="shared" si="46"/>
        <v>0</v>
      </c>
      <c r="AL406" s="624">
        <v>1</v>
      </c>
      <c r="AM406" s="624">
        <v>2</v>
      </c>
      <c r="AN406" s="624"/>
      <c r="AO406" s="624"/>
      <c r="AP406" s="624">
        <v>2</v>
      </c>
    </row>
    <row r="407" spans="1:42" ht="12.75" customHeight="1" outlineLevel="1" x14ac:dyDescent="0.2">
      <c r="B407" s="17"/>
      <c r="C407" s="17"/>
      <c r="D407" s="17"/>
      <c r="E407" s="17"/>
      <c r="F407" s="17"/>
      <c r="G407" s="17"/>
      <c r="H407" s="88"/>
      <c r="I407" s="88"/>
      <c r="J407" s="17"/>
      <c r="K407" s="17"/>
      <c r="L407" s="88"/>
      <c r="M407" s="88"/>
      <c r="N407" s="88"/>
      <c r="O407" s="88"/>
      <c r="P407" s="103"/>
      <c r="Q407" s="17"/>
      <c r="R407" s="17"/>
      <c r="S407" s="17"/>
      <c r="Z407" s="21" t="b">
        <f>IF(G407=EUconst_NA,TRUE,FALSE)</f>
        <v>0</v>
      </c>
    </row>
    <row r="408" spans="1:42" s="142" customFormat="1" ht="12.75" customHeight="1" outlineLevel="1" x14ac:dyDescent="0.2">
      <c r="A408" s="142" t="s">
        <v>1610</v>
      </c>
      <c r="B408" s="143" t="str">
        <f>Translations!$B$1108</f>
        <v>NCV</v>
      </c>
      <c r="C408" s="143" t="str">
        <f>Translations!$B$957</f>
        <v>Short name</v>
      </c>
      <c r="D408" s="143" t="str">
        <f>Translations!$B$958</f>
        <v>Sub-activity</v>
      </c>
      <c r="E408" s="143" t="str">
        <f>Translations!$B$389</f>
        <v>Parameter</v>
      </c>
      <c r="F408" s="143" t="str">
        <f>Translations!$B$959</f>
        <v>Source type</v>
      </c>
      <c r="G408" s="144" t="str">
        <f>Translations!$B$960</f>
        <v>Minimum</v>
      </c>
      <c r="H408" s="144">
        <v>1</v>
      </c>
      <c r="I408" s="144">
        <v>2</v>
      </c>
      <c r="J408" s="144" t="s">
        <v>1325</v>
      </c>
      <c r="K408" s="144" t="str">
        <f>Translations!$B$928</f>
        <v>2b</v>
      </c>
      <c r="L408" s="144">
        <v>3</v>
      </c>
      <c r="M408" s="144" t="s">
        <v>1759</v>
      </c>
      <c r="N408" s="144" t="s">
        <v>1760</v>
      </c>
      <c r="O408" s="144">
        <v>4</v>
      </c>
      <c r="P408" s="144" t="str">
        <f>Translations!$B$961</f>
        <v>Highest</v>
      </c>
      <c r="Q408" s="145"/>
      <c r="Z408" s="142" t="str">
        <f>Translations!$B$962</f>
        <v>make grey?</v>
      </c>
      <c r="AK408" s="142" t="s">
        <v>1651</v>
      </c>
      <c r="AL408" s="206">
        <v>1</v>
      </c>
      <c r="AM408" s="206">
        <v>2</v>
      </c>
      <c r="AN408" s="206" t="s">
        <v>1325</v>
      </c>
      <c r="AO408" s="206" t="str">
        <f>Translations!$B$928</f>
        <v>2b</v>
      </c>
      <c r="AP408" s="206">
        <v>3</v>
      </c>
    </row>
    <row r="409" spans="1:42" ht="12.75" customHeight="1" outlineLevel="1" x14ac:dyDescent="0.2">
      <c r="A409" s="21">
        <v>1</v>
      </c>
      <c r="B409" s="611" t="str">
        <f t="shared" ref="B409:D428" si="47">B337</f>
        <v>Combustion of fuels</v>
      </c>
      <c r="C409" s="17" t="str">
        <f t="shared" si="47"/>
        <v>Combustion</v>
      </c>
      <c r="D409" s="17" t="str">
        <f t="shared" si="47"/>
        <v>Commercial standard fuels</v>
      </c>
      <c r="E409" s="17"/>
      <c r="F409" s="151" t="str">
        <f t="shared" ref="F409:F440" si="48">F337</f>
        <v>Standard method: Fuel, Article 24(1)</v>
      </c>
      <c r="G409" s="103" t="s">
        <v>1531</v>
      </c>
      <c r="H409" s="149" t="str">
        <f>Translations!$B$493</f>
        <v>Type I default values</v>
      </c>
      <c r="I409" s="149"/>
      <c r="J409" s="149" t="str">
        <f>Translations!$B$528</f>
        <v>Type II default values</v>
      </c>
      <c r="K409" s="149" t="str">
        <f>Translations!$B$1109</f>
        <v>Purchasing records (if applicable)</v>
      </c>
      <c r="L409" s="149" t="str">
        <f>Translations!$B$527</f>
        <v>Laboratory analyses</v>
      </c>
      <c r="M409" s="149"/>
      <c r="N409" s="149"/>
      <c r="O409" s="150"/>
      <c r="P409" s="103" t="str">
        <f>G409</f>
        <v>2a/2b</v>
      </c>
      <c r="Q409" s="147" t="str">
        <f>C409 &amp; ": " &amp;D409</f>
        <v>Combustion: Commercial standard fuels</v>
      </c>
      <c r="R409" s="17"/>
      <c r="S409" s="17" t="str">
        <f>EUconst_CNTR_NCV&amp;Q409</f>
        <v>NCV_Combustion: Commercial standard fuels</v>
      </c>
      <c r="Z409" s="21" t="b">
        <f t="shared" ref="Z409:Z468" si="49">IF(G409=EUconst_NA,TRUE,FALSE)</f>
        <v>0</v>
      </c>
      <c r="AL409" s="624">
        <v>1</v>
      </c>
      <c r="AM409" s="624" t="s">
        <v>992</v>
      </c>
      <c r="AN409" s="624">
        <v>1</v>
      </c>
      <c r="AO409" s="624" t="str">
        <f>Translations!$B$1109</f>
        <v>Purchasing records (if applicable)</v>
      </c>
      <c r="AP409" s="624">
        <v>2</v>
      </c>
    </row>
    <row r="410" spans="1:42" ht="12.75" customHeight="1" outlineLevel="1" x14ac:dyDescent="0.2">
      <c r="A410" s="21">
        <v>2</v>
      </c>
      <c r="B410" s="611" t="str">
        <f t="shared" si="47"/>
        <v>Combustion of fuels</v>
      </c>
      <c r="C410" s="17" t="str">
        <f t="shared" si="47"/>
        <v>Combustion</v>
      </c>
      <c r="D410" s="17" t="str">
        <f t="shared" si="47"/>
        <v>Other gaseous &amp; liquid fuels</v>
      </c>
      <c r="E410" s="17"/>
      <c r="F410" s="151" t="str">
        <f t="shared" si="48"/>
        <v>Standard method: Fuel, Article 24(1)</v>
      </c>
      <c r="G410" s="103" t="s">
        <v>1531</v>
      </c>
      <c r="H410" s="149" t="str">
        <f>Translations!$B$493</f>
        <v>Type I default values</v>
      </c>
      <c r="I410" s="149"/>
      <c r="J410" s="149" t="str">
        <f>Translations!$B$528</f>
        <v>Type II default values</v>
      </c>
      <c r="K410" s="149" t="str">
        <f>Translations!$B$1109</f>
        <v>Purchasing records (if applicable)</v>
      </c>
      <c r="L410" s="149" t="str">
        <f>Translations!$B$527</f>
        <v>Laboratory analyses</v>
      </c>
      <c r="M410" s="149"/>
      <c r="N410" s="149"/>
      <c r="O410" s="150"/>
      <c r="P410" s="103">
        <f t="shared" ref="P410:P469" si="50">IF(G410=EUconst_NA,EUconst_NA,IF(ISBLANK(J410),COUNTA(H410:O410),COUNTA(H410,J410,L410)))</f>
        <v>3</v>
      </c>
      <c r="Q410" s="147" t="str">
        <f t="shared" ref="Q410:Q469" si="51">C410 &amp; ": " &amp;D410</f>
        <v>Combustion: Other gaseous &amp; liquid fuels</v>
      </c>
      <c r="R410" s="17"/>
      <c r="S410" s="17" t="str">
        <f t="shared" ref="S410:S469" si="52">EUconst_CNTR_NCV&amp;Q410</f>
        <v>NCV_Combustion: Other gaseous &amp; liquid fuels</v>
      </c>
      <c r="Z410" s="21" t="b">
        <f t="shared" si="49"/>
        <v>0</v>
      </c>
      <c r="AL410" s="624">
        <v>1</v>
      </c>
      <c r="AM410" s="624" t="s">
        <v>992</v>
      </c>
      <c r="AN410" s="624">
        <v>1</v>
      </c>
      <c r="AO410" s="624" t="str">
        <f>Translations!$B$1109</f>
        <v>Purchasing records (if applicable)</v>
      </c>
      <c r="AP410" s="624">
        <v>2</v>
      </c>
    </row>
    <row r="411" spans="1:42" ht="12.75" customHeight="1" outlineLevel="1" x14ac:dyDescent="0.2">
      <c r="A411" s="21">
        <v>3</v>
      </c>
      <c r="B411" s="611" t="str">
        <f t="shared" si="47"/>
        <v>Combustion of fuels</v>
      </c>
      <c r="C411" s="17" t="str">
        <f t="shared" si="47"/>
        <v>Combustion</v>
      </c>
      <c r="D411" s="17" t="str">
        <f t="shared" si="47"/>
        <v>Solid fuels, excluding waste</v>
      </c>
      <c r="E411" s="17"/>
      <c r="F411" s="151" t="str">
        <f t="shared" si="48"/>
        <v>Standard method: Fuel, Article 24(1)</v>
      </c>
      <c r="G411" s="103" t="s">
        <v>1531</v>
      </c>
      <c r="H411" s="149" t="str">
        <f>Translations!$B$493</f>
        <v>Type I default values</v>
      </c>
      <c r="I411" s="149"/>
      <c r="J411" s="149" t="str">
        <f>Translations!$B$528</f>
        <v>Type II default values</v>
      </c>
      <c r="K411" s="149" t="str">
        <f>Translations!$B$1109</f>
        <v>Purchasing records (if applicable)</v>
      </c>
      <c r="L411" s="149" t="str">
        <f>Translations!$B$527</f>
        <v>Laboratory analyses</v>
      </c>
      <c r="M411" s="149"/>
      <c r="N411" s="149"/>
      <c r="O411" s="150"/>
      <c r="P411" s="103">
        <f t="shared" si="50"/>
        <v>3</v>
      </c>
      <c r="Q411" s="147" t="str">
        <f t="shared" si="51"/>
        <v>Combustion: Solid fuels, excluding waste</v>
      </c>
      <c r="R411" s="17"/>
      <c r="S411" s="17" t="str">
        <f t="shared" si="52"/>
        <v>NCV_Combustion: Solid fuels, excluding waste</v>
      </c>
      <c r="Z411" s="21" t="b">
        <f t="shared" si="49"/>
        <v>0</v>
      </c>
      <c r="AL411" s="624">
        <v>1</v>
      </c>
      <c r="AM411" s="624" t="s">
        <v>992</v>
      </c>
      <c r="AN411" s="624">
        <v>1</v>
      </c>
      <c r="AO411" s="624" t="str">
        <f>Translations!$B$1109</f>
        <v>Purchasing records (if applicable)</v>
      </c>
      <c r="AP411" s="624">
        <v>2</v>
      </c>
    </row>
    <row r="412" spans="1:42" ht="12.75" customHeight="1" outlineLevel="1" x14ac:dyDescent="0.2">
      <c r="A412" s="21">
        <v>4</v>
      </c>
      <c r="B412" s="611" t="str">
        <f t="shared" si="47"/>
        <v>Combustion of fuels</v>
      </c>
      <c r="C412" s="17" t="str">
        <f t="shared" si="47"/>
        <v>Combustion</v>
      </c>
      <c r="D412" s="17" t="str">
        <f t="shared" si="47"/>
        <v>Waste</v>
      </c>
      <c r="E412" s="17"/>
      <c r="F412" s="151" t="str">
        <f t="shared" si="48"/>
        <v>Standard method: Fuel, Article 24(1)</v>
      </c>
      <c r="G412" s="103" t="s">
        <v>1531</v>
      </c>
      <c r="H412" s="149" t="str">
        <f>Translations!$B$493</f>
        <v>Type I default values</v>
      </c>
      <c r="I412" s="149"/>
      <c r="J412" s="149" t="str">
        <f>Translations!$B$528</f>
        <v>Type II default values</v>
      </c>
      <c r="K412" s="149" t="str">
        <f>Translations!$B$1109</f>
        <v>Purchasing records (if applicable)</v>
      </c>
      <c r="L412" s="149" t="str">
        <f>Translations!$B$527</f>
        <v>Laboratory analyses</v>
      </c>
      <c r="M412" s="149"/>
      <c r="N412" s="149"/>
      <c r="O412" s="150"/>
      <c r="P412" s="103">
        <f>IF(G412=EUconst_NA,EUconst_NA,IF(ISBLANK(J412),COUNTA(H412:O412),COUNTA(H412,J412,L412)))</f>
        <v>3</v>
      </c>
      <c r="Q412" s="147" t="str">
        <f>C412 &amp; ": " &amp;D412</f>
        <v>Combustion: Waste</v>
      </c>
      <c r="R412" s="17"/>
      <c r="S412" s="17" t="str">
        <f>EUconst_CNTR_NCV&amp;Q412</f>
        <v>NCV_Combustion: Waste</v>
      </c>
      <c r="Z412" s="21" t="b">
        <f>IF(G412=EUconst_NA,TRUE,FALSE)</f>
        <v>0</v>
      </c>
      <c r="AL412" s="624">
        <v>1</v>
      </c>
      <c r="AM412" s="624" t="s">
        <v>992</v>
      </c>
      <c r="AN412" s="624">
        <v>1</v>
      </c>
      <c r="AO412" s="624" t="str">
        <f>Translations!$B$1109</f>
        <v>Purchasing records (if applicable)</v>
      </c>
      <c r="AP412" s="624">
        <v>2</v>
      </c>
    </row>
    <row r="413" spans="1:42" ht="12.75" customHeight="1" outlineLevel="1" x14ac:dyDescent="0.2">
      <c r="A413" s="21">
        <v>5</v>
      </c>
      <c r="B413" s="611" t="str">
        <f t="shared" si="47"/>
        <v>Combustion of fuels</v>
      </c>
      <c r="C413" s="17" t="str">
        <f t="shared" si="47"/>
        <v>Combustion</v>
      </c>
      <c r="D413" s="17" t="str">
        <f t="shared" si="47"/>
        <v>Gas Processing Terminals</v>
      </c>
      <c r="E413" s="17"/>
      <c r="F413" s="151" t="str">
        <f t="shared" si="48"/>
        <v>Mass balance method, Article 25</v>
      </c>
      <c r="G413" s="103">
        <v>1</v>
      </c>
      <c r="H413" s="149" t="str">
        <f>Translations!$B$493</f>
        <v>Type I default values</v>
      </c>
      <c r="I413" s="149"/>
      <c r="J413" s="151" t="str">
        <f>Translations!$B$528</f>
        <v>Type II default values</v>
      </c>
      <c r="K413" s="151" t="str">
        <f>Translations!$B$1109</f>
        <v>Purchasing records (if applicable)</v>
      </c>
      <c r="L413" s="149" t="str">
        <f>Translations!$B$527</f>
        <v>Laboratory analyses</v>
      </c>
      <c r="M413" s="149"/>
      <c r="N413" s="149"/>
      <c r="O413" s="150"/>
      <c r="P413" s="103">
        <f t="shared" si="50"/>
        <v>3</v>
      </c>
      <c r="Q413" s="147" t="str">
        <f t="shared" si="51"/>
        <v>Combustion: Gas Processing Terminals</v>
      </c>
      <c r="R413" s="17"/>
      <c r="S413" s="17" t="str">
        <f t="shared" si="52"/>
        <v>NCV_Combustion: Gas Processing Terminals</v>
      </c>
      <c r="W413" s="226"/>
      <c r="Z413" s="21" t="b">
        <f t="shared" si="49"/>
        <v>0</v>
      </c>
      <c r="AL413" s="624">
        <v>1</v>
      </c>
      <c r="AM413" s="624" t="s">
        <v>992</v>
      </c>
      <c r="AN413" s="624">
        <v>1</v>
      </c>
      <c r="AO413" s="624" t="str">
        <f>Translations!$B$1109</f>
        <v>Purchasing records (if applicable)</v>
      </c>
      <c r="AP413" s="624">
        <v>2</v>
      </c>
    </row>
    <row r="414" spans="1:42" ht="12.75" customHeight="1" outlineLevel="1" x14ac:dyDescent="0.2">
      <c r="A414" s="21">
        <v>6</v>
      </c>
      <c r="B414" s="611" t="str">
        <f t="shared" si="47"/>
        <v>Combustion of fuels</v>
      </c>
      <c r="C414" s="17" t="str">
        <f t="shared" si="47"/>
        <v>Combustion</v>
      </c>
      <c r="D414" s="17" t="str">
        <f t="shared" si="47"/>
        <v>Flares</v>
      </c>
      <c r="E414" s="17"/>
      <c r="F414" s="151" t="str">
        <f t="shared" si="48"/>
        <v>Standard method: Fuel, Article 24(1)</v>
      </c>
      <c r="G414" s="103" t="str">
        <f>""</f>
        <v/>
      </c>
      <c r="H414" s="149" t="str">
        <f>Translations!$B$493</f>
        <v>Type I default values</v>
      </c>
      <c r="I414" s="149"/>
      <c r="J414" s="149" t="str">
        <f>Translations!$B$528</f>
        <v>Type II default values</v>
      </c>
      <c r="K414" s="149" t="str">
        <f>Translations!$B$1109</f>
        <v>Purchasing records (if applicable)</v>
      </c>
      <c r="L414" s="149" t="str">
        <f>Translations!$B$527</f>
        <v>Laboratory analyses</v>
      </c>
      <c r="M414" s="149"/>
      <c r="N414" s="149"/>
      <c r="O414" s="150"/>
      <c r="P414" s="103">
        <f t="shared" si="50"/>
        <v>3</v>
      </c>
      <c r="Q414" s="147" t="str">
        <f t="shared" si="51"/>
        <v>Combustion: Flares</v>
      </c>
      <c r="R414" s="17"/>
      <c r="S414" s="17" t="str">
        <f t="shared" si="52"/>
        <v>NCV_Combustion: Flares</v>
      </c>
      <c r="Z414" s="21" t="b">
        <f t="shared" si="49"/>
        <v>0</v>
      </c>
      <c r="AL414" s="624">
        <v>1</v>
      </c>
      <c r="AM414" s="624" t="s">
        <v>992</v>
      </c>
      <c r="AN414" s="624">
        <v>1</v>
      </c>
      <c r="AO414" s="624" t="str">
        <f>Translations!$B$1109</f>
        <v>Purchasing records (if applicable)</v>
      </c>
      <c r="AP414" s="624">
        <v>2</v>
      </c>
    </row>
    <row r="415" spans="1:42" ht="12.75" customHeight="1" outlineLevel="1" x14ac:dyDescent="0.2">
      <c r="A415" s="21">
        <v>7</v>
      </c>
      <c r="B415" s="611" t="str">
        <f t="shared" si="47"/>
        <v>Combustion of fuels</v>
      </c>
      <c r="C415" s="17" t="str">
        <f t="shared" si="47"/>
        <v>Combustion</v>
      </c>
      <c r="D415" s="17" t="str">
        <f t="shared" si="47"/>
        <v>Scrubbing (carbonate)</v>
      </c>
      <c r="E415" s="17"/>
      <c r="F415" s="151" t="str">
        <f t="shared" si="48"/>
        <v>Standard method: Process, Article 24(2)</v>
      </c>
      <c r="G415" s="103" t="str">
        <f>EUconst_NA</f>
        <v>n.a.</v>
      </c>
      <c r="H415" s="149"/>
      <c r="I415" s="149"/>
      <c r="J415" s="151"/>
      <c r="K415" s="151"/>
      <c r="L415" s="149"/>
      <c r="M415" s="149"/>
      <c r="N415" s="149"/>
      <c r="O415" s="150"/>
      <c r="P415" s="103" t="str">
        <f t="shared" si="50"/>
        <v>n.a.</v>
      </c>
      <c r="Q415" s="147" t="str">
        <f t="shared" si="51"/>
        <v>Combustion: Scrubbing (carbonate)</v>
      </c>
      <c r="R415" s="17"/>
      <c r="S415" s="17" t="str">
        <f t="shared" si="52"/>
        <v>NCV_Combustion: Scrubbing (carbonate)</v>
      </c>
      <c r="Z415" s="21" t="b">
        <f t="shared" si="49"/>
        <v>1</v>
      </c>
      <c r="AL415" s="624" t="s">
        <v>992</v>
      </c>
      <c r="AM415" s="624" t="s">
        <v>992</v>
      </c>
      <c r="AN415" s="624" t="s">
        <v>992</v>
      </c>
      <c r="AO415" s="624" t="s">
        <v>992</v>
      </c>
      <c r="AP415" s="624" t="s">
        <v>992</v>
      </c>
    </row>
    <row r="416" spans="1:42" ht="12.75" customHeight="1" outlineLevel="1" x14ac:dyDescent="0.2">
      <c r="A416" s="21">
        <v>8</v>
      </c>
      <c r="B416" s="611" t="str">
        <f t="shared" si="47"/>
        <v>Combustion of fuels</v>
      </c>
      <c r="C416" s="17" t="str">
        <f t="shared" si="47"/>
        <v>Combustion</v>
      </c>
      <c r="D416" s="17" t="str">
        <f t="shared" si="47"/>
        <v>Scrubbing (gypsum)</v>
      </c>
      <c r="E416" s="17"/>
      <c r="F416" s="151" t="str">
        <f t="shared" si="48"/>
        <v>Standard method: Process, Article 24(2)</v>
      </c>
      <c r="G416" s="103" t="str">
        <f>EUconst_NA</f>
        <v>n.a.</v>
      </c>
      <c r="H416" s="149"/>
      <c r="I416" s="149"/>
      <c r="J416" s="151"/>
      <c r="K416" s="151"/>
      <c r="L416" s="149"/>
      <c r="M416" s="149"/>
      <c r="N416" s="149"/>
      <c r="O416" s="150"/>
      <c r="P416" s="103" t="str">
        <f t="shared" si="50"/>
        <v>n.a.</v>
      </c>
      <c r="Q416" s="147" t="str">
        <f t="shared" si="51"/>
        <v>Combustion: Scrubbing (gypsum)</v>
      </c>
      <c r="R416" s="17"/>
      <c r="S416" s="17" t="str">
        <f t="shared" si="52"/>
        <v>NCV_Combustion: Scrubbing (gypsum)</v>
      </c>
      <c r="Z416" s="21" t="b">
        <f t="shared" si="49"/>
        <v>1</v>
      </c>
      <c r="AL416" s="624" t="s">
        <v>992</v>
      </c>
      <c r="AM416" s="624" t="s">
        <v>992</v>
      </c>
      <c r="AN416" s="624" t="s">
        <v>992</v>
      </c>
      <c r="AO416" s="624" t="s">
        <v>992</v>
      </c>
      <c r="AP416" s="624" t="s">
        <v>992</v>
      </c>
    </row>
    <row r="417" spans="1:42" ht="12.75" customHeight="1" outlineLevel="1" x14ac:dyDescent="0.2">
      <c r="A417" s="21">
        <v>9</v>
      </c>
      <c r="B417" s="611" t="str">
        <f t="shared" si="47"/>
        <v>Combustion of fuels</v>
      </c>
      <c r="C417" s="17" t="str">
        <f t="shared" si="47"/>
        <v>Combustion</v>
      </c>
      <c r="D417" s="17" t="str">
        <f t="shared" si="47"/>
        <v>Scrubbing (urea)</v>
      </c>
      <c r="E417" s="17"/>
      <c r="F417" s="151" t="str">
        <f t="shared" si="48"/>
        <v>Standard method: Process, Article 24(2)</v>
      </c>
      <c r="G417" s="103" t="str">
        <f>EUconst_NA</f>
        <v>n.a.</v>
      </c>
      <c r="H417" s="149"/>
      <c r="I417" s="149"/>
      <c r="J417" s="151"/>
      <c r="K417" s="151"/>
      <c r="L417" s="149"/>
      <c r="M417" s="149"/>
      <c r="N417" s="149"/>
      <c r="O417" s="150"/>
      <c r="P417" s="103" t="str">
        <f t="shared" si="50"/>
        <v>n.a.</v>
      </c>
      <c r="Q417" s="147" t="str">
        <f t="shared" si="51"/>
        <v>Combustion: Scrubbing (urea)</v>
      </c>
      <c r="R417" s="17"/>
      <c r="S417" s="17" t="str">
        <f t="shared" si="52"/>
        <v>NCV_Combustion: Scrubbing (urea)</v>
      </c>
      <c r="Z417" s="21" t="b">
        <f t="shared" si="49"/>
        <v>1</v>
      </c>
      <c r="AL417" s="624" t="s">
        <v>992</v>
      </c>
      <c r="AM417" s="624" t="s">
        <v>992</v>
      </c>
      <c r="AN417" s="624" t="s">
        <v>992</v>
      </c>
      <c r="AO417" s="624" t="s">
        <v>992</v>
      </c>
      <c r="AP417" s="624" t="s">
        <v>992</v>
      </c>
    </row>
    <row r="418" spans="1:42" ht="12.75" customHeight="1" outlineLevel="1" x14ac:dyDescent="0.2">
      <c r="A418" s="21">
        <v>10</v>
      </c>
      <c r="B418" s="611" t="str">
        <f t="shared" si="47"/>
        <v xml:space="preserve">Refining of oil </v>
      </c>
      <c r="C418" s="17" t="str">
        <f t="shared" si="47"/>
        <v>Refineries</v>
      </c>
      <c r="D418" s="17" t="str">
        <f t="shared" si="47"/>
        <v>Mass balance</v>
      </c>
      <c r="E418" s="17"/>
      <c r="F418" s="151" t="str">
        <f t="shared" si="48"/>
        <v>Mass balance method, Article 25</v>
      </c>
      <c r="G418" s="103" t="str">
        <f>""</f>
        <v/>
      </c>
      <c r="H418" s="149" t="str">
        <f>Translations!$B$493</f>
        <v>Type I default values</v>
      </c>
      <c r="I418" s="149"/>
      <c r="J418" s="149" t="str">
        <f>Translations!$B$528</f>
        <v>Type II default values</v>
      </c>
      <c r="K418" s="149" t="str">
        <f>Translations!$B$1109</f>
        <v>Purchasing records (if applicable)</v>
      </c>
      <c r="L418" s="149" t="str">
        <f>Translations!$B$527</f>
        <v>Laboratory analyses</v>
      </c>
      <c r="M418" s="149"/>
      <c r="N418" s="149"/>
      <c r="O418" s="150"/>
      <c r="P418" s="103">
        <f t="shared" si="50"/>
        <v>3</v>
      </c>
      <c r="Q418" s="147" t="str">
        <f t="shared" si="51"/>
        <v>Refineries: Mass balance</v>
      </c>
      <c r="R418" s="17"/>
      <c r="S418" s="17" t="str">
        <f t="shared" si="52"/>
        <v>NCV_Refineries: Mass balance</v>
      </c>
      <c r="W418" s="226"/>
      <c r="Z418" s="21" t="b">
        <f t="shared" si="49"/>
        <v>0</v>
      </c>
      <c r="AL418" s="624">
        <v>1</v>
      </c>
      <c r="AM418" s="624" t="s">
        <v>992</v>
      </c>
      <c r="AN418" s="624">
        <v>1</v>
      </c>
      <c r="AO418" s="624" t="str">
        <f>Translations!$B$1109</f>
        <v>Purchasing records (if applicable)</v>
      </c>
      <c r="AP418" s="624">
        <v>2</v>
      </c>
    </row>
    <row r="419" spans="1:42" ht="12.75" customHeight="1" outlineLevel="1" x14ac:dyDescent="0.2">
      <c r="A419" s="21">
        <v>11</v>
      </c>
      <c r="B419" s="611" t="str">
        <f t="shared" si="47"/>
        <v xml:space="preserve">Refining of mineral oil </v>
      </c>
      <c r="C419" s="17" t="str">
        <f t="shared" si="47"/>
        <v>Refineries</v>
      </c>
      <c r="D419" s="17" t="str">
        <f t="shared" si="47"/>
        <v>Catalytic cracker regeneration</v>
      </c>
      <c r="E419" s="17"/>
      <c r="F419" s="151" t="str">
        <f t="shared" si="48"/>
        <v>Mass balance method, Article 25</v>
      </c>
      <c r="G419" s="103" t="str">
        <f>EUconst_NA</f>
        <v>n.a.</v>
      </c>
      <c r="H419" s="149"/>
      <c r="I419" s="149"/>
      <c r="J419" s="151"/>
      <c r="K419" s="151"/>
      <c r="L419" s="149"/>
      <c r="M419" s="149"/>
      <c r="N419" s="149"/>
      <c r="O419" s="150"/>
      <c r="P419" s="103" t="str">
        <f t="shared" si="50"/>
        <v>n.a.</v>
      </c>
      <c r="Q419" s="147" t="str">
        <f t="shared" si="51"/>
        <v>Refineries: Catalytic cracker regeneration</v>
      </c>
      <c r="R419" s="17"/>
      <c r="S419" s="17" t="str">
        <f t="shared" si="52"/>
        <v>NCV_Refineries: Catalytic cracker regeneration</v>
      </c>
      <c r="Z419" s="21" t="b">
        <f t="shared" si="49"/>
        <v>1</v>
      </c>
      <c r="AL419" s="624" t="s">
        <v>992</v>
      </c>
      <c r="AM419" s="624" t="s">
        <v>992</v>
      </c>
      <c r="AN419" s="624" t="s">
        <v>992</v>
      </c>
      <c r="AO419" s="624" t="s">
        <v>992</v>
      </c>
      <c r="AP419" s="624" t="s">
        <v>992</v>
      </c>
    </row>
    <row r="420" spans="1:42" ht="12.75" customHeight="1" outlineLevel="1" x14ac:dyDescent="0.2">
      <c r="A420" s="21">
        <v>12</v>
      </c>
      <c r="B420" s="611" t="str">
        <f t="shared" si="47"/>
        <v xml:space="preserve">Refining of mineral oil </v>
      </c>
      <c r="C420" s="17" t="str">
        <f t="shared" si="47"/>
        <v>Refineries</v>
      </c>
      <c r="D420" s="17" t="str">
        <f t="shared" si="47"/>
        <v>Hydrogen production</v>
      </c>
      <c r="E420" s="610"/>
      <c r="F420" s="151" t="str">
        <f t="shared" si="48"/>
        <v>Mass balance method, Article 25</v>
      </c>
      <c r="G420" s="103" t="str">
        <f>""</f>
        <v/>
      </c>
      <c r="H420" s="612" t="str">
        <f>Translations!$B$493</f>
        <v>Type I default values</v>
      </c>
      <c r="I420" s="612"/>
      <c r="J420" s="612" t="str">
        <f>Translations!$B$528</f>
        <v>Type II default values</v>
      </c>
      <c r="K420" s="612" t="str">
        <f>Translations!$B$1109</f>
        <v>Purchasing records (if applicable)</v>
      </c>
      <c r="L420" s="612" t="str">
        <f>Translations!$B$527</f>
        <v>Laboratory analyses</v>
      </c>
      <c r="M420" s="612"/>
      <c r="N420" s="612"/>
      <c r="O420" s="616"/>
      <c r="P420" s="103">
        <f t="shared" si="50"/>
        <v>3</v>
      </c>
      <c r="Q420" s="147" t="str">
        <f t="shared" si="51"/>
        <v>Refineries: Hydrogen production</v>
      </c>
      <c r="R420" s="17"/>
      <c r="S420" s="17" t="str">
        <f t="shared" si="52"/>
        <v>NCV_Refineries: Hydrogen production</v>
      </c>
      <c r="X420" s="69"/>
      <c r="Z420" s="21" t="b">
        <f t="shared" si="49"/>
        <v>0</v>
      </c>
      <c r="AL420" s="624">
        <v>1</v>
      </c>
      <c r="AM420" s="624" t="s">
        <v>992</v>
      </c>
      <c r="AN420" s="624">
        <v>1</v>
      </c>
      <c r="AO420" s="624" t="str">
        <f>Translations!$B$1109</f>
        <v>Purchasing records (if applicable)</v>
      </c>
      <c r="AP420" s="624">
        <v>2</v>
      </c>
    </row>
    <row r="421" spans="1:42" ht="12.75" customHeight="1" outlineLevel="1" x14ac:dyDescent="0.2">
      <c r="A421" s="21">
        <v>13</v>
      </c>
      <c r="B421" s="611" t="str">
        <f t="shared" si="47"/>
        <v>Production of coke</v>
      </c>
      <c r="C421" s="17" t="str">
        <f t="shared" si="47"/>
        <v>Coke</v>
      </c>
      <c r="D421" s="17" t="str">
        <f t="shared" si="47"/>
        <v>Fuel as process input</v>
      </c>
      <c r="E421" s="17"/>
      <c r="F421" s="151" t="str">
        <f t="shared" si="48"/>
        <v>Standard method: Fuel, Article 24(1)</v>
      </c>
      <c r="G421" s="103" t="s">
        <v>1531</v>
      </c>
      <c r="H421" s="613" t="str">
        <f>Translations!$B$493</f>
        <v>Type I default values</v>
      </c>
      <c r="I421" s="150"/>
      <c r="J421" s="150" t="str">
        <f>Translations!$B$528</f>
        <v>Type II default values</v>
      </c>
      <c r="K421" s="150" t="str">
        <f>Translations!$B$1109</f>
        <v>Purchasing records (if applicable)</v>
      </c>
      <c r="L421" s="613" t="str">
        <f>Translations!$B$527</f>
        <v>Laboratory analyses</v>
      </c>
      <c r="M421" s="613"/>
      <c r="N421" s="613"/>
      <c r="O421" s="146"/>
      <c r="P421" s="103">
        <f t="shared" si="50"/>
        <v>3</v>
      </c>
      <c r="Q421" s="147" t="str">
        <f t="shared" si="51"/>
        <v>Coke: Fuel as process input</v>
      </c>
      <c r="R421" s="17"/>
      <c r="S421" s="17" t="str">
        <f t="shared" si="52"/>
        <v>NCV_Coke: Fuel as process input</v>
      </c>
      <c r="W421" s="226"/>
      <c r="X421" s="69"/>
      <c r="Z421" s="21" t="b">
        <f t="shared" si="49"/>
        <v>0</v>
      </c>
      <c r="AL421" s="624">
        <v>1</v>
      </c>
      <c r="AM421" s="624" t="s">
        <v>992</v>
      </c>
      <c r="AN421" s="624">
        <v>1</v>
      </c>
      <c r="AO421" s="624" t="str">
        <f>Translations!$B$1109</f>
        <v>Purchasing records (if applicable)</v>
      </c>
      <c r="AP421" s="624">
        <v>2</v>
      </c>
    </row>
    <row r="422" spans="1:42" ht="12.75" customHeight="1" outlineLevel="1" x14ac:dyDescent="0.2">
      <c r="A422" s="21">
        <v>14</v>
      </c>
      <c r="B422" s="611" t="str">
        <f t="shared" si="47"/>
        <v>Production of coke</v>
      </c>
      <c r="C422" s="17" t="str">
        <f t="shared" si="47"/>
        <v>Coke</v>
      </c>
      <c r="D422" s="17" t="str">
        <f t="shared" si="47"/>
        <v>Process (method A): carbonate only</v>
      </c>
      <c r="E422" s="602"/>
      <c r="F422" s="151" t="str">
        <f t="shared" si="48"/>
        <v>Standard method: Process, Article 24(2)</v>
      </c>
      <c r="G422" s="103" t="str">
        <f>EUconst_NA</f>
        <v>n.a.</v>
      </c>
      <c r="H422" s="149"/>
      <c r="I422" s="149"/>
      <c r="J422" s="151"/>
      <c r="K422" s="151"/>
      <c r="L422" s="149"/>
      <c r="M422" s="149"/>
      <c r="N422" s="149"/>
      <c r="O422" s="150"/>
      <c r="P422" s="103" t="str">
        <f t="shared" si="50"/>
        <v>n.a.</v>
      </c>
      <c r="Q422" s="147" t="str">
        <f t="shared" si="51"/>
        <v>Coke: Process (method A): carbonate only</v>
      </c>
      <c r="R422" s="17"/>
      <c r="S422" s="17" t="str">
        <f t="shared" si="52"/>
        <v>NCV_Coke: Process (method A): carbonate only</v>
      </c>
      <c r="W422" s="226"/>
      <c r="X422" s="69"/>
      <c r="Z422" s="21" t="b">
        <f t="shared" si="49"/>
        <v>1</v>
      </c>
      <c r="AL422" s="624" t="s">
        <v>992</v>
      </c>
      <c r="AM422" s="624" t="s">
        <v>992</v>
      </c>
      <c r="AN422" s="624" t="s">
        <v>992</v>
      </c>
      <c r="AO422" s="624" t="s">
        <v>992</v>
      </c>
      <c r="AP422" s="624" t="s">
        <v>992</v>
      </c>
    </row>
    <row r="423" spans="1:42" ht="12.75" customHeight="1" outlineLevel="1" x14ac:dyDescent="0.2">
      <c r="A423" s="21">
        <v>15</v>
      </c>
      <c r="B423" s="611" t="str">
        <f t="shared" si="47"/>
        <v>Production of coke</v>
      </c>
      <c r="C423" s="17" t="str">
        <f t="shared" si="47"/>
        <v>Coke</v>
      </c>
      <c r="D423" s="17" t="str">
        <f t="shared" si="47"/>
        <v>Process (method A): mixed (carbonate + non-carbonate)</v>
      </c>
      <c r="E423" s="602"/>
      <c r="F423" s="151" t="str">
        <f t="shared" si="48"/>
        <v>Standard method: Process, Article 24(2)</v>
      </c>
      <c r="G423" s="103" t="s">
        <v>1531</v>
      </c>
      <c r="H423" s="613" t="str">
        <f>Translations!$B$493</f>
        <v>Type I default values</v>
      </c>
      <c r="I423" s="150"/>
      <c r="J423" s="150" t="str">
        <f>Translations!$B$528</f>
        <v>Type II default values</v>
      </c>
      <c r="K423" s="150" t="str">
        <f>Translations!$B$1109</f>
        <v>Purchasing records (if applicable)</v>
      </c>
      <c r="L423" s="613" t="str">
        <f>Translations!$B$527</f>
        <v>Laboratory analyses</v>
      </c>
      <c r="M423" s="613"/>
      <c r="N423" s="613"/>
      <c r="O423" s="148"/>
      <c r="P423" s="103">
        <f t="shared" si="50"/>
        <v>3</v>
      </c>
      <c r="Q423" s="147" t="str">
        <f t="shared" si="51"/>
        <v>Coke: Process (method A): mixed (carbonate + non-carbonate)</v>
      </c>
      <c r="R423" s="17"/>
      <c r="S423" s="17" t="str">
        <f t="shared" si="52"/>
        <v>NCV_Coke: Process (method A): mixed (carbonate + non-carbonate)</v>
      </c>
      <c r="W423" s="226"/>
      <c r="X423" s="69"/>
      <c r="Z423" s="21" t="b">
        <f t="shared" si="49"/>
        <v>0</v>
      </c>
      <c r="AL423" s="624">
        <v>1</v>
      </c>
      <c r="AM423" s="624" t="s">
        <v>992</v>
      </c>
      <c r="AN423" s="624">
        <v>1</v>
      </c>
      <c r="AO423" s="624" t="str">
        <f>Translations!$B$1109</f>
        <v>Purchasing records (if applicable)</v>
      </c>
      <c r="AP423" s="624">
        <v>2</v>
      </c>
    </row>
    <row r="424" spans="1:42" ht="12.75" customHeight="1" outlineLevel="1" x14ac:dyDescent="0.2">
      <c r="A424" s="21">
        <v>16</v>
      </c>
      <c r="B424" s="611" t="str">
        <f t="shared" si="47"/>
        <v>Production of coke</v>
      </c>
      <c r="C424" s="17" t="str">
        <f t="shared" si="47"/>
        <v>Coke</v>
      </c>
      <c r="D424" s="17" t="str">
        <f t="shared" si="47"/>
        <v>Process (method A): non-carbonate</v>
      </c>
      <c r="E424" s="602"/>
      <c r="F424" s="151" t="str">
        <f t="shared" si="48"/>
        <v>Standard method: Process, Article 24(2)</v>
      </c>
      <c r="G424" s="103" t="s">
        <v>1531</v>
      </c>
      <c r="H424" s="613" t="str">
        <f>Translations!$B$493</f>
        <v>Type I default values</v>
      </c>
      <c r="I424" s="150"/>
      <c r="J424" s="150" t="str">
        <f>Translations!$B$528</f>
        <v>Type II default values</v>
      </c>
      <c r="K424" s="150" t="str">
        <f>Translations!$B$1109</f>
        <v>Purchasing records (if applicable)</v>
      </c>
      <c r="L424" s="613" t="str">
        <f>Translations!$B$527</f>
        <v>Laboratory analyses</v>
      </c>
      <c r="M424" s="613"/>
      <c r="N424" s="613"/>
      <c r="O424" s="148"/>
      <c r="P424" s="103">
        <f t="shared" si="50"/>
        <v>3</v>
      </c>
      <c r="Q424" s="147" t="str">
        <f t="shared" si="51"/>
        <v>Coke: Process (method A): non-carbonate</v>
      </c>
      <c r="R424" s="17"/>
      <c r="S424" s="17" t="str">
        <f t="shared" si="52"/>
        <v>NCV_Coke: Process (method A): non-carbonate</v>
      </c>
      <c r="W424" s="226"/>
      <c r="X424" s="69"/>
      <c r="Z424" s="21" t="b">
        <f t="shared" si="49"/>
        <v>0</v>
      </c>
      <c r="AL424" s="624">
        <v>1</v>
      </c>
      <c r="AM424" s="624" t="s">
        <v>992</v>
      </c>
      <c r="AN424" s="624">
        <v>1</v>
      </c>
      <c r="AO424" s="624" t="str">
        <f>Translations!$B$1109</f>
        <v>Purchasing records (if applicable)</v>
      </c>
      <c r="AP424" s="624">
        <v>2</v>
      </c>
    </row>
    <row r="425" spans="1:42" ht="12.75" customHeight="1" outlineLevel="1" x14ac:dyDescent="0.2">
      <c r="A425" s="21">
        <v>17</v>
      </c>
      <c r="B425" s="611" t="str">
        <f t="shared" si="47"/>
        <v>Production of coke</v>
      </c>
      <c r="C425" s="17" t="str">
        <f t="shared" si="47"/>
        <v>Coke</v>
      </c>
      <c r="D425" s="17" t="str">
        <f t="shared" si="47"/>
        <v>Process (method B): oxide output</v>
      </c>
      <c r="E425" s="610"/>
      <c r="F425" s="151" t="str">
        <f t="shared" si="48"/>
        <v>Standard method: Process, Article 24(2)</v>
      </c>
      <c r="G425" s="103" t="str">
        <f>EUconst_NA</f>
        <v>n.a.</v>
      </c>
      <c r="H425" s="149"/>
      <c r="I425" s="149"/>
      <c r="J425" s="151"/>
      <c r="K425" s="151"/>
      <c r="L425" s="149"/>
      <c r="M425" s="149"/>
      <c r="N425" s="149"/>
      <c r="O425" s="150"/>
      <c r="P425" s="103" t="str">
        <f t="shared" si="50"/>
        <v>n.a.</v>
      </c>
      <c r="Q425" s="147" t="str">
        <f t="shared" si="51"/>
        <v>Coke: Process (method B): oxide output</v>
      </c>
      <c r="R425" s="17"/>
      <c r="S425" s="17" t="str">
        <f t="shared" si="52"/>
        <v>NCV_Coke: Process (method B): oxide output</v>
      </c>
      <c r="W425" s="226"/>
      <c r="X425" s="69"/>
      <c r="Z425" s="21" t="b">
        <f t="shared" si="49"/>
        <v>1</v>
      </c>
      <c r="AL425" s="624" t="s">
        <v>992</v>
      </c>
      <c r="AM425" s="624" t="s">
        <v>992</v>
      </c>
      <c r="AN425" s="624" t="s">
        <v>992</v>
      </c>
      <c r="AO425" s="624" t="s">
        <v>992</v>
      </c>
      <c r="AP425" s="624" t="s">
        <v>992</v>
      </c>
    </row>
    <row r="426" spans="1:42" ht="12.75" customHeight="1" outlineLevel="1" x14ac:dyDescent="0.2">
      <c r="A426" s="21">
        <v>18</v>
      </c>
      <c r="B426" s="611" t="str">
        <f t="shared" si="47"/>
        <v>Production of coke</v>
      </c>
      <c r="C426" s="17" t="str">
        <f t="shared" si="47"/>
        <v>Coke</v>
      </c>
      <c r="D426" s="17" t="str">
        <f t="shared" si="47"/>
        <v>Mass balance</v>
      </c>
      <c r="E426" s="17"/>
      <c r="F426" s="151" t="str">
        <f t="shared" si="48"/>
        <v>Mass balance method, Article 25</v>
      </c>
      <c r="G426" s="103" t="str">
        <f>""</f>
        <v/>
      </c>
      <c r="H426" s="149" t="str">
        <f>Translations!$B$493</f>
        <v>Type I default values</v>
      </c>
      <c r="I426" s="149"/>
      <c r="J426" s="149" t="str">
        <f>Translations!$B$528</f>
        <v>Type II default values</v>
      </c>
      <c r="K426" s="149" t="str">
        <f>Translations!$B$1109</f>
        <v>Purchasing records (if applicable)</v>
      </c>
      <c r="L426" s="149" t="str">
        <f>Translations!$B$527</f>
        <v>Laboratory analyses</v>
      </c>
      <c r="M426" s="149"/>
      <c r="N426" s="149"/>
      <c r="O426" s="150"/>
      <c r="P426" s="103">
        <f t="shared" si="50"/>
        <v>3</v>
      </c>
      <c r="Q426" s="147" t="str">
        <f t="shared" si="51"/>
        <v>Coke: Mass balance</v>
      </c>
      <c r="R426" s="17"/>
      <c r="S426" s="17" t="str">
        <f t="shared" si="52"/>
        <v>NCV_Coke: Mass balance</v>
      </c>
      <c r="X426" s="69"/>
      <c r="Z426" s="21" t="b">
        <f t="shared" si="49"/>
        <v>0</v>
      </c>
      <c r="AL426" s="624">
        <v>1</v>
      </c>
      <c r="AM426" s="624" t="s">
        <v>992</v>
      </c>
      <c r="AN426" s="624">
        <v>1</v>
      </c>
      <c r="AO426" s="624" t="str">
        <f>Translations!$B$1109</f>
        <v>Purchasing records (if applicable)</v>
      </c>
      <c r="AP426" s="624">
        <v>2</v>
      </c>
    </row>
    <row r="427" spans="1:42" ht="12.75" customHeight="1" outlineLevel="1" x14ac:dyDescent="0.2">
      <c r="A427" s="21">
        <v>19</v>
      </c>
      <c r="B427" s="611" t="str">
        <f t="shared" si="47"/>
        <v>Metal ore roasting or sintering</v>
      </c>
      <c r="C427" s="17" t="str">
        <f t="shared" si="47"/>
        <v>Metal ore</v>
      </c>
      <c r="D427" s="17" t="str">
        <f t="shared" si="47"/>
        <v>Process (method A): carbonate only</v>
      </c>
      <c r="E427" s="602"/>
      <c r="F427" s="151" t="str">
        <f t="shared" si="48"/>
        <v>Standard method: Process, Article 24(2)</v>
      </c>
      <c r="G427" s="103" t="str">
        <f>EUconst_NA</f>
        <v>n.a.</v>
      </c>
      <c r="H427" s="149"/>
      <c r="I427" s="149"/>
      <c r="J427" s="151"/>
      <c r="K427" s="151"/>
      <c r="L427" s="149"/>
      <c r="M427" s="149"/>
      <c r="N427" s="149"/>
      <c r="O427" s="150"/>
      <c r="P427" s="103" t="str">
        <f t="shared" si="50"/>
        <v>n.a.</v>
      </c>
      <c r="Q427" s="147" t="str">
        <f t="shared" si="51"/>
        <v>Metal ore: Process (method A): carbonate only</v>
      </c>
      <c r="R427" s="17"/>
      <c r="S427" s="17" t="str">
        <f t="shared" si="52"/>
        <v>NCV_Metal ore: Process (method A): carbonate only</v>
      </c>
      <c r="X427" s="69"/>
      <c r="Z427" s="21" t="b">
        <f t="shared" si="49"/>
        <v>1</v>
      </c>
      <c r="AL427" s="624" t="s">
        <v>992</v>
      </c>
      <c r="AM427" s="624" t="s">
        <v>992</v>
      </c>
      <c r="AN427" s="624" t="s">
        <v>992</v>
      </c>
      <c r="AO427" s="624" t="s">
        <v>992</v>
      </c>
      <c r="AP427" s="624" t="s">
        <v>992</v>
      </c>
    </row>
    <row r="428" spans="1:42" ht="12.75" customHeight="1" outlineLevel="1" x14ac:dyDescent="0.2">
      <c r="A428" s="21">
        <v>20</v>
      </c>
      <c r="B428" s="611" t="str">
        <f t="shared" si="47"/>
        <v>Metal ore roasting or sintering</v>
      </c>
      <c r="C428" s="17" t="str">
        <f t="shared" si="47"/>
        <v>Metal ore</v>
      </c>
      <c r="D428" s="17" t="str">
        <f t="shared" si="47"/>
        <v>Process (method A): mixed (carbonate + non-carbonate)</v>
      </c>
      <c r="E428" s="602"/>
      <c r="F428" s="151" t="str">
        <f t="shared" si="48"/>
        <v>Standard method: Process, Article 24(2)</v>
      </c>
      <c r="G428" s="103" t="s">
        <v>1531</v>
      </c>
      <c r="H428" s="613" t="str">
        <f>Translations!$B$493</f>
        <v>Type I default values</v>
      </c>
      <c r="I428" s="150"/>
      <c r="J428" s="150" t="str">
        <f>Translations!$B$528</f>
        <v>Type II default values</v>
      </c>
      <c r="K428" s="150" t="str">
        <f>Translations!$B$1109</f>
        <v>Purchasing records (if applicable)</v>
      </c>
      <c r="L428" s="613" t="str">
        <f>Translations!$B$527</f>
        <v>Laboratory analyses</v>
      </c>
      <c r="M428" s="613"/>
      <c r="N428" s="613"/>
      <c r="O428" s="148"/>
      <c r="P428" s="103">
        <f t="shared" si="50"/>
        <v>3</v>
      </c>
      <c r="Q428" s="147" t="str">
        <f t="shared" si="51"/>
        <v>Metal ore: Process (method A): mixed (carbonate + non-carbonate)</v>
      </c>
      <c r="R428" s="17"/>
      <c r="S428" s="17" t="str">
        <f t="shared" si="52"/>
        <v>NCV_Metal ore: Process (method A): mixed (carbonate + non-carbonate)</v>
      </c>
      <c r="W428" s="226"/>
      <c r="X428" s="69"/>
      <c r="Z428" s="21" t="b">
        <f t="shared" si="49"/>
        <v>0</v>
      </c>
      <c r="AL428" s="624">
        <v>1</v>
      </c>
      <c r="AM428" s="624" t="s">
        <v>992</v>
      </c>
      <c r="AN428" s="624">
        <v>1</v>
      </c>
      <c r="AO428" s="624" t="str">
        <f>Translations!$B$1109</f>
        <v>Purchasing records (if applicable)</v>
      </c>
      <c r="AP428" s="624">
        <v>2</v>
      </c>
    </row>
    <row r="429" spans="1:42" ht="12.75" customHeight="1" outlineLevel="1" x14ac:dyDescent="0.2">
      <c r="A429" s="21">
        <v>21</v>
      </c>
      <c r="B429" s="611" t="str">
        <f t="shared" ref="B429:D448" si="53">B357</f>
        <v>Metal ore roasting or sintering</v>
      </c>
      <c r="C429" s="17" t="str">
        <f t="shared" si="53"/>
        <v>Metal ore</v>
      </c>
      <c r="D429" s="17" t="str">
        <f t="shared" si="53"/>
        <v>Process (method A): non-carbonate</v>
      </c>
      <c r="E429" s="602"/>
      <c r="F429" s="151" t="str">
        <f t="shared" si="48"/>
        <v>Standard method: Process, Article 24(2)</v>
      </c>
      <c r="G429" s="103" t="s">
        <v>1531</v>
      </c>
      <c r="H429" s="613" t="str">
        <f>Translations!$B$493</f>
        <v>Type I default values</v>
      </c>
      <c r="I429" s="150"/>
      <c r="J429" s="150" t="str">
        <f>Translations!$B$528</f>
        <v>Type II default values</v>
      </c>
      <c r="K429" s="150" t="str">
        <f>Translations!$B$1109</f>
        <v>Purchasing records (if applicable)</v>
      </c>
      <c r="L429" s="613" t="str">
        <f>Translations!$B$527</f>
        <v>Laboratory analyses</v>
      </c>
      <c r="M429" s="613"/>
      <c r="N429" s="613"/>
      <c r="O429" s="148"/>
      <c r="P429" s="103">
        <f t="shared" si="50"/>
        <v>3</v>
      </c>
      <c r="Q429" s="147" t="str">
        <f t="shared" si="51"/>
        <v>Metal ore: Process (method A): non-carbonate</v>
      </c>
      <c r="R429" s="17"/>
      <c r="S429" s="17" t="str">
        <f t="shared" si="52"/>
        <v>NCV_Metal ore: Process (method A): non-carbonate</v>
      </c>
      <c r="W429" s="226"/>
      <c r="X429" s="69"/>
      <c r="Z429" s="21" t="b">
        <f t="shared" si="49"/>
        <v>0</v>
      </c>
      <c r="AL429" s="624">
        <v>1</v>
      </c>
      <c r="AM429" s="624" t="s">
        <v>992</v>
      </c>
      <c r="AN429" s="624">
        <v>1</v>
      </c>
      <c r="AO429" s="624" t="str">
        <f>Translations!$B$1109</f>
        <v>Purchasing records (if applicable)</v>
      </c>
      <c r="AP429" s="624">
        <v>2</v>
      </c>
    </row>
    <row r="430" spans="1:42" ht="12.75" customHeight="1" outlineLevel="1" x14ac:dyDescent="0.2">
      <c r="A430" s="21">
        <v>22</v>
      </c>
      <c r="B430" s="611" t="str">
        <f t="shared" si="53"/>
        <v>Metal ore roasting or sintering</v>
      </c>
      <c r="C430" s="17" t="str">
        <f t="shared" si="53"/>
        <v>Metal ore</v>
      </c>
      <c r="D430" s="17" t="str">
        <f t="shared" si="53"/>
        <v>Process (method B): oxide output</v>
      </c>
      <c r="E430" s="602"/>
      <c r="F430" s="151" t="str">
        <f t="shared" si="48"/>
        <v>Standard method: Process, Article 24(2)</v>
      </c>
      <c r="G430" s="103" t="str">
        <f>EUconst_NA</f>
        <v>n.a.</v>
      </c>
      <c r="H430" s="149"/>
      <c r="I430" s="149"/>
      <c r="J430" s="151"/>
      <c r="K430" s="151"/>
      <c r="L430" s="149"/>
      <c r="M430" s="149"/>
      <c r="N430" s="149"/>
      <c r="O430" s="150"/>
      <c r="P430" s="103" t="str">
        <f t="shared" si="50"/>
        <v>n.a.</v>
      </c>
      <c r="Q430" s="147" t="str">
        <f t="shared" si="51"/>
        <v>Metal ore: Process (method B): oxide output</v>
      </c>
      <c r="R430" s="17"/>
      <c r="S430" s="17" t="str">
        <f t="shared" si="52"/>
        <v>NCV_Metal ore: Process (method B): oxide output</v>
      </c>
      <c r="W430" s="226"/>
      <c r="X430" s="69"/>
      <c r="Z430" s="21" t="b">
        <f t="shared" si="49"/>
        <v>1</v>
      </c>
      <c r="AL430" s="624" t="s">
        <v>992</v>
      </c>
      <c r="AM430" s="624" t="s">
        <v>992</v>
      </c>
      <c r="AN430" s="624" t="s">
        <v>992</v>
      </c>
      <c r="AO430" s="624" t="s">
        <v>992</v>
      </c>
      <c r="AP430" s="624" t="s">
        <v>992</v>
      </c>
    </row>
    <row r="431" spans="1:42" ht="12.75" customHeight="1" outlineLevel="1" x14ac:dyDescent="0.2">
      <c r="A431" s="21">
        <v>23</v>
      </c>
      <c r="B431" s="611" t="str">
        <f t="shared" si="53"/>
        <v>Metal ore roasting or sintering</v>
      </c>
      <c r="C431" s="17" t="str">
        <f t="shared" si="53"/>
        <v>Metal ore</v>
      </c>
      <c r="D431" s="17" t="str">
        <f t="shared" si="53"/>
        <v>Mass balance</v>
      </c>
      <c r="E431" s="17"/>
      <c r="F431" s="151" t="str">
        <f t="shared" si="48"/>
        <v>Mass balance method, Article 25</v>
      </c>
      <c r="G431" s="103" t="str">
        <f>""</f>
        <v/>
      </c>
      <c r="H431" s="149" t="str">
        <f>Translations!$B$493</f>
        <v>Type I default values</v>
      </c>
      <c r="I431" s="149"/>
      <c r="J431" s="149" t="str">
        <f>Translations!$B$528</f>
        <v>Type II default values</v>
      </c>
      <c r="K431" s="149" t="str">
        <f>Translations!$B$1109</f>
        <v>Purchasing records (if applicable)</v>
      </c>
      <c r="L431" s="149" t="str">
        <f>Translations!$B$527</f>
        <v>Laboratory analyses</v>
      </c>
      <c r="M431" s="149"/>
      <c r="N431" s="149"/>
      <c r="O431" s="150"/>
      <c r="P431" s="103">
        <f t="shared" si="50"/>
        <v>3</v>
      </c>
      <c r="Q431" s="147" t="str">
        <f t="shared" si="51"/>
        <v>Metal ore: Mass balance</v>
      </c>
      <c r="R431" s="17"/>
      <c r="S431" s="17" t="str">
        <f t="shared" si="52"/>
        <v>NCV_Metal ore: Mass balance</v>
      </c>
      <c r="X431" s="69"/>
      <c r="Z431" s="21" t="b">
        <f t="shared" si="49"/>
        <v>0</v>
      </c>
      <c r="AL431" s="624">
        <v>1</v>
      </c>
      <c r="AM431" s="624" t="s">
        <v>992</v>
      </c>
      <c r="AN431" s="624">
        <v>1</v>
      </c>
      <c r="AO431" s="624" t="str">
        <f>Translations!$B$1109</f>
        <v>Purchasing records (if applicable)</v>
      </c>
      <c r="AP431" s="624">
        <v>2</v>
      </c>
    </row>
    <row r="432" spans="1:42" ht="12.75" customHeight="1" outlineLevel="1" x14ac:dyDescent="0.2">
      <c r="A432" s="21">
        <v>24</v>
      </c>
      <c r="B432" s="611" t="str">
        <f t="shared" si="53"/>
        <v>Production of iron or steel</v>
      </c>
      <c r="C432" s="17" t="str">
        <f t="shared" si="53"/>
        <v>Iron &amp; steel</v>
      </c>
      <c r="D432" s="17" t="str">
        <f t="shared" si="53"/>
        <v>Fuel as process input</v>
      </c>
      <c r="E432" s="17"/>
      <c r="F432" s="151" t="str">
        <f t="shared" si="48"/>
        <v>Standard method: Fuel, Article 24(1)</v>
      </c>
      <c r="G432" s="103" t="s">
        <v>1531</v>
      </c>
      <c r="H432" s="613" t="str">
        <f>Translations!$B$493</f>
        <v>Type I default values</v>
      </c>
      <c r="I432" s="150"/>
      <c r="J432" s="150" t="str">
        <f>Translations!$B$528</f>
        <v>Type II default values</v>
      </c>
      <c r="K432" s="150" t="str">
        <f>Translations!$B$1109</f>
        <v>Purchasing records (if applicable)</v>
      </c>
      <c r="L432" s="613" t="str">
        <f>Translations!$B$527</f>
        <v>Laboratory analyses</v>
      </c>
      <c r="M432" s="613"/>
      <c r="N432" s="613"/>
      <c r="O432" s="146"/>
      <c r="P432" s="103">
        <f t="shared" si="50"/>
        <v>3</v>
      </c>
      <c r="Q432" s="147" t="str">
        <f t="shared" si="51"/>
        <v>Iron &amp; steel: Fuel as process input</v>
      </c>
      <c r="R432" s="17"/>
      <c r="S432" s="17" t="str">
        <f t="shared" si="52"/>
        <v>NCV_Iron &amp; steel: Fuel as process input</v>
      </c>
      <c r="X432" s="69"/>
      <c r="Z432" s="21" t="b">
        <f t="shared" si="49"/>
        <v>0</v>
      </c>
      <c r="AL432" s="624">
        <v>1</v>
      </c>
      <c r="AM432" s="624" t="s">
        <v>992</v>
      </c>
      <c r="AN432" s="624">
        <v>1</v>
      </c>
      <c r="AO432" s="624" t="str">
        <f>Translations!$B$1109</f>
        <v>Purchasing records (if applicable)</v>
      </c>
      <c r="AP432" s="624">
        <v>2</v>
      </c>
    </row>
    <row r="433" spans="1:42" ht="12.75" customHeight="1" outlineLevel="1" x14ac:dyDescent="0.2">
      <c r="A433" s="21">
        <v>25</v>
      </c>
      <c r="B433" s="611" t="str">
        <f t="shared" si="53"/>
        <v>Production of iron or steel</v>
      </c>
      <c r="C433" s="17" t="str">
        <f t="shared" si="53"/>
        <v>Iron &amp; steel</v>
      </c>
      <c r="D433" s="17" t="str">
        <f t="shared" si="53"/>
        <v>Process (method A): carbonate only</v>
      </c>
      <c r="E433" s="602"/>
      <c r="F433" s="151" t="str">
        <f t="shared" si="48"/>
        <v>Standard method: Process, Article 24(2)</v>
      </c>
      <c r="G433" s="103" t="str">
        <f>EUconst_NA</f>
        <v>n.a.</v>
      </c>
      <c r="H433" s="149"/>
      <c r="I433" s="149"/>
      <c r="J433" s="151"/>
      <c r="K433" s="151"/>
      <c r="L433" s="149"/>
      <c r="M433" s="149"/>
      <c r="N433" s="149"/>
      <c r="O433" s="150"/>
      <c r="P433" s="103" t="str">
        <f t="shared" si="50"/>
        <v>n.a.</v>
      </c>
      <c r="Q433" s="147" t="str">
        <f t="shared" si="51"/>
        <v>Iron &amp; steel: Process (method A): carbonate only</v>
      </c>
      <c r="R433" s="17"/>
      <c r="S433" s="17" t="str">
        <f t="shared" si="52"/>
        <v>NCV_Iron &amp; steel: Process (method A): carbonate only</v>
      </c>
      <c r="W433" s="226"/>
      <c r="X433" s="69"/>
      <c r="Z433" s="21" t="b">
        <f t="shared" si="49"/>
        <v>1</v>
      </c>
      <c r="AL433" s="624" t="s">
        <v>992</v>
      </c>
      <c r="AM433" s="624" t="s">
        <v>992</v>
      </c>
      <c r="AN433" s="624" t="s">
        <v>992</v>
      </c>
      <c r="AO433" s="624" t="s">
        <v>992</v>
      </c>
      <c r="AP433" s="624" t="s">
        <v>992</v>
      </c>
    </row>
    <row r="434" spans="1:42" ht="12.75" customHeight="1" outlineLevel="1" x14ac:dyDescent="0.2">
      <c r="A434" s="21">
        <v>26</v>
      </c>
      <c r="B434" s="611" t="str">
        <f t="shared" si="53"/>
        <v>Production of iron or steel</v>
      </c>
      <c r="C434" s="17" t="str">
        <f t="shared" si="53"/>
        <v>Iron &amp; steel</v>
      </c>
      <c r="D434" s="17" t="str">
        <f t="shared" si="53"/>
        <v>Process (method A): mixed (carbonate + non-carbonate)</v>
      </c>
      <c r="E434" s="602"/>
      <c r="F434" s="151" t="str">
        <f t="shared" si="48"/>
        <v>Standard method: Process, Article 24(2)</v>
      </c>
      <c r="G434" s="103" t="s">
        <v>1531</v>
      </c>
      <c r="H434" s="613" t="str">
        <f>Translations!$B$493</f>
        <v>Type I default values</v>
      </c>
      <c r="I434" s="150"/>
      <c r="J434" s="150" t="str">
        <f>Translations!$B$528</f>
        <v>Type II default values</v>
      </c>
      <c r="K434" s="150" t="str">
        <f>Translations!$B$1109</f>
        <v>Purchasing records (if applicable)</v>
      </c>
      <c r="L434" s="613" t="str">
        <f>Translations!$B$527</f>
        <v>Laboratory analyses</v>
      </c>
      <c r="M434" s="613"/>
      <c r="N434" s="613"/>
      <c r="O434" s="148"/>
      <c r="P434" s="103">
        <f t="shared" si="50"/>
        <v>3</v>
      </c>
      <c r="Q434" s="147" t="str">
        <f t="shared" si="51"/>
        <v>Iron &amp; steel: Process (method A): mixed (carbonate + non-carbonate)</v>
      </c>
      <c r="R434" s="17"/>
      <c r="S434" s="17" t="str">
        <f t="shared" si="52"/>
        <v>NCV_Iron &amp; steel: Process (method A): mixed (carbonate + non-carbonate)</v>
      </c>
      <c r="W434" s="226"/>
      <c r="X434" s="69"/>
      <c r="Z434" s="21" t="b">
        <f t="shared" si="49"/>
        <v>0</v>
      </c>
      <c r="AL434" s="624">
        <v>1</v>
      </c>
      <c r="AM434" s="624" t="s">
        <v>992</v>
      </c>
      <c r="AN434" s="624">
        <v>1</v>
      </c>
      <c r="AO434" s="624" t="str">
        <f>Translations!$B$1109</f>
        <v>Purchasing records (if applicable)</v>
      </c>
      <c r="AP434" s="624">
        <v>2</v>
      </c>
    </row>
    <row r="435" spans="1:42" ht="12.75" customHeight="1" outlineLevel="1" x14ac:dyDescent="0.2">
      <c r="A435" s="21">
        <v>27</v>
      </c>
      <c r="B435" s="611" t="str">
        <f t="shared" si="53"/>
        <v>Production of iron or steel</v>
      </c>
      <c r="C435" s="17" t="str">
        <f t="shared" si="53"/>
        <v>Iron &amp; steel</v>
      </c>
      <c r="D435" s="17" t="str">
        <f t="shared" si="53"/>
        <v>Process (method A): non-carbonate</v>
      </c>
      <c r="E435" s="602"/>
      <c r="F435" s="151" t="str">
        <f t="shared" si="48"/>
        <v>Standard method: Process, Article 24(2)</v>
      </c>
      <c r="G435" s="103" t="s">
        <v>1531</v>
      </c>
      <c r="H435" s="613" t="str">
        <f>Translations!$B$493</f>
        <v>Type I default values</v>
      </c>
      <c r="I435" s="150"/>
      <c r="J435" s="150" t="str">
        <f>Translations!$B$528</f>
        <v>Type II default values</v>
      </c>
      <c r="K435" s="150" t="str">
        <f>Translations!$B$1109</f>
        <v>Purchasing records (if applicable)</v>
      </c>
      <c r="L435" s="613" t="str">
        <f>Translations!$B$527</f>
        <v>Laboratory analyses</v>
      </c>
      <c r="M435" s="613"/>
      <c r="N435" s="613"/>
      <c r="O435" s="148"/>
      <c r="P435" s="103">
        <f t="shared" si="50"/>
        <v>3</v>
      </c>
      <c r="Q435" s="147" t="str">
        <f t="shared" si="51"/>
        <v>Iron &amp; steel: Process (method A): non-carbonate</v>
      </c>
      <c r="R435" s="17"/>
      <c r="S435" s="17" t="str">
        <f t="shared" si="52"/>
        <v>NCV_Iron &amp; steel: Process (method A): non-carbonate</v>
      </c>
      <c r="W435" s="226"/>
      <c r="X435" s="69"/>
      <c r="Z435" s="21" t="b">
        <f t="shared" si="49"/>
        <v>0</v>
      </c>
      <c r="AL435" s="624">
        <v>1</v>
      </c>
      <c r="AM435" s="624" t="s">
        <v>992</v>
      </c>
      <c r="AN435" s="624">
        <v>1</v>
      </c>
      <c r="AO435" s="624" t="str">
        <f>Translations!$B$1109</f>
        <v>Purchasing records (if applicable)</v>
      </c>
      <c r="AP435" s="624">
        <v>2</v>
      </c>
    </row>
    <row r="436" spans="1:42" ht="12.75" customHeight="1" outlineLevel="1" x14ac:dyDescent="0.2">
      <c r="A436" s="21">
        <v>28</v>
      </c>
      <c r="B436" s="611" t="str">
        <f t="shared" si="53"/>
        <v>Production of iron or steel</v>
      </c>
      <c r="C436" s="17" t="str">
        <f t="shared" si="53"/>
        <v>Iron &amp; steel</v>
      </c>
      <c r="D436" s="17" t="str">
        <f t="shared" si="53"/>
        <v>Process (method B): oxide output</v>
      </c>
      <c r="E436" s="602"/>
      <c r="F436" s="151" t="str">
        <f t="shared" si="48"/>
        <v>Standard method: Process, Article 24(2)</v>
      </c>
      <c r="G436" s="103" t="str">
        <f>EUconst_NA</f>
        <v>n.a.</v>
      </c>
      <c r="H436" s="149"/>
      <c r="I436" s="149"/>
      <c r="J436" s="151"/>
      <c r="K436" s="151"/>
      <c r="L436" s="149"/>
      <c r="M436" s="149"/>
      <c r="N436" s="149"/>
      <c r="O436" s="150"/>
      <c r="P436" s="103" t="str">
        <f t="shared" si="50"/>
        <v>n.a.</v>
      </c>
      <c r="Q436" s="147" t="str">
        <f t="shared" si="51"/>
        <v>Iron &amp; steel: Process (method B): oxide output</v>
      </c>
      <c r="R436" s="17"/>
      <c r="S436" s="17" t="str">
        <f t="shared" si="52"/>
        <v>NCV_Iron &amp; steel: Process (method B): oxide output</v>
      </c>
      <c r="W436" s="226"/>
      <c r="X436" s="69"/>
      <c r="Z436" s="21" t="b">
        <f t="shared" si="49"/>
        <v>1</v>
      </c>
      <c r="AL436" s="624" t="s">
        <v>992</v>
      </c>
      <c r="AM436" s="624" t="s">
        <v>992</v>
      </c>
      <c r="AN436" s="624" t="s">
        <v>992</v>
      </c>
      <c r="AO436" s="624" t="s">
        <v>992</v>
      </c>
      <c r="AP436" s="624" t="s">
        <v>992</v>
      </c>
    </row>
    <row r="437" spans="1:42" ht="12.75" customHeight="1" outlineLevel="1" x14ac:dyDescent="0.2">
      <c r="A437" s="21">
        <v>29</v>
      </c>
      <c r="B437" s="611" t="str">
        <f t="shared" si="53"/>
        <v>Production of iron or steel</v>
      </c>
      <c r="C437" s="17" t="str">
        <f t="shared" si="53"/>
        <v>Iron &amp; steel</v>
      </c>
      <c r="D437" s="17" t="str">
        <f t="shared" si="53"/>
        <v>Mass balance</v>
      </c>
      <c r="E437" s="17"/>
      <c r="F437" s="151" t="str">
        <f t="shared" si="48"/>
        <v>Mass balance method, Article 25</v>
      </c>
      <c r="G437" s="103" t="str">
        <f>""</f>
        <v/>
      </c>
      <c r="H437" s="149" t="str">
        <f>Translations!$B$493</f>
        <v>Type I default values</v>
      </c>
      <c r="I437" s="149"/>
      <c r="J437" s="149" t="str">
        <f>Translations!$B$528</f>
        <v>Type II default values</v>
      </c>
      <c r="K437" s="149" t="str">
        <f>Translations!$B$1109</f>
        <v>Purchasing records (if applicable)</v>
      </c>
      <c r="L437" s="149" t="str">
        <f>Translations!$B$527</f>
        <v>Laboratory analyses</v>
      </c>
      <c r="M437" s="149"/>
      <c r="N437" s="149"/>
      <c r="O437" s="150"/>
      <c r="P437" s="103">
        <f t="shared" si="50"/>
        <v>3</v>
      </c>
      <c r="Q437" s="147" t="str">
        <f t="shared" si="51"/>
        <v>Iron &amp; steel: Mass balance</v>
      </c>
      <c r="R437" s="17"/>
      <c r="S437" s="17" t="str">
        <f t="shared" si="52"/>
        <v>NCV_Iron &amp; steel: Mass balance</v>
      </c>
      <c r="X437" s="69"/>
      <c r="Z437" s="21" t="b">
        <f t="shared" si="49"/>
        <v>0</v>
      </c>
      <c r="AL437" s="624">
        <v>1</v>
      </c>
      <c r="AM437" s="624" t="s">
        <v>992</v>
      </c>
      <c r="AN437" s="624">
        <v>1</v>
      </c>
      <c r="AO437" s="624" t="str">
        <f>Translations!$B$1109</f>
        <v>Purchasing records (if applicable)</v>
      </c>
      <c r="AP437" s="624">
        <v>2</v>
      </c>
    </row>
    <row r="438" spans="1:42" ht="12.75" customHeight="1" outlineLevel="1" x14ac:dyDescent="0.2">
      <c r="A438" s="21">
        <v>30</v>
      </c>
      <c r="B438" s="611" t="str">
        <f t="shared" si="53"/>
        <v>Production of cement clinker</v>
      </c>
      <c r="C438" s="17" t="str">
        <f t="shared" si="53"/>
        <v>Cement clinker</v>
      </c>
      <c r="D438" s="17" t="str">
        <f t="shared" si="53"/>
        <v>Kiln input based (Method A)</v>
      </c>
      <c r="E438" s="17"/>
      <c r="F438" s="151" t="str">
        <f t="shared" si="48"/>
        <v>Standard method: Process, Article 24(2)</v>
      </c>
      <c r="G438" s="103" t="str">
        <f>EUconst_NA</f>
        <v>n.a.</v>
      </c>
      <c r="H438" s="149"/>
      <c r="I438" s="149"/>
      <c r="J438" s="151"/>
      <c r="K438" s="151"/>
      <c r="L438" s="149"/>
      <c r="M438" s="149"/>
      <c r="N438" s="149"/>
      <c r="O438" s="150"/>
      <c r="P438" s="103" t="str">
        <f t="shared" si="50"/>
        <v>n.a.</v>
      </c>
      <c r="Q438" s="147" t="str">
        <f t="shared" si="51"/>
        <v>Cement clinker: Kiln input based (Method A)</v>
      </c>
      <c r="R438" s="17"/>
      <c r="S438" s="17" t="str">
        <f t="shared" si="52"/>
        <v>NCV_Cement clinker: Kiln input based (Method A)</v>
      </c>
      <c r="X438" s="69"/>
      <c r="Z438" s="21" t="b">
        <f t="shared" si="49"/>
        <v>1</v>
      </c>
      <c r="AL438" s="624" t="s">
        <v>992</v>
      </c>
      <c r="AM438" s="624" t="s">
        <v>992</v>
      </c>
      <c r="AN438" s="624" t="s">
        <v>992</v>
      </c>
      <c r="AO438" s="624" t="s">
        <v>992</v>
      </c>
      <c r="AP438" s="624" t="s">
        <v>992</v>
      </c>
    </row>
    <row r="439" spans="1:42" ht="12.75" customHeight="1" outlineLevel="1" x14ac:dyDescent="0.2">
      <c r="A439" s="21">
        <v>31</v>
      </c>
      <c r="B439" s="611" t="str">
        <f t="shared" si="53"/>
        <v>Production of cement clinker</v>
      </c>
      <c r="C439" s="17" t="str">
        <f t="shared" si="53"/>
        <v>Cement clinker</v>
      </c>
      <c r="D439" s="17" t="str">
        <f t="shared" si="53"/>
        <v>Clinker output (Method B)</v>
      </c>
      <c r="E439" s="17"/>
      <c r="F439" s="151" t="str">
        <f t="shared" si="48"/>
        <v>Standard method: Process, Article 24(2)</v>
      </c>
      <c r="G439" s="103" t="str">
        <f>EUconst_NA</f>
        <v>n.a.</v>
      </c>
      <c r="H439" s="149"/>
      <c r="I439" s="149"/>
      <c r="J439" s="151"/>
      <c r="K439" s="151"/>
      <c r="L439" s="149"/>
      <c r="M439" s="149"/>
      <c r="N439" s="149"/>
      <c r="O439" s="150"/>
      <c r="P439" s="103" t="str">
        <f t="shared" si="50"/>
        <v>n.a.</v>
      </c>
      <c r="Q439" s="147" t="str">
        <f t="shared" si="51"/>
        <v>Cement clinker: Clinker output (Method B)</v>
      </c>
      <c r="R439" s="17"/>
      <c r="S439" s="17" t="str">
        <f t="shared" si="52"/>
        <v>NCV_Cement clinker: Clinker output (Method B)</v>
      </c>
      <c r="X439" s="69"/>
      <c r="Z439" s="21" t="b">
        <f t="shared" si="49"/>
        <v>1</v>
      </c>
      <c r="AL439" s="624" t="s">
        <v>992</v>
      </c>
      <c r="AM439" s="624" t="s">
        <v>992</v>
      </c>
      <c r="AN439" s="624" t="s">
        <v>992</v>
      </c>
      <c r="AO439" s="624" t="s">
        <v>992</v>
      </c>
      <c r="AP439" s="624" t="s">
        <v>992</v>
      </c>
    </row>
    <row r="440" spans="1:42" ht="12.75" customHeight="1" outlineLevel="1" x14ac:dyDescent="0.2">
      <c r="A440" s="21">
        <v>32</v>
      </c>
      <c r="B440" s="611" t="str">
        <f t="shared" si="53"/>
        <v>Production of cement clinker</v>
      </c>
      <c r="C440" s="17" t="str">
        <f t="shared" si="53"/>
        <v>Cement clinker</v>
      </c>
      <c r="D440" s="17" t="str">
        <f t="shared" si="53"/>
        <v>CKD</v>
      </c>
      <c r="E440" s="17"/>
      <c r="F440" s="151" t="str">
        <f t="shared" si="48"/>
        <v>Standard method: Process, Article 24(2)</v>
      </c>
      <c r="G440" s="103" t="str">
        <f>EUconst_NA</f>
        <v>n.a.</v>
      </c>
      <c r="H440" s="149"/>
      <c r="I440" s="149"/>
      <c r="J440" s="151"/>
      <c r="K440" s="151"/>
      <c r="L440" s="149"/>
      <c r="M440" s="149"/>
      <c r="N440" s="149"/>
      <c r="O440" s="150"/>
      <c r="P440" s="103" t="str">
        <f t="shared" si="50"/>
        <v>n.a.</v>
      </c>
      <c r="Q440" s="147" t="str">
        <f t="shared" si="51"/>
        <v>Cement clinker: CKD</v>
      </c>
      <c r="R440" s="17"/>
      <c r="S440" s="17" t="str">
        <f t="shared" si="52"/>
        <v>NCV_Cement clinker: CKD</v>
      </c>
      <c r="X440" s="69"/>
      <c r="Z440" s="21" t="b">
        <f t="shared" si="49"/>
        <v>1</v>
      </c>
      <c r="AL440" s="624" t="s">
        <v>992</v>
      </c>
      <c r="AM440" s="624" t="s">
        <v>992</v>
      </c>
      <c r="AN440" s="624" t="s">
        <v>992</v>
      </c>
      <c r="AO440" s="624" t="s">
        <v>992</v>
      </c>
      <c r="AP440" s="624" t="s">
        <v>992</v>
      </c>
    </row>
    <row r="441" spans="1:42" ht="12.75" customHeight="1" outlineLevel="1" x14ac:dyDescent="0.2">
      <c r="A441" s="21">
        <v>33</v>
      </c>
      <c r="B441" s="611" t="str">
        <f t="shared" si="53"/>
        <v>Production of cement clinker</v>
      </c>
      <c r="C441" s="17" t="str">
        <f t="shared" si="53"/>
        <v>Cement clinker</v>
      </c>
      <c r="D441" s="17" t="str">
        <f t="shared" si="53"/>
        <v>Non-carbonate carbon</v>
      </c>
      <c r="E441" s="17"/>
      <c r="F441" s="151" t="str">
        <f t="shared" ref="F441:F469" si="54">F369</f>
        <v>Standard method: Process, Article 24(2)</v>
      </c>
      <c r="G441" s="103" t="str">
        <f>EUconst_NA</f>
        <v>n.a.</v>
      </c>
      <c r="H441" s="149"/>
      <c r="I441" s="149"/>
      <c r="J441" s="151"/>
      <c r="K441" s="151"/>
      <c r="L441" s="149"/>
      <c r="M441" s="149"/>
      <c r="N441" s="149"/>
      <c r="O441" s="150"/>
      <c r="P441" s="103" t="str">
        <f t="shared" si="50"/>
        <v>n.a.</v>
      </c>
      <c r="Q441" s="147" t="str">
        <f t="shared" si="51"/>
        <v>Cement clinker: Non-carbonate carbon</v>
      </c>
      <c r="R441" s="17"/>
      <c r="S441" s="17" t="str">
        <f t="shared" si="52"/>
        <v>NCV_Cement clinker: Non-carbonate carbon</v>
      </c>
      <c r="Z441" s="21" t="b">
        <f t="shared" si="49"/>
        <v>1</v>
      </c>
      <c r="AL441" s="624" t="s">
        <v>992</v>
      </c>
      <c r="AM441" s="624" t="s">
        <v>992</v>
      </c>
      <c r="AN441" s="624" t="s">
        <v>992</v>
      </c>
      <c r="AO441" s="624" t="s">
        <v>992</v>
      </c>
      <c r="AP441" s="624" t="s">
        <v>992</v>
      </c>
    </row>
    <row r="442" spans="1:42" ht="12.75" customHeight="1" outlineLevel="1" x14ac:dyDescent="0.2">
      <c r="A442" s="21">
        <v>34</v>
      </c>
      <c r="B442" s="611" t="str">
        <f t="shared" si="53"/>
        <v>Production of lime, or calcination of dolomite/magnesite</v>
      </c>
      <c r="C442" s="17" t="str">
        <f t="shared" si="53"/>
        <v>Lime / dolomite / magnesite</v>
      </c>
      <c r="D442" s="17" t="str">
        <f t="shared" si="53"/>
        <v>Process (method A): carbonate only</v>
      </c>
      <c r="E442" s="602"/>
      <c r="F442" s="151" t="str">
        <f t="shared" si="54"/>
        <v>Standard method: Process, Article 24(2)</v>
      </c>
      <c r="G442" s="103" t="str">
        <f>EUconst_NA</f>
        <v>n.a.</v>
      </c>
      <c r="H442" s="149"/>
      <c r="I442" s="149"/>
      <c r="J442" s="151"/>
      <c r="K442" s="151"/>
      <c r="L442" s="149"/>
      <c r="M442" s="149"/>
      <c r="N442" s="149"/>
      <c r="O442" s="150"/>
      <c r="P442" s="103" t="str">
        <f t="shared" si="50"/>
        <v>n.a.</v>
      </c>
      <c r="Q442" s="147" t="str">
        <f t="shared" si="51"/>
        <v>Lime / dolomite / magnesite: Process (method A): carbonate only</v>
      </c>
      <c r="R442" s="17"/>
      <c r="S442" s="17" t="str">
        <f t="shared" si="52"/>
        <v>NCV_Lime / dolomite / magnesite: Process (method A): carbonate only</v>
      </c>
      <c r="Z442" s="21" t="b">
        <f t="shared" si="49"/>
        <v>1</v>
      </c>
      <c r="AL442" s="624" t="s">
        <v>992</v>
      </c>
      <c r="AM442" s="624" t="s">
        <v>992</v>
      </c>
      <c r="AN442" s="624" t="s">
        <v>992</v>
      </c>
      <c r="AO442" s="624" t="s">
        <v>992</v>
      </c>
      <c r="AP442" s="624" t="s">
        <v>992</v>
      </c>
    </row>
    <row r="443" spans="1:42" ht="12.75" customHeight="1" outlineLevel="1" x14ac:dyDescent="0.2">
      <c r="A443" s="21">
        <v>35</v>
      </c>
      <c r="B443" s="611" t="str">
        <f t="shared" si="53"/>
        <v>Production of lime, or calcination of dolomite/magnesite</v>
      </c>
      <c r="C443" s="17" t="str">
        <f t="shared" si="53"/>
        <v>Lime / dolomite / magnesite</v>
      </c>
      <c r="D443" s="17" t="str">
        <f t="shared" si="53"/>
        <v>Process (method A): mixed (carbonate + non-carbonate)</v>
      </c>
      <c r="E443" s="602"/>
      <c r="F443" s="151" t="str">
        <f t="shared" si="54"/>
        <v>Standard method: Process, Article 24(2)</v>
      </c>
      <c r="G443" s="103" t="s">
        <v>1531</v>
      </c>
      <c r="H443" s="613" t="str">
        <f>Translations!$B$493</f>
        <v>Type I default values</v>
      </c>
      <c r="I443" s="150"/>
      <c r="J443" s="150" t="str">
        <f>Translations!$B$528</f>
        <v>Type II default values</v>
      </c>
      <c r="K443" s="150" t="str">
        <f>Translations!$B$1109</f>
        <v>Purchasing records (if applicable)</v>
      </c>
      <c r="L443" s="613" t="str">
        <f>Translations!$B$527</f>
        <v>Laboratory analyses</v>
      </c>
      <c r="M443" s="613"/>
      <c r="N443" s="613"/>
      <c r="O443" s="148"/>
      <c r="P443" s="103">
        <f t="shared" si="50"/>
        <v>3</v>
      </c>
      <c r="Q443" s="147" t="str">
        <f t="shared" si="51"/>
        <v>Lime / dolomite / magnesite: Process (method A): mixed (carbonate + non-carbonate)</v>
      </c>
      <c r="R443" s="17"/>
      <c r="S443" s="17" t="str">
        <f t="shared" si="52"/>
        <v>NCV_Lime / dolomite / magnesite: Process (method A): mixed (carbonate + non-carbonate)</v>
      </c>
      <c r="Z443" s="21" t="b">
        <f t="shared" si="49"/>
        <v>0</v>
      </c>
      <c r="AL443" s="624">
        <v>1</v>
      </c>
      <c r="AM443" s="624" t="s">
        <v>992</v>
      </c>
      <c r="AN443" s="624">
        <v>1</v>
      </c>
      <c r="AO443" s="624" t="str">
        <f>Translations!$B$1109</f>
        <v>Purchasing records (if applicable)</v>
      </c>
      <c r="AP443" s="624">
        <v>2</v>
      </c>
    </row>
    <row r="444" spans="1:42" ht="12.75" customHeight="1" outlineLevel="1" x14ac:dyDescent="0.2">
      <c r="A444" s="21">
        <v>36</v>
      </c>
      <c r="B444" s="611" t="str">
        <f t="shared" si="53"/>
        <v>Production of lime, or calcination of dolomite/magnesite</v>
      </c>
      <c r="C444" s="17" t="str">
        <f t="shared" si="53"/>
        <v>Lime / dolomite / magnesite</v>
      </c>
      <c r="D444" s="17" t="str">
        <f t="shared" si="53"/>
        <v>Process (method A): non-carbonate</v>
      </c>
      <c r="E444" s="602"/>
      <c r="F444" s="151" t="str">
        <f t="shared" si="54"/>
        <v>Standard method: Process, Article 24(2)</v>
      </c>
      <c r="G444" s="103" t="s">
        <v>1531</v>
      </c>
      <c r="H444" s="613" t="str">
        <f>Translations!$B$493</f>
        <v>Type I default values</v>
      </c>
      <c r="I444" s="150"/>
      <c r="J444" s="150" t="str">
        <f>Translations!$B$528</f>
        <v>Type II default values</v>
      </c>
      <c r="K444" s="150" t="str">
        <f>Translations!$B$1109</f>
        <v>Purchasing records (if applicable)</v>
      </c>
      <c r="L444" s="613" t="str">
        <f>Translations!$B$527</f>
        <v>Laboratory analyses</v>
      </c>
      <c r="M444" s="613"/>
      <c r="N444" s="613"/>
      <c r="O444" s="148"/>
      <c r="P444" s="103">
        <f t="shared" si="50"/>
        <v>3</v>
      </c>
      <c r="Q444" s="147" t="str">
        <f t="shared" si="51"/>
        <v>Lime / dolomite / magnesite: Process (method A): non-carbonate</v>
      </c>
      <c r="R444" s="17"/>
      <c r="S444" s="17" t="str">
        <f t="shared" si="52"/>
        <v>NCV_Lime / dolomite / magnesite: Process (method A): non-carbonate</v>
      </c>
      <c r="Z444" s="21" t="b">
        <f t="shared" si="49"/>
        <v>0</v>
      </c>
      <c r="AL444" s="624">
        <v>1</v>
      </c>
      <c r="AM444" s="624" t="s">
        <v>992</v>
      </c>
      <c r="AN444" s="624">
        <v>1</v>
      </c>
      <c r="AO444" s="624" t="str">
        <f>Translations!$B$1109</f>
        <v>Purchasing records (if applicable)</v>
      </c>
      <c r="AP444" s="624">
        <v>2</v>
      </c>
    </row>
    <row r="445" spans="1:42" ht="12.75" customHeight="1" outlineLevel="1" x14ac:dyDescent="0.2">
      <c r="A445" s="21">
        <v>37</v>
      </c>
      <c r="B445" s="611" t="str">
        <f t="shared" si="53"/>
        <v>Production of lime, or calcination of dolomite/magnesite</v>
      </c>
      <c r="C445" s="17" t="str">
        <f t="shared" si="53"/>
        <v>Lime / dolomite / magnesite</v>
      </c>
      <c r="D445" s="17" t="str">
        <f t="shared" si="53"/>
        <v>Process (method B): oxide output</v>
      </c>
      <c r="E445" s="602"/>
      <c r="F445" s="151" t="str">
        <f t="shared" si="54"/>
        <v>Standard method: Process, Article 24(2)</v>
      </c>
      <c r="G445" s="103" t="str">
        <f>EUconst_NA</f>
        <v>n.a.</v>
      </c>
      <c r="H445" s="149"/>
      <c r="I445" s="149"/>
      <c r="J445" s="151"/>
      <c r="K445" s="151"/>
      <c r="L445" s="149"/>
      <c r="M445" s="149"/>
      <c r="N445" s="149"/>
      <c r="O445" s="150"/>
      <c r="P445" s="103" t="str">
        <f t="shared" si="50"/>
        <v>n.a.</v>
      </c>
      <c r="Q445" s="147" t="str">
        <f t="shared" si="51"/>
        <v>Lime / dolomite / magnesite: Process (method B): oxide output</v>
      </c>
      <c r="R445" s="17"/>
      <c r="S445" s="17" t="str">
        <f t="shared" si="52"/>
        <v>NCV_Lime / dolomite / magnesite: Process (method B): oxide output</v>
      </c>
      <c r="Z445" s="21" t="b">
        <f t="shared" si="49"/>
        <v>1</v>
      </c>
      <c r="AL445" s="624" t="s">
        <v>992</v>
      </c>
      <c r="AM445" s="624" t="s">
        <v>992</v>
      </c>
      <c r="AN445" s="624" t="s">
        <v>992</v>
      </c>
      <c r="AO445" s="624" t="s">
        <v>992</v>
      </c>
      <c r="AP445" s="624" t="s">
        <v>992</v>
      </c>
    </row>
    <row r="446" spans="1:42" ht="12.75" customHeight="1" outlineLevel="1" x14ac:dyDescent="0.2">
      <c r="A446" s="21">
        <v>38</v>
      </c>
      <c r="B446" s="611" t="str">
        <f t="shared" si="53"/>
        <v>Production of lime, or calcination of dolomite/magnesite</v>
      </c>
      <c r="C446" s="17" t="str">
        <f t="shared" si="53"/>
        <v>Lime / dolomite / magnesite</v>
      </c>
      <c r="D446" s="17" t="str">
        <f t="shared" si="53"/>
        <v>Kiln dust (Method B)</v>
      </c>
      <c r="E446" s="17"/>
      <c r="F446" s="151" t="str">
        <f t="shared" si="54"/>
        <v>Standard method: Process, Article 24(2)</v>
      </c>
      <c r="G446" s="103" t="str">
        <f>EUconst_NA</f>
        <v>n.a.</v>
      </c>
      <c r="H446" s="149"/>
      <c r="I446" s="149"/>
      <c r="J446" s="151"/>
      <c r="K446" s="151"/>
      <c r="L446" s="149"/>
      <c r="M446" s="149"/>
      <c r="N446" s="149"/>
      <c r="O446" s="150"/>
      <c r="P446" s="103" t="str">
        <f>IF(G446=EUconst_NA,EUconst_NA,IF(ISBLANK(J446),COUNTA(H446:O446),COUNTA(H446,J446,L446)))</f>
        <v>n.a.</v>
      </c>
      <c r="Q446" s="147" t="str">
        <f t="shared" si="51"/>
        <v>Lime / dolomite / magnesite: Kiln dust (Method B)</v>
      </c>
      <c r="R446" s="17"/>
      <c r="S446" s="17" t="str">
        <f t="shared" si="52"/>
        <v>NCV_Lime / dolomite / magnesite: Kiln dust (Method B)</v>
      </c>
      <c r="Z446" s="21" t="b">
        <f t="shared" si="49"/>
        <v>1</v>
      </c>
      <c r="AL446" s="624" t="s">
        <v>992</v>
      </c>
      <c r="AM446" s="624" t="s">
        <v>992</v>
      </c>
      <c r="AN446" s="624" t="s">
        <v>992</v>
      </c>
      <c r="AO446" s="624" t="s">
        <v>992</v>
      </c>
      <c r="AP446" s="624" t="s">
        <v>992</v>
      </c>
    </row>
    <row r="447" spans="1:42" ht="12.75" customHeight="1" outlineLevel="1" x14ac:dyDescent="0.2">
      <c r="A447" s="21">
        <v>39</v>
      </c>
      <c r="B447" s="611" t="str">
        <f t="shared" si="53"/>
        <v>Manufacture of glass</v>
      </c>
      <c r="C447" s="17" t="str">
        <f t="shared" si="53"/>
        <v>Glass and mineral wool</v>
      </c>
      <c r="D447" s="17" t="str">
        <f t="shared" si="53"/>
        <v>Process (method A): carbonate only</v>
      </c>
      <c r="E447" s="602"/>
      <c r="F447" s="151" t="str">
        <f t="shared" si="54"/>
        <v>Standard method: Process, Article 24(2)</v>
      </c>
      <c r="G447" s="103" t="str">
        <f>EUconst_NA</f>
        <v>n.a.</v>
      </c>
      <c r="H447" s="149"/>
      <c r="I447" s="149"/>
      <c r="J447" s="151"/>
      <c r="K447" s="151"/>
      <c r="L447" s="149"/>
      <c r="M447" s="149"/>
      <c r="N447" s="149"/>
      <c r="O447" s="150"/>
      <c r="P447" s="103" t="str">
        <f t="shared" si="50"/>
        <v>n.a.</v>
      </c>
      <c r="Q447" s="147" t="str">
        <f t="shared" si="51"/>
        <v>Glass and mineral wool: Process (method A): carbonate only</v>
      </c>
      <c r="R447" s="17"/>
      <c r="S447" s="17" t="str">
        <f t="shared" si="52"/>
        <v>NCV_Glass and mineral wool: Process (method A): carbonate only</v>
      </c>
      <c r="Z447" s="21" t="b">
        <f t="shared" si="49"/>
        <v>1</v>
      </c>
      <c r="AL447" s="624" t="s">
        <v>992</v>
      </c>
      <c r="AM447" s="624" t="s">
        <v>992</v>
      </c>
      <c r="AN447" s="624" t="s">
        <v>992</v>
      </c>
      <c r="AO447" s="624" t="s">
        <v>992</v>
      </c>
      <c r="AP447" s="624" t="s">
        <v>992</v>
      </c>
    </row>
    <row r="448" spans="1:42" ht="12.75" customHeight="1" outlineLevel="1" x14ac:dyDescent="0.2">
      <c r="A448" s="21">
        <v>40</v>
      </c>
      <c r="B448" s="611" t="str">
        <f t="shared" si="53"/>
        <v>Manufacture of glass</v>
      </c>
      <c r="C448" s="17" t="str">
        <f t="shared" si="53"/>
        <v>Glass and mineral wool</v>
      </c>
      <c r="D448" s="17" t="str">
        <f t="shared" si="53"/>
        <v>Process (method A): mixed (carbonate + non-carbonate)</v>
      </c>
      <c r="E448" s="602"/>
      <c r="F448" s="151" t="str">
        <f t="shared" si="54"/>
        <v>Standard method: Process, Article 24(2)</v>
      </c>
      <c r="G448" s="103" t="s">
        <v>1531</v>
      </c>
      <c r="H448" s="613" t="str">
        <f>Translations!$B$493</f>
        <v>Type I default values</v>
      </c>
      <c r="I448" s="150"/>
      <c r="J448" s="150" t="str">
        <f>Translations!$B$528</f>
        <v>Type II default values</v>
      </c>
      <c r="K448" s="150" t="str">
        <f>Translations!$B$1109</f>
        <v>Purchasing records (if applicable)</v>
      </c>
      <c r="L448" s="613" t="str">
        <f>Translations!$B$527</f>
        <v>Laboratory analyses</v>
      </c>
      <c r="M448" s="613"/>
      <c r="N448" s="613"/>
      <c r="O448" s="148"/>
      <c r="P448" s="103">
        <f t="shared" si="50"/>
        <v>3</v>
      </c>
      <c r="Q448" s="147" t="str">
        <f t="shared" si="51"/>
        <v>Glass and mineral wool: Process (method A): mixed (carbonate + non-carbonate)</v>
      </c>
      <c r="R448" s="17"/>
      <c r="S448" s="17" t="str">
        <f t="shared" si="52"/>
        <v>NCV_Glass and mineral wool: Process (method A): mixed (carbonate + non-carbonate)</v>
      </c>
      <c r="Z448" s="21" t="b">
        <f t="shared" si="49"/>
        <v>0</v>
      </c>
      <c r="AL448" s="624">
        <v>1</v>
      </c>
      <c r="AM448" s="624" t="s">
        <v>992</v>
      </c>
      <c r="AN448" s="624">
        <v>1</v>
      </c>
      <c r="AO448" s="624" t="str">
        <f>Translations!$B$1109</f>
        <v>Purchasing records (if applicable)</v>
      </c>
      <c r="AP448" s="624">
        <v>2</v>
      </c>
    </row>
    <row r="449" spans="1:42" ht="12.75" customHeight="1" outlineLevel="1" x14ac:dyDescent="0.2">
      <c r="A449" s="21">
        <v>41</v>
      </c>
      <c r="B449" s="611" t="str">
        <f t="shared" ref="B449:D468" si="55">B377</f>
        <v>Manufacture of glass</v>
      </c>
      <c r="C449" s="17" t="str">
        <f t="shared" si="55"/>
        <v>Glass and mineral wool</v>
      </c>
      <c r="D449" s="17" t="str">
        <f t="shared" si="55"/>
        <v>Process (method A): non-carbonate</v>
      </c>
      <c r="E449" s="602"/>
      <c r="F449" s="151" t="str">
        <f t="shared" si="54"/>
        <v>Standard method: Process, Article 24(2)</v>
      </c>
      <c r="G449" s="103" t="s">
        <v>1531</v>
      </c>
      <c r="H449" s="613" t="str">
        <f>Translations!$B$493</f>
        <v>Type I default values</v>
      </c>
      <c r="I449" s="150"/>
      <c r="J449" s="150" t="str">
        <f>Translations!$B$528</f>
        <v>Type II default values</v>
      </c>
      <c r="K449" s="150" t="str">
        <f>Translations!$B$1109</f>
        <v>Purchasing records (if applicable)</v>
      </c>
      <c r="L449" s="613" t="str">
        <f>Translations!$B$527</f>
        <v>Laboratory analyses</v>
      </c>
      <c r="M449" s="613"/>
      <c r="N449" s="613"/>
      <c r="O449" s="148"/>
      <c r="P449" s="103">
        <f t="shared" si="50"/>
        <v>3</v>
      </c>
      <c r="Q449" s="147" t="str">
        <f t="shared" si="51"/>
        <v>Glass and mineral wool: Process (method A): non-carbonate</v>
      </c>
      <c r="R449" s="17"/>
      <c r="S449" s="17" t="str">
        <f t="shared" si="52"/>
        <v>NCV_Glass and mineral wool: Process (method A): non-carbonate</v>
      </c>
      <c r="Z449" s="21" t="b">
        <f t="shared" si="49"/>
        <v>0</v>
      </c>
      <c r="AL449" s="624">
        <v>1</v>
      </c>
      <c r="AM449" s="624" t="s">
        <v>992</v>
      </c>
      <c r="AN449" s="624">
        <v>1</v>
      </c>
      <c r="AO449" s="624" t="str">
        <f>Translations!$B$1109</f>
        <v>Purchasing records (if applicable)</v>
      </c>
      <c r="AP449" s="624">
        <v>2</v>
      </c>
    </row>
    <row r="450" spans="1:42" ht="12.75" customHeight="1" outlineLevel="1" x14ac:dyDescent="0.2">
      <c r="A450" s="21">
        <v>42</v>
      </c>
      <c r="B450" s="611" t="str">
        <f t="shared" si="55"/>
        <v>Manufacture of ceramics</v>
      </c>
      <c r="C450" s="17" t="str">
        <f t="shared" si="55"/>
        <v>Ceramics</v>
      </c>
      <c r="D450" s="17" t="str">
        <f t="shared" si="55"/>
        <v>Process (method A): carbonate only</v>
      </c>
      <c r="E450" s="602"/>
      <c r="F450" s="151" t="str">
        <f t="shared" si="54"/>
        <v>Standard method: Process, Article 24(2)</v>
      </c>
      <c r="G450" s="103" t="str">
        <f>EUconst_NA</f>
        <v>n.a.</v>
      </c>
      <c r="H450" s="149"/>
      <c r="I450" s="149"/>
      <c r="J450" s="151"/>
      <c r="K450" s="151"/>
      <c r="L450" s="149"/>
      <c r="M450" s="149"/>
      <c r="N450" s="149"/>
      <c r="O450" s="150"/>
      <c r="P450" s="103" t="str">
        <f t="shared" si="50"/>
        <v>n.a.</v>
      </c>
      <c r="Q450" s="147" t="str">
        <f t="shared" si="51"/>
        <v>Ceramics: Process (method A): carbonate only</v>
      </c>
      <c r="R450" s="17"/>
      <c r="S450" s="17" t="str">
        <f t="shared" si="52"/>
        <v>NCV_Ceramics: Process (method A): carbonate only</v>
      </c>
      <c r="Z450" s="21" t="b">
        <f t="shared" si="49"/>
        <v>1</v>
      </c>
      <c r="AL450" s="624" t="s">
        <v>992</v>
      </c>
      <c r="AM450" s="624" t="s">
        <v>992</v>
      </c>
      <c r="AN450" s="624" t="s">
        <v>992</v>
      </c>
      <c r="AO450" s="624" t="s">
        <v>992</v>
      </c>
      <c r="AP450" s="624" t="s">
        <v>992</v>
      </c>
    </row>
    <row r="451" spans="1:42" ht="12.75" customHeight="1" outlineLevel="1" x14ac:dyDescent="0.2">
      <c r="A451" s="21">
        <v>43</v>
      </c>
      <c r="B451" s="611" t="str">
        <f t="shared" si="55"/>
        <v>Manufacture of ceramics</v>
      </c>
      <c r="C451" s="17" t="str">
        <f t="shared" si="55"/>
        <v>Ceramics</v>
      </c>
      <c r="D451" s="17" t="str">
        <f t="shared" si="55"/>
        <v>Process (method A): mixed (carbonate + non-carbonate)</v>
      </c>
      <c r="E451" s="602"/>
      <c r="F451" s="151" t="str">
        <f t="shared" si="54"/>
        <v>Standard method: Process, Article 24(2)</v>
      </c>
      <c r="G451" s="103" t="s">
        <v>1531</v>
      </c>
      <c r="H451" s="613" t="str">
        <f>Translations!$B$493</f>
        <v>Type I default values</v>
      </c>
      <c r="I451" s="150"/>
      <c r="J451" s="150" t="str">
        <f>Translations!$B$528</f>
        <v>Type II default values</v>
      </c>
      <c r="K451" s="150" t="str">
        <f>Translations!$B$1109</f>
        <v>Purchasing records (if applicable)</v>
      </c>
      <c r="L451" s="613" t="str">
        <f>Translations!$B$527</f>
        <v>Laboratory analyses</v>
      </c>
      <c r="M451" s="613"/>
      <c r="N451" s="613"/>
      <c r="O451" s="148"/>
      <c r="P451" s="103">
        <f t="shared" si="50"/>
        <v>3</v>
      </c>
      <c r="Q451" s="147" t="str">
        <f t="shared" si="51"/>
        <v>Ceramics: Process (method A): mixed (carbonate + non-carbonate)</v>
      </c>
      <c r="R451" s="17"/>
      <c r="S451" s="17" t="str">
        <f t="shared" si="52"/>
        <v>NCV_Ceramics: Process (method A): mixed (carbonate + non-carbonate)</v>
      </c>
      <c r="W451" s="226"/>
      <c r="X451" s="69"/>
      <c r="Z451" s="21" t="b">
        <f t="shared" si="49"/>
        <v>0</v>
      </c>
      <c r="AL451" s="624">
        <v>1</v>
      </c>
      <c r="AM451" s="624" t="s">
        <v>992</v>
      </c>
      <c r="AN451" s="624">
        <v>1</v>
      </c>
      <c r="AO451" s="624" t="str">
        <f>Translations!$B$1109</f>
        <v>Purchasing records (if applicable)</v>
      </c>
      <c r="AP451" s="624">
        <v>2</v>
      </c>
    </row>
    <row r="452" spans="1:42" ht="12.75" customHeight="1" outlineLevel="1" x14ac:dyDescent="0.2">
      <c r="A452" s="21">
        <v>44</v>
      </c>
      <c r="B452" s="611" t="str">
        <f t="shared" si="55"/>
        <v>Manufacture of ceramics</v>
      </c>
      <c r="C452" s="17" t="str">
        <f t="shared" si="55"/>
        <v>Ceramics</v>
      </c>
      <c r="D452" s="17" t="str">
        <f t="shared" si="55"/>
        <v>Process (method A): non-carbonate</v>
      </c>
      <c r="E452" s="602"/>
      <c r="F452" s="151" t="str">
        <f t="shared" si="54"/>
        <v>Standard method: Process, Article 24(2)</v>
      </c>
      <c r="G452" s="103" t="s">
        <v>1531</v>
      </c>
      <c r="H452" s="613" t="str">
        <f>Translations!$B$493</f>
        <v>Type I default values</v>
      </c>
      <c r="I452" s="150"/>
      <c r="J452" s="150" t="str">
        <f>Translations!$B$528</f>
        <v>Type II default values</v>
      </c>
      <c r="K452" s="150" t="str">
        <f>Translations!$B$1109</f>
        <v>Purchasing records (if applicable)</v>
      </c>
      <c r="L452" s="613" t="str">
        <f>Translations!$B$527</f>
        <v>Laboratory analyses</v>
      </c>
      <c r="M452" s="613"/>
      <c r="N452" s="613"/>
      <c r="O452" s="148"/>
      <c r="P452" s="103">
        <f t="shared" si="50"/>
        <v>3</v>
      </c>
      <c r="Q452" s="147" t="str">
        <f t="shared" si="51"/>
        <v>Ceramics: Process (method A): non-carbonate</v>
      </c>
      <c r="R452" s="17"/>
      <c r="S452" s="17" t="str">
        <f t="shared" si="52"/>
        <v>NCV_Ceramics: Process (method A): non-carbonate</v>
      </c>
      <c r="W452" s="226"/>
      <c r="X452" s="69"/>
      <c r="Z452" s="21" t="b">
        <f t="shared" si="49"/>
        <v>0</v>
      </c>
      <c r="AL452" s="624">
        <v>1</v>
      </c>
      <c r="AM452" s="624" t="s">
        <v>992</v>
      </c>
      <c r="AN452" s="624">
        <v>1</v>
      </c>
      <c r="AO452" s="624" t="str">
        <f>Translations!$B$1109</f>
        <v>Purchasing records (if applicable)</v>
      </c>
      <c r="AP452" s="624">
        <v>2</v>
      </c>
    </row>
    <row r="453" spans="1:42" ht="12.75" customHeight="1" outlineLevel="1" x14ac:dyDescent="0.2">
      <c r="A453" s="21">
        <v>45</v>
      </c>
      <c r="B453" s="611" t="str">
        <f t="shared" si="55"/>
        <v>Manufacture of ceramics</v>
      </c>
      <c r="C453" s="17" t="str">
        <f t="shared" si="55"/>
        <v>Ceramics</v>
      </c>
      <c r="D453" s="17" t="str">
        <f t="shared" si="55"/>
        <v>Process (method B): oxide output</v>
      </c>
      <c r="E453" s="17"/>
      <c r="F453" s="151" t="str">
        <f t="shared" si="54"/>
        <v>Standard method: Process, Article 24(2)</v>
      </c>
      <c r="G453" s="103" t="str">
        <f>EUconst_NA</f>
        <v>n.a.</v>
      </c>
      <c r="H453" s="149"/>
      <c r="I453" s="149"/>
      <c r="J453" s="151"/>
      <c r="K453" s="151"/>
      <c r="L453" s="149"/>
      <c r="M453" s="149"/>
      <c r="N453" s="149"/>
      <c r="O453" s="150"/>
      <c r="P453" s="103" t="str">
        <f t="shared" si="50"/>
        <v>n.a.</v>
      </c>
      <c r="Q453" s="147" t="str">
        <f t="shared" si="51"/>
        <v>Ceramics: Process (method B): oxide output</v>
      </c>
      <c r="R453" s="17"/>
      <c r="S453" s="17" t="str">
        <f t="shared" si="52"/>
        <v>NCV_Ceramics: Process (method B): oxide output</v>
      </c>
      <c r="Z453" s="21" t="b">
        <f t="shared" si="49"/>
        <v>1</v>
      </c>
      <c r="AL453" s="624" t="s">
        <v>992</v>
      </c>
      <c r="AM453" s="624" t="s">
        <v>992</v>
      </c>
      <c r="AN453" s="624" t="s">
        <v>992</v>
      </c>
      <c r="AO453" s="624" t="s">
        <v>992</v>
      </c>
      <c r="AP453" s="624" t="s">
        <v>992</v>
      </c>
    </row>
    <row r="454" spans="1:42" ht="12.75" customHeight="1" outlineLevel="1" x14ac:dyDescent="0.2">
      <c r="A454" s="21">
        <v>46</v>
      </c>
      <c r="B454" s="611" t="str">
        <f t="shared" si="55"/>
        <v>Manufacture of ceramics</v>
      </c>
      <c r="C454" s="17" t="str">
        <f t="shared" si="55"/>
        <v>Ceramics</v>
      </c>
      <c r="D454" s="17" t="str">
        <f t="shared" si="55"/>
        <v>Scrubbing</v>
      </c>
      <c r="E454" s="17"/>
      <c r="F454" s="151" t="str">
        <f t="shared" si="54"/>
        <v>Standard method: Process, Article 24(2)</v>
      </c>
      <c r="G454" s="103" t="str">
        <f>""</f>
        <v/>
      </c>
      <c r="H454" s="613" t="str">
        <f>Translations!$B$493</f>
        <v>Type I default values</v>
      </c>
      <c r="I454" s="146"/>
      <c r="J454" s="17"/>
      <c r="K454" s="17"/>
      <c r="L454" s="146"/>
      <c r="M454" s="146"/>
      <c r="N454" s="146"/>
      <c r="O454" s="146"/>
      <c r="P454" s="103">
        <f t="shared" si="50"/>
        <v>1</v>
      </c>
      <c r="Q454" s="147" t="str">
        <f t="shared" si="51"/>
        <v>Ceramics: Scrubbing</v>
      </c>
      <c r="R454" s="17"/>
      <c r="S454" s="17" t="str">
        <f t="shared" si="52"/>
        <v>NCV_Ceramics: Scrubbing</v>
      </c>
      <c r="Z454" s="21" t="b">
        <f t="shared" si="49"/>
        <v>0</v>
      </c>
      <c r="AL454" s="624">
        <v>1</v>
      </c>
      <c r="AM454" s="624" t="s">
        <v>992</v>
      </c>
      <c r="AN454" s="624" t="s">
        <v>992</v>
      </c>
      <c r="AO454" s="624" t="s">
        <v>992</v>
      </c>
      <c r="AP454" s="624" t="s">
        <v>992</v>
      </c>
    </row>
    <row r="455" spans="1:42" ht="12.75" customHeight="1" outlineLevel="1" x14ac:dyDescent="0.2">
      <c r="A455" s="21">
        <v>47</v>
      </c>
      <c r="B455" s="611" t="str">
        <f t="shared" si="55"/>
        <v>Production of pulp</v>
      </c>
      <c r="C455" s="17" t="str">
        <f t="shared" si="55"/>
        <v>Pulp &amp; paper</v>
      </c>
      <c r="D455" s="17" t="str">
        <f t="shared" si="55"/>
        <v>Make up chemicals</v>
      </c>
      <c r="E455" s="17"/>
      <c r="F455" s="151" t="str">
        <f t="shared" si="54"/>
        <v>Standard method: Process, Article 24(2)</v>
      </c>
      <c r="G455" s="103" t="str">
        <f>EUconst_NA</f>
        <v>n.a.</v>
      </c>
      <c r="H455" s="149"/>
      <c r="I455" s="149"/>
      <c r="J455" s="151"/>
      <c r="K455" s="151"/>
      <c r="L455" s="149"/>
      <c r="M455" s="149"/>
      <c r="N455" s="149"/>
      <c r="O455" s="150"/>
      <c r="P455" s="103" t="str">
        <f t="shared" si="50"/>
        <v>n.a.</v>
      </c>
      <c r="Q455" s="147" t="str">
        <f t="shared" si="51"/>
        <v>Pulp &amp; paper: Make up chemicals</v>
      </c>
      <c r="R455" s="17"/>
      <c r="S455" s="17" t="str">
        <f t="shared" si="52"/>
        <v>NCV_Pulp &amp; paper: Make up chemicals</v>
      </c>
      <c r="Z455" s="21" t="b">
        <f t="shared" si="49"/>
        <v>1</v>
      </c>
      <c r="AL455" s="624" t="s">
        <v>992</v>
      </c>
      <c r="AM455" s="624" t="s">
        <v>992</v>
      </c>
      <c r="AN455" s="624" t="s">
        <v>992</v>
      </c>
      <c r="AO455" s="624" t="s">
        <v>992</v>
      </c>
      <c r="AP455" s="624" t="s">
        <v>992</v>
      </c>
    </row>
    <row r="456" spans="1:42" ht="12.75" customHeight="1" outlineLevel="1" x14ac:dyDescent="0.2">
      <c r="A456" s="21">
        <v>48</v>
      </c>
      <c r="B456" s="611" t="str">
        <f t="shared" si="55"/>
        <v>Production of carbon black</v>
      </c>
      <c r="C456" s="17" t="str">
        <f t="shared" si="55"/>
        <v>Carbon black</v>
      </c>
      <c r="D456" s="17" t="str">
        <f t="shared" si="55"/>
        <v>Mass balance methodology</v>
      </c>
      <c r="E456" s="17"/>
      <c r="F456" s="151" t="str">
        <f t="shared" si="54"/>
        <v>Mass balance method, Article 25</v>
      </c>
      <c r="G456" s="103" t="str">
        <f>""</f>
        <v/>
      </c>
      <c r="H456" s="149" t="str">
        <f>Translations!$B$493</f>
        <v>Type I default values</v>
      </c>
      <c r="I456" s="149"/>
      <c r="J456" s="149" t="str">
        <f>Translations!$B$528</f>
        <v>Type II default values</v>
      </c>
      <c r="K456" s="149" t="str">
        <f>Translations!$B$1109</f>
        <v>Purchasing records (if applicable)</v>
      </c>
      <c r="L456" s="149" t="str">
        <f>Translations!$B$527</f>
        <v>Laboratory analyses</v>
      </c>
      <c r="M456" s="149"/>
      <c r="N456" s="149"/>
      <c r="O456" s="150"/>
      <c r="P456" s="103">
        <f t="shared" si="50"/>
        <v>3</v>
      </c>
      <c r="Q456" s="147" t="str">
        <f t="shared" si="51"/>
        <v>Carbon black: Mass balance methodology</v>
      </c>
      <c r="R456" s="17"/>
      <c r="S456" s="17" t="str">
        <f t="shared" si="52"/>
        <v>NCV_Carbon black: Mass balance methodology</v>
      </c>
      <c r="Z456" s="21" t="b">
        <f t="shared" si="49"/>
        <v>0</v>
      </c>
      <c r="AL456" s="624">
        <v>1</v>
      </c>
      <c r="AM456" s="624" t="s">
        <v>992</v>
      </c>
      <c r="AN456" s="624">
        <v>1</v>
      </c>
      <c r="AO456" s="624" t="str">
        <f>Translations!$B$1109</f>
        <v>Purchasing records (if applicable)</v>
      </c>
      <c r="AP456" s="624">
        <v>2</v>
      </c>
    </row>
    <row r="457" spans="1:42" ht="12.75" customHeight="1" outlineLevel="1" x14ac:dyDescent="0.2">
      <c r="A457" s="21">
        <v>49</v>
      </c>
      <c r="B457" s="611" t="str">
        <f t="shared" si="55"/>
        <v>Production of ammonia</v>
      </c>
      <c r="C457" s="17" t="str">
        <f t="shared" si="55"/>
        <v>Ammonia</v>
      </c>
      <c r="D457" s="17" t="str">
        <f t="shared" si="55"/>
        <v>Fuel as process input</v>
      </c>
      <c r="E457" s="17"/>
      <c r="F457" s="151" t="str">
        <f t="shared" si="54"/>
        <v>Standard method: Fuel, Article 24(1)</v>
      </c>
      <c r="G457" s="103" t="s">
        <v>1531</v>
      </c>
      <c r="H457" s="613" t="str">
        <f>Translations!$B$493</f>
        <v>Type I default values</v>
      </c>
      <c r="I457" s="150"/>
      <c r="J457" s="150" t="str">
        <f>Translations!$B$528</f>
        <v>Type II default values</v>
      </c>
      <c r="K457" s="150" t="str">
        <f>Translations!$B$1109</f>
        <v>Purchasing records (if applicable)</v>
      </c>
      <c r="L457" s="613" t="str">
        <f>Translations!$B$527</f>
        <v>Laboratory analyses</v>
      </c>
      <c r="M457" s="613"/>
      <c r="N457" s="613"/>
      <c r="O457" s="146"/>
      <c r="P457" s="103">
        <f t="shared" si="50"/>
        <v>3</v>
      </c>
      <c r="Q457" s="147" t="str">
        <f t="shared" si="51"/>
        <v>Ammonia: Fuel as process input</v>
      </c>
      <c r="R457" s="17"/>
      <c r="S457" s="17" t="str">
        <f t="shared" si="52"/>
        <v>NCV_Ammonia: Fuel as process input</v>
      </c>
      <c r="Z457" s="21" t="b">
        <f t="shared" si="49"/>
        <v>0</v>
      </c>
      <c r="AL457" s="624">
        <v>1</v>
      </c>
      <c r="AM457" s="624" t="s">
        <v>992</v>
      </c>
      <c r="AN457" s="624">
        <v>1</v>
      </c>
      <c r="AO457" s="624" t="str">
        <f>Translations!$B$1109</f>
        <v>Purchasing records (if applicable)</v>
      </c>
      <c r="AP457" s="624">
        <v>2</v>
      </c>
    </row>
    <row r="458" spans="1:42" ht="12.75" customHeight="1" outlineLevel="1" x14ac:dyDescent="0.2">
      <c r="A458" s="21">
        <v>50</v>
      </c>
      <c r="B458" s="611" t="str">
        <f t="shared" si="55"/>
        <v>Production of hydrogen and synthesis gas</v>
      </c>
      <c r="C458" s="17" t="str">
        <f t="shared" si="55"/>
        <v>Hydrogen and synthesis gas</v>
      </c>
      <c r="D458" s="17" t="str">
        <f t="shared" si="55"/>
        <v>Fuel as process input</v>
      </c>
      <c r="E458" s="17"/>
      <c r="F458" s="151" t="str">
        <f t="shared" si="54"/>
        <v>Standard method: Fuel, Article 24(1)</v>
      </c>
      <c r="G458" s="103" t="s">
        <v>1531</v>
      </c>
      <c r="H458" s="613" t="str">
        <f>Translations!$B$493</f>
        <v>Type I default values</v>
      </c>
      <c r="I458" s="150"/>
      <c r="J458" s="150" t="str">
        <f>Translations!$B$528</f>
        <v>Type II default values</v>
      </c>
      <c r="K458" s="150" t="str">
        <f>Translations!$B$1109</f>
        <v>Purchasing records (if applicable)</v>
      </c>
      <c r="L458" s="613" t="str">
        <f>Translations!$B$527</f>
        <v>Laboratory analyses</v>
      </c>
      <c r="M458" s="613"/>
      <c r="N458" s="613"/>
      <c r="O458" s="146"/>
      <c r="P458" s="103">
        <f t="shared" si="50"/>
        <v>3</v>
      </c>
      <c r="Q458" s="147" t="str">
        <f t="shared" si="51"/>
        <v>Hydrogen and synthesis gas: Fuel as process input</v>
      </c>
      <c r="R458" s="17"/>
      <c r="S458" s="17" t="str">
        <f t="shared" si="52"/>
        <v>NCV_Hydrogen and synthesis gas: Fuel as process input</v>
      </c>
      <c r="Z458" s="21" t="b">
        <f t="shared" si="49"/>
        <v>0</v>
      </c>
      <c r="AL458" s="624">
        <v>1</v>
      </c>
      <c r="AM458" s="624" t="s">
        <v>992</v>
      </c>
      <c r="AN458" s="624">
        <v>1</v>
      </c>
      <c r="AO458" s="624" t="str">
        <f>Translations!$B$1109</f>
        <v>Purchasing records (if applicable)</v>
      </c>
      <c r="AP458" s="624">
        <v>2</v>
      </c>
    </row>
    <row r="459" spans="1:42" ht="12.75" customHeight="1" outlineLevel="1" x14ac:dyDescent="0.2">
      <c r="A459" s="21">
        <v>51</v>
      </c>
      <c r="B459" s="611" t="str">
        <f t="shared" si="55"/>
        <v>Production of hydrogen and synthesis gas</v>
      </c>
      <c r="C459" s="17" t="str">
        <f t="shared" si="55"/>
        <v>Hydrogen and synthesis gas</v>
      </c>
      <c r="D459" s="17" t="str">
        <f t="shared" si="55"/>
        <v>Mass balance methodology</v>
      </c>
      <c r="E459" s="17"/>
      <c r="F459" s="151" t="str">
        <f t="shared" si="54"/>
        <v>Mass balance method, Article 25</v>
      </c>
      <c r="G459" s="103" t="str">
        <f>""</f>
        <v/>
      </c>
      <c r="H459" s="149" t="str">
        <f>Translations!$B$493</f>
        <v>Type I default values</v>
      </c>
      <c r="I459" s="149"/>
      <c r="J459" s="149" t="str">
        <f>Translations!$B$528</f>
        <v>Type II default values</v>
      </c>
      <c r="K459" s="149" t="str">
        <f>Translations!$B$1109</f>
        <v>Purchasing records (if applicable)</v>
      </c>
      <c r="L459" s="149" t="str">
        <f>Translations!$B$527</f>
        <v>Laboratory analyses</v>
      </c>
      <c r="M459" s="149"/>
      <c r="N459" s="149"/>
      <c r="O459" s="150"/>
      <c r="P459" s="103">
        <f t="shared" si="50"/>
        <v>3</v>
      </c>
      <c r="Q459" s="147" t="str">
        <f t="shared" si="51"/>
        <v>Hydrogen and synthesis gas: Mass balance methodology</v>
      </c>
      <c r="R459" s="17"/>
      <c r="S459" s="17" t="str">
        <f t="shared" si="52"/>
        <v>NCV_Hydrogen and synthesis gas: Mass balance methodology</v>
      </c>
      <c r="Z459" s="21" t="b">
        <f t="shared" si="49"/>
        <v>0</v>
      </c>
      <c r="AL459" s="624">
        <v>1</v>
      </c>
      <c r="AM459" s="624" t="s">
        <v>992</v>
      </c>
      <c r="AN459" s="624">
        <v>1</v>
      </c>
      <c r="AO459" s="624" t="str">
        <f>Translations!$B$1109</f>
        <v>Purchasing records (if applicable)</v>
      </c>
      <c r="AP459" s="624">
        <v>2</v>
      </c>
    </row>
    <row r="460" spans="1:42" ht="12.75" customHeight="1" outlineLevel="1" x14ac:dyDescent="0.2">
      <c r="A460" s="21">
        <v>52</v>
      </c>
      <c r="B460" s="611" t="str">
        <f t="shared" si="55"/>
        <v>Production of bulk chemicals</v>
      </c>
      <c r="C460" s="17" t="str">
        <f t="shared" si="55"/>
        <v>Bulk organic chemicals</v>
      </c>
      <c r="D460" s="17" t="str">
        <f t="shared" si="55"/>
        <v>Mass balance methodology</v>
      </c>
      <c r="E460" s="17"/>
      <c r="F460" s="151" t="str">
        <f t="shared" si="54"/>
        <v>Mass balance method, Article 25</v>
      </c>
      <c r="G460" s="103" t="str">
        <f>""</f>
        <v/>
      </c>
      <c r="H460" s="149" t="str">
        <f>Translations!$B$493</f>
        <v>Type I default values</v>
      </c>
      <c r="I460" s="149"/>
      <c r="J460" s="149" t="str">
        <f>Translations!$B$528</f>
        <v>Type II default values</v>
      </c>
      <c r="K460" s="149" t="str">
        <f>Translations!$B$1109</f>
        <v>Purchasing records (if applicable)</v>
      </c>
      <c r="L460" s="149" t="str">
        <f>Translations!$B$527</f>
        <v>Laboratory analyses</v>
      </c>
      <c r="M460" s="149"/>
      <c r="N460" s="149"/>
      <c r="O460" s="150"/>
      <c r="P460" s="103">
        <f t="shared" si="50"/>
        <v>3</v>
      </c>
      <c r="Q460" s="147" t="str">
        <f t="shared" si="51"/>
        <v>Bulk organic chemicals: Mass balance methodology</v>
      </c>
      <c r="R460" s="17"/>
      <c r="S460" s="17" t="str">
        <f t="shared" si="52"/>
        <v>NCV_Bulk organic chemicals: Mass balance methodology</v>
      </c>
      <c r="Z460" s="21" t="b">
        <f t="shared" si="49"/>
        <v>0</v>
      </c>
      <c r="AL460" s="624">
        <v>1</v>
      </c>
      <c r="AM460" s="624" t="s">
        <v>992</v>
      </c>
      <c r="AN460" s="624">
        <v>1</v>
      </c>
      <c r="AO460" s="624" t="str">
        <f>Translations!$B$1109</f>
        <v>Purchasing records (if applicable)</v>
      </c>
      <c r="AP460" s="624">
        <v>2</v>
      </c>
    </row>
    <row r="461" spans="1:42" ht="12.75" customHeight="1" outlineLevel="1" x14ac:dyDescent="0.2">
      <c r="A461" s="21">
        <v>53</v>
      </c>
      <c r="B461" s="611" t="str">
        <f t="shared" si="55"/>
        <v>Production or processing of ferrous metals</v>
      </c>
      <c r="C461" s="17" t="str">
        <f t="shared" si="55"/>
        <v>(Non) ferrous, sec. aluminium</v>
      </c>
      <c r="D461" s="17" t="str">
        <f t="shared" si="55"/>
        <v>Process (method A): carbonate only</v>
      </c>
      <c r="E461" s="602"/>
      <c r="F461" s="151" t="str">
        <f t="shared" si="54"/>
        <v>Standard method: Process, Article 24(2)</v>
      </c>
      <c r="G461" s="103" t="str">
        <f>EUconst_NA</f>
        <v>n.a.</v>
      </c>
      <c r="H461" s="149"/>
      <c r="I461" s="149"/>
      <c r="J461" s="151"/>
      <c r="K461" s="151"/>
      <c r="L461" s="149"/>
      <c r="M461" s="149"/>
      <c r="N461" s="149"/>
      <c r="O461" s="150"/>
      <c r="P461" s="103" t="str">
        <f t="shared" si="50"/>
        <v>n.a.</v>
      </c>
      <c r="Q461" s="147" t="str">
        <f t="shared" si="51"/>
        <v>(Non) ferrous, sec. aluminium: Process (method A): carbonate only</v>
      </c>
      <c r="R461" s="17"/>
      <c r="S461" s="17" t="str">
        <f t="shared" si="52"/>
        <v>NCV_(Non) ferrous, sec. aluminium: Process (method A): carbonate only</v>
      </c>
      <c r="Z461" s="21" t="b">
        <f t="shared" si="49"/>
        <v>1</v>
      </c>
      <c r="AL461" s="624" t="s">
        <v>992</v>
      </c>
      <c r="AM461" s="624" t="s">
        <v>992</v>
      </c>
      <c r="AN461" s="624" t="s">
        <v>992</v>
      </c>
      <c r="AO461" s="624" t="s">
        <v>992</v>
      </c>
      <c r="AP461" s="624" t="s">
        <v>992</v>
      </c>
    </row>
    <row r="462" spans="1:42" ht="12.75" customHeight="1" outlineLevel="1" x14ac:dyDescent="0.2">
      <c r="A462" s="21">
        <v>54</v>
      </c>
      <c r="B462" s="611" t="str">
        <f t="shared" si="55"/>
        <v>Production or processing of ferrous metals</v>
      </c>
      <c r="C462" s="17" t="str">
        <f t="shared" si="55"/>
        <v>(Non) ferrous, sec. aluminium</v>
      </c>
      <c r="D462" s="17" t="str">
        <f t="shared" si="55"/>
        <v>Process (method A): mixed (carbonate + non-carbonate)</v>
      </c>
      <c r="E462" s="602"/>
      <c r="F462" s="151" t="str">
        <f t="shared" si="54"/>
        <v>Standard method: Process, Article 24(2)</v>
      </c>
      <c r="G462" s="103" t="s">
        <v>1531</v>
      </c>
      <c r="H462" s="613" t="str">
        <f>Translations!$B$493</f>
        <v>Type I default values</v>
      </c>
      <c r="I462" s="150"/>
      <c r="J462" s="150" t="str">
        <f>Translations!$B$528</f>
        <v>Type II default values</v>
      </c>
      <c r="K462" s="150" t="str">
        <f>Translations!$B$1109</f>
        <v>Purchasing records (if applicable)</v>
      </c>
      <c r="L462" s="613" t="str">
        <f>Translations!$B$527</f>
        <v>Laboratory analyses</v>
      </c>
      <c r="M462" s="613"/>
      <c r="N462" s="613"/>
      <c r="O462" s="148"/>
      <c r="P462" s="103">
        <f t="shared" si="50"/>
        <v>3</v>
      </c>
      <c r="Q462" s="147" t="str">
        <f t="shared" si="51"/>
        <v>(Non) ferrous, sec. aluminium: Process (method A): mixed (carbonate + non-carbonate)</v>
      </c>
      <c r="R462" s="17"/>
      <c r="S462" s="17" t="str">
        <f t="shared" si="52"/>
        <v>NCV_(Non) ferrous, sec. aluminium: Process (method A): mixed (carbonate + non-carbonate)</v>
      </c>
      <c r="Z462" s="21" t="b">
        <f t="shared" si="49"/>
        <v>0</v>
      </c>
      <c r="AL462" s="624">
        <v>1</v>
      </c>
      <c r="AM462" s="624" t="s">
        <v>992</v>
      </c>
      <c r="AN462" s="624">
        <v>1</v>
      </c>
      <c r="AO462" s="624" t="str">
        <f>Translations!$B$1109</f>
        <v>Purchasing records (if applicable)</v>
      </c>
      <c r="AP462" s="624">
        <v>2</v>
      </c>
    </row>
    <row r="463" spans="1:42" ht="12.75" customHeight="1" outlineLevel="1" x14ac:dyDescent="0.2">
      <c r="A463" s="21">
        <v>55</v>
      </c>
      <c r="B463" s="611" t="str">
        <f t="shared" si="55"/>
        <v>Production or processing of ferrous metals</v>
      </c>
      <c r="C463" s="17" t="str">
        <f t="shared" si="55"/>
        <v>(Non) ferrous, sec. aluminium</v>
      </c>
      <c r="D463" s="17" t="str">
        <f t="shared" si="55"/>
        <v>Process (method A): non-carbonate</v>
      </c>
      <c r="E463" s="602"/>
      <c r="F463" s="151" t="str">
        <f t="shared" si="54"/>
        <v>Standard method: Process, Article 24(2)</v>
      </c>
      <c r="G463" s="103" t="s">
        <v>1531</v>
      </c>
      <c r="H463" s="613" t="str">
        <f>Translations!$B$493</f>
        <v>Type I default values</v>
      </c>
      <c r="I463" s="150"/>
      <c r="J463" s="150" t="str">
        <f>Translations!$B$528</f>
        <v>Type II default values</v>
      </c>
      <c r="K463" s="150" t="str">
        <f>Translations!$B$1109</f>
        <v>Purchasing records (if applicable)</v>
      </c>
      <c r="L463" s="613" t="str">
        <f>Translations!$B$527</f>
        <v>Laboratory analyses</v>
      </c>
      <c r="M463" s="613"/>
      <c r="N463" s="613"/>
      <c r="O463" s="148"/>
      <c r="P463" s="103">
        <f t="shared" si="50"/>
        <v>3</v>
      </c>
      <c r="Q463" s="147" t="str">
        <f t="shared" si="51"/>
        <v>(Non) ferrous, sec. aluminium: Process (method A): non-carbonate</v>
      </c>
      <c r="R463" s="17"/>
      <c r="S463" s="17" t="str">
        <f t="shared" si="52"/>
        <v>NCV_(Non) ferrous, sec. aluminium: Process (method A): non-carbonate</v>
      </c>
      <c r="Z463" s="21" t="b">
        <f t="shared" si="49"/>
        <v>0</v>
      </c>
      <c r="AL463" s="624">
        <v>1</v>
      </c>
      <c r="AM463" s="624" t="s">
        <v>992</v>
      </c>
      <c r="AN463" s="624">
        <v>1</v>
      </c>
      <c r="AO463" s="624" t="str">
        <f>Translations!$B$1109</f>
        <v>Purchasing records (if applicable)</v>
      </c>
      <c r="AP463" s="624">
        <v>2</v>
      </c>
    </row>
    <row r="464" spans="1:42" ht="12.75" customHeight="1" outlineLevel="1" x14ac:dyDescent="0.2">
      <c r="A464" s="21">
        <v>56</v>
      </c>
      <c r="B464" s="611" t="str">
        <f t="shared" si="55"/>
        <v>Production or processing of ferrous metals</v>
      </c>
      <c r="C464" s="17" t="str">
        <f t="shared" si="55"/>
        <v>(Non) ferrous, sec. aluminium</v>
      </c>
      <c r="D464" s="17" t="str">
        <f t="shared" si="55"/>
        <v>Process (method B): oxide output</v>
      </c>
      <c r="E464" s="602"/>
      <c r="F464" s="151" t="str">
        <f t="shared" si="54"/>
        <v>Standard method: Process, Article 24(2)</v>
      </c>
      <c r="G464" s="103" t="str">
        <f>EUconst_NA</f>
        <v>n.a.</v>
      </c>
      <c r="H464" s="149"/>
      <c r="I464" s="149"/>
      <c r="J464" s="151"/>
      <c r="K464" s="151"/>
      <c r="L464" s="149"/>
      <c r="M464" s="149"/>
      <c r="N464" s="149"/>
      <c r="O464" s="150"/>
      <c r="P464" s="103" t="str">
        <f t="shared" si="50"/>
        <v>n.a.</v>
      </c>
      <c r="Q464" s="147" t="str">
        <f t="shared" si="51"/>
        <v>(Non) ferrous, sec. aluminium: Process (method B): oxide output</v>
      </c>
      <c r="R464" s="17"/>
      <c r="S464" s="17" t="str">
        <f t="shared" si="52"/>
        <v>NCV_(Non) ferrous, sec. aluminium: Process (method B): oxide output</v>
      </c>
      <c r="Z464" s="21" t="b">
        <f t="shared" si="49"/>
        <v>1</v>
      </c>
      <c r="AL464" s="624" t="s">
        <v>992</v>
      </c>
      <c r="AM464" s="624" t="s">
        <v>992</v>
      </c>
      <c r="AN464" s="624" t="s">
        <v>992</v>
      </c>
      <c r="AO464" s="624" t="s">
        <v>992</v>
      </c>
      <c r="AP464" s="624" t="s">
        <v>992</v>
      </c>
    </row>
    <row r="465" spans="1:42" ht="12.75" customHeight="1" outlineLevel="1" x14ac:dyDescent="0.2">
      <c r="A465" s="21">
        <v>57</v>
      </c>
      <c r="B465" s="611" t="str">
        <f t="shared" si="55"/>
        <v>Production or processing of ferrous metals</v>
      </c>
      <c r="C465" s="17" t="str">
        <f t="shared" si="55"/>
        <v>(Non) ferrous, sec. aluminium</v>
      </c>
      <c r="D465" s="17" t="str">
        <f t="shared" si="55"/>
        <v>Mass balance methodology</v>
      </c>
      <c r="E465" s="17"/>
      <c r="F465" s="151" t="str">
        <f t="shared" si="54"/>
        <v>Mass balance method, Article 25</v>
      </c>
      <c r="G465" s="103" t="str">
        <f>""</f>
        <v/>
      </c>
      <c r="H465" s="149" t="str">
        <f>Translations!$B$493</f>
        <v>Type I default values</v>
      </c>
      <c r="I465" s="149"/>
      <c r="J465" s="149" t="str">
        <f>Translations!$B$528</f>
        <v>Type II default values</v>
      </c>
      <c r="K465" s="149" t="str">
        <f>Translations!$B$1109</f>
        <v>Purchasing records (if applicable)</v>
      </c>
      <c r="L465" s="149" t="str">
        <f>Translations!$B$527</f>
        <v>Laboratory analyses</v>
      </c>
      <c r="M465" s="149"/>
      <c r="N465" s="149"/>
      <c r="O465" s="150"/>
      <c r="P465" s="103">
        <f t="shared" si="50"/>
        <v>3</v>
      </c>
      <c r="Q465" s="147" t="str">
        <f t="shared" si="51"/>
        <v>(Non) ferrous, sec. aluminium: Mass balance methodology</v>
      </c>
      <c r="R465" s="17"/>
      <c r="S465" s="17" t="str">
        <f t="shared" si="52"/>
        <v>NCV_(Non) ferrous, sec. aluminium: Mass balance methodology</v>
      </c>
      <c r="Z465" s="21" t="b">
        <f t="shared" si="49"/>
        <v>0</v>
      </c>
      <c r="AL465" s="624">
        <v>1</v>
      </c>
      <c r="AM465" s="624" t="s">
        <v>992</v>
      </c>
      <c r="AN465" s="624">
        <v>1</v>
      </c>
      <c r="AO465" s="624" t="str">
        <f>Translations!$B$1109</f>
        <v>Purchasing records (if applicable)</v>
      </c>
      <c r="AP465" s="624">
        <v>2</v>
      </c>
    </row>
    <row r="466" spans="1:42" ht="12.75" customHeight="1" outlineLevel="1" x14ac:dyDescent="0.2">
      <c r="A466" s="21">
        <v>58</v>
      </c>
      <c r="B466" s="611" t="str">
        <f t="shared" si="55"/>
        <v>Production of soda ash and sodium bicarbonate</v>
      </c>
      <c r="C466" s="17" t="str">
        <f t="shared" si="55"/>
        <v>Soda ash / sodium bicarbonate</v>
      </c>
      <c r="D466" s="17" t="str">
        <f t="shared" si="55"/>
        <v>Mass balance methodology</v>
      </c>
      <c r="E466" s="17"/>
      <c r="F466" s="151" t="str">
        <f t="shared" si="54"/>
        <v>Mass balance method, Article 25</v>
      </c>
      <c r="G466" s="103" t="str">
        <f>""</f>
        <v/>
      </c>
      <c r="H466" s="149" t="str">
        <f>Translations!$B$493</f>
        <v>Type I default values</v>
      </c>
      <c r="I466" s="149"/>
      <c r="J466" s="149" t="str">
        <f>Translations!$B$528</f>
        <v>Type II default values</v>
      </c>
      <c r="K466" s="149" t="str">
        <f>Translations!$B$1109</f>
        <v>Purchasing records (if applicable)</v>
      </c>
      <c r="L466" s="149" t="str">
        <f>Translations!$B$527</f>
        <v>Laboratory analyses</v>
      </c>
      <c r="M466" s="149"/>
      <c r="N466" s="149"/>
      <c r="O466" s="150"/>
      <c r="P466" s="103">
        <f t="shared" si="50"/>
        <v>3</v>
      </c>
      <c r="Q466" s="147" t="str">
        <f t="shared" si="51"/>
        <v>Soda ash / sodium bicarbonate: Mass balance methodology</v>
      </c>
      <c r="R466" s="17"/>
      <c r="S466" s="17" t="str">
        <f t="shared" si="52"/>
        <v>NCV_Soda ash / sodium bicarbonate: Mass balance methodology</v>
      </c>
      <c r="W466" s="226"/>
      <c r="Z466" s="21" t="b">
        <f t="shared" si="49"/>
        <v>0</v>
      </c>
      <c r="AL466" s="624">
        <v>1</v>
      </c>
      <c r="AM466" s="624" t="s">
        <v>992</v>
      </c>
      <c r="AN466" s="624">
        <v>1</v>
      </c>
      <c r="AO466" s="624" t="str">
        <f>Translations!$B$1109</f>
        <v>Purchasing records (if applicable)</v>
      </c>
      <c r="AP466" s="624">
        <v>2</v>
      </c>
    </row>
    <row r="467" spans="1:42" ht="12.75" customHeight="1" outlineLevel="1" x14ac:dyDescent="0.2">
      <c r="A467" s="21">
        <v>59</v>
      </c>
      <c r="B467" s="611" t="str">
        <f t="shared" si="55"/>
        <v>Production of primary aluminium</v>
      </c>
      <c r="C467" s="17" t="str">
        <f t="shared" si="55"/>
        <v>Primary aluminium</v>
      </c>
      <c r="D467" s="17" t="str">
        <f t="shared" si="55"/>
        <v>Mass balance methodology</v>
      </c>
      <c r="E467" s="17"/>
      <c r="F467" s="151" t="str">
        <f t="shared" si="54"/>
        <v>Mass balance method, Article 25</v>
      </c>
      <c r="G467" s="103" t="str">
        <f>""</f>
        <v/>
      </c>
      <c r="H467" s="149" t="str">
        <f>Translations!$B$493</f>
        <v>Type I default values</v>
      </c>
      <c r="I467" s="149"/>
      <c r="J467" s="149" t="str">
        <f>Translations!$B$528</f>
        <v>Type II default values</v>
      </c>
      <c r="K467" s="149" t="str">
        <f>Translations!$B$1109</f>
        <v>Purchasing records (if applicable)</v>
      </c>
      <c r="L467" s="149" t="str">
        <f>Translations!$B$527</f>
        <v>Laboratory analyses</v>
      </c>
      <c r="M467" s="149"/>
      <c r="N467" s="149"/>
      <c r="O467" s="150"/>
      <c r="P467" s="103">
        <f t="shared" si="50"/>
        <v>3</v>
      </c>
      <c r="Q467" s="147" t="str">
        <f t="shared" si="51"/>
        <v>Primary aluminium: Mass balance methodology</v>
      </c>
      <c r="R467" s="17"/>
      <c r="S467" s="17" t="str">
        <f t="shared" si="52"/>
        <v>NCV_Primary aluminium: Mass balance methodology</v>
      </c>
      <c r="Z467" s="21" t="b">
        <f t="shared" si="49"/>
        <v>0</v>
      </c>
      <c r="AL467" s="624">
        <v>1</v>
      </c>
      <c r="AM467" s="624" t="s">
        <v>992</v>
      </c>
      <c r="AN467" s="624">
        <v>1</v>
      </c>
      <c r="AO467" s="624" t="str">
        <f>Translations!$B$1109</f>
        <v>Purchasing records (if applicable)</v>
      </c>
      <c r="AP467" s="624">
        <v>2</v>
      </c>
    </row>
    <row r="468" spans="1:42" ht="12.75" customHeight="1" outlineLevel="1" x14ac:dyDescent="0.2">
      <c r="A468" s="21">
        <v>60</v>
      </c>
      <c r="B468" s="611" t="str">
        <f t="shared" si="55"/>
        <v>Production of primary aluminium</v>
      </c>
      <c r="C468" s="17" t="str">
        <f t="shared" si="55"/>
        <v>Primary aluminium</v>
      </c>
      <c r="D468" s="17" t="str">
        <f t="shared" si="55"/>
        <v>PFC emissions (slope method)</v>
      </c>
      <c r="E468" s="17"/>
      <c r="F468" s="151" t="str">
        <f t="shared" si="54"/>
        <v>Calculation with special provisions for PFC (Annex IV section 8)</v>
      </c>
      <c r="G468" s="103" t="str">
        <f t="shared" ref="G468:G478" si="56">EUconst_NA</f>
        <v>n.a.</v>
      </c>
      <c r="H468" s="149"/>
      <c r="I468" s="149"/>
      <c r="J468" s="151"/>
      <c r="K468" s="151"/>
      <c r="L468" s="149"/>
      <c r="M468" s="149"/>
      <c r="N468" s="149"/>
      <c r="O468" s="150"/>
      <c r="P468" s="103" t="str">
        <f t="shared" si="50"/>
        <v>n.a.</v>
      </c>
      <c r="Q468" s="147" t="str">
        <f t="shared" si="51"/>
        <v>Primary aluminium: PFC emissions (slope method)</v>
      </c>
      <c r="R468" s="17"/>
      <c r="S468" s="17" t="str">
        <f t="shared" si="52"/>
        <v>NCV_Primary aluminium: PFC emissions (slope method)</v>
      </c>
      <c r="Z468" s="21" t="b">
        <f t="shared" si="49"/>
        <v>1</v>
      </c>
      <c r="AL468" s="624" t="s">
        <v>992</v>
      </c>
      <c r="AM468" s="624" t="s">
        <v>992</v>
      </c>
      <c r="AN468" s="624" t="s">
        <v>992</v>
      </c>
      <c r="AO468" s="624" t="s">
        <v>992</v>
      </c>
      <c r="AP468" s="624" t="s">
        <v>992</v>
      </c>
    </row>
    <row r="469" spans="1:42" ht="12.75" customHeight="1" outlineLevel="1" x14ac:dyDescent="0.2">
      <c r="A469" s="21">
        <v>61</v>
      </c>
      <c r="B469" s="611" t="str">
        <f t="shared" ref="B469:D478" si="57">B397</f>
        <v>Production of primary aluminium</v>
      </c>
      <c r="C469" s="17" t="str">
        <f t="shared" si="57"/>
        <v>Primary aluminium</v>
      </c>
      <c r="D469" s="17" t="str">
        <f t="shared" si="57"/>
        <v>PFC emissions (overvoltage method)</v>
      </c>
      <c r="E469" s="17"/>
      <c r="F469" s="151" t="str">
        <f t="shared" si="54"/>
        <v>Calculation with special provisions for PFC (Annex IV section 8)</v>
      </c>
      <c r="G469" s="103" t="str">
        <f t="shared" si="56"/>
        <v>n.a.</v>
      </c>
      <c r="H469" s="149"/>
      <c r="I469" s="149"/>
      <c r="J469" s="151"/>
      <c r="K469" s="151"/>
      <c r="L469" s="149"/>
      <c r="M469" s="149"/>
      <c r="N469" s="149"/>
      <c r="O469" s="150"/>
      <c r="P469" s="103" t="str">
        <f t="shared" si="50"/>
        <v>n.a.</v>
      </c>
      <c r="Q469" s="147" t="str">
        <f t="shared" si="51"/>
        <v>Primary aluminium: PFC emissions (overvoltage method)</v>
      </c>
      <c r="R469" s="17"/>
      <c r="S469" s="17" t="str">
        <f t="shared" si="52"/>
        <v>NCV_Primary aluminium: PFC emissions (overvoltage method)</v>
      </c>
      <c r="Z469" s="21" t="b">
        <f t="shared" ref="Z469:Z479" si="58">IF(G469=EUconst_NA,TRUE,FALSE)</f>
        <v>1</v>
      </c>
      <c r="AL469" s="624" t="s">
        <v>992</v>
      </c>
      <c r="AM469" s="624" t="s">
        <v>992</v>
      </c>
      <c r="AN469" s="624" t="s">
        <v>992</v>
      </c>
      <c r="AO469" s="624" t="s">
        <v>992</v>
      </c>
      <c r="AP469" s="624" t="s">
        <v>992</v>
      </c>
    </row>
    <row r="470" spans="1:42" ht="12.75" customHeight="1" outlineLevel="1" x14ac:dyDescent="0.2">
      <c r="A470" s="21">
        <v>62</v>
      </c>
      <c r="B470" s="611" t="str">
        <f t="shared" si="57"/>
        <v>Capture of greenhouse gases under Directive 2009/31/EC</v>
      </c>
      <c r="C470" s="17" t="str">
        <f t="shared" si="57"/>
        <v>CCS: Capture</v>
      </c>
      <c r="D470" s="17" t="str">
        <f t="shared" si="57"/>
        <v>CO2 transferred</v>
      </c>
      <c r="E470" s="17"/>
      <c r="F470" s="151" t="str">
        <f t="shared" ref="F470:F478" si="59">F398</f>
        <v>Mass balance method, Article 25</v>
      </c>
      <c r="G470" s="103" t="str">
        <f t="shared" si="56"/>
        <v>n.a.</v>
      </c>
      <c r="H470" s="149"/>
      <c r="I470" s="149"/>
      <c r="J470" s="151"/>
      <c r="K470" s="151"/>
      <c r="L470" s="149"/>
      <c r="M470" s="149"/>
      <c r="N470" s="149"/>
      <c r="O470" s="150"/>
      <c r="P470" s="103" t="str">
        <f t="shared" ref="P470:P478" si="60">IF(G470=EUconst_NA,EUconst_NA,IF(ISBLANK(J470),COUNTA(H470:O470),COUNTA(H470,J470,L470)))</f>
        <v>n.a.</v>
      </c>
      <c r="Q470" s="147" t="str">
        <f t="shared" ref="Q470:Q478" si="61">C470 &amp; ": " &amp;D470</f>
        <v>CCS: Capture: CO2 transferred</v>
      </c>
      <c r="R470" s="17"/>
      <c r="S470" s="17" t="str">
        <f t="shared" ref="S470:S478" si="62">EUconst_CNTR_NCV&amp;Q470</f>
        <v>NCV_CCS: Capture: CO2 transferred</v>
      </c>
      <c r="Z470" s="21" t="b">
        <f t="shared" si="58"/>
        <v>1</v>
      </c>
      <c r="AL470" s="624"/>
      <c r="AM470" s="624"/>
      <c r="AN470" s="624"/>
      <c r="AO470" s="624"/>
      <c r="AP470" s="624"/>
    </row>
    <row r="471" spans="1:42" ht="12.75" customHeight="1" outlineLevel="1" x14ac:dyDescent="0.2">
      <c r="A471" s="21">
        <v>63</v>
      </c>
      <c r="B471" s="611" t="str">
        <f t="shared" si="57"/>
        <v>Transport of greenhouse gases under Directive 2009/31/EC</v>
      </c>
      <c r="C471" s="17" t="str">
        <f t="shared" si="57"/>
        <v>CCS: Transport</v>
      </c>
      <c r="D471" s="17" t="str">
        <f t="shared" si="57"/>
        <v>CO2 transferred</v>
      </c>
      <c r="E471" s="17"/>
      <c r="F471" s="151" t="str">
        <f t="shared" si="59"/>
        <v>Mass balance method, Article 25</v>
      </c>
      <c r="G471" s="103" t="str">
        <f t="shared" si="56"/>
        <v>n.a.</v>
      </c>
      <c r="H471" s="149"/>
      <c r="I471" s="149"/>
      <c r="J471" s="151"/>
      <c r="K471" s="151"/>
      <c r="L471" s="149"/>
      <c r="M471" s="149"/>
      <c r="N471" s="149"/>
      <c r="O471" s="150"/>
      <c r="P471" s="103" t="str">
        <f t="shared" si="60"/>
        <v>n.a.</v>
      </c>
      <c r="Q471" s="147" t="str">
        <f t="shared" si="61"/>
        <v>CCS: Transport: CO2 transferred</v>
      </c>
      <c r="R471" s="17"/>
      <c r="S471" s="17" t="str">
        <f t="shared" si="62"/>
        <v>NCV_CCS: Transport: CO2 transferred</v>
      </c>
      <c r="Z471" s="21" t="b">
        <f t="shared" si="58"/>
        <v>1</v>
      </c>
      <c r="AL471" s="624"/>
      <c r="AM471" s="624"/>
      <c r="AN471" s="624"/>
      <c r="AO471" s="624"/>
      <c r="AP471" s="624"/>
    </row>
    <row r="472" spans="1:42" ht="12.75" customHeight="1" outlineLevel="1" x14ac:dyDescent="0.2">
      <c r="A472" s="21">
        <v>64</v>
      </c>
      <c r="B472" s="611" t="str">
        <f t="shared" si="57"/>
        <v>Transport of greenhouse gases under Directive 2009/31/EC</v>
      </c>
      <c r="C472" s="17" t="str">
        <f t="shared" si="57"/>
        <v>CCS: Transport</v>
      </c>
      <c r="D472" s="17" t="str">
        <f t="shared" si="57"/>
        <v>CO2 vented</v>
      </c>
      <c r="E472" s="17"/>
      <c r="F472" s="151" t="str">
        <f t="shared" si="59"/>
        <v>Standard method: Process, Article 24(2)</v>
      </c>
      <c r="G472" s="103" t="str">
        <f t="shared" si="56"/>
        <v>n.a.</v>
      </c>
      <c r="H472" s="149"/>
      <c r="I472" s="149"/>
      <c r="J472" s="151"/>
      <c r="K472" s="151"/>
      <c r="L472" s="149"/>
      <c r="M472" s="149"/>
      <c r="N472" s="149"/>
      <c r="O472" s="150"/>
      <c r="P472" s="103" t="str">
        <f t="shared" si="60"/>
        <v>n.a.</v>
      </c>
      <c r="Q472" s="147" t="str">
        <f t="shared" si="61"/>
        <v>CCS: Transport: CO2 vented</v>
      </c>
      <c r="R472" s="17"/>
      <c r="S472" s="17" t="str">
        <f t="shared" si="62"/>
        <v>NCV_CCS: Transport: CO2 vented</v>
      </c>
      <c r="Z472" s="21" t="b">
        <f t="shared" si="58"/>
        <v>1</v>
      </c>
      <c r="AL472" s="624"/>
      <c r="AM472" s="624"/>
      <c r="AN472" s="624"/>
      <c r="AO472" s="624"/>
      <c r="AP472" s="624"/>
    </row>
    <row r="473" spans="1:42" ht="12.75" customHeight="1" outlineLevel="1" x14ac:dyDescent="0.2">
      <c r="A473" s="21">
        <v>65</v>
      </c>
      <c r="B473" s="611" t="str">
        <f t="shared" si="57"/>
        <v>Transport of greenhouse gases under Directive 2009/31/EC</v>
      </c>
      <c r="C473" s="17" t="str">
        <f t="shared" si="57"/>
        <v>CCS: Transport</v>
      </c>
      <c r="D473" s="17" t="str">
        <f t="shared" si="57"/>
        <v>CO2 leaked</v>
      </c>
      <c r="E473" s="17"/>
      <c r="F473" s="151" t="str">
        <f t="shared" si="59"/>
        <v>Standard method: Process, Article 24(2)</v>
      </c>
      <c r="G473" s="103" t="str">
        <f t="shared" si="56"/>
        <v>n.a.</v>
      </c>
      <c r="H473" s="149"/>
      <c r="I473" s="149"/>
      <c r="J473" s="151"/>
      <c r="K473" s="151"/>
      <c r="L473" s="149"/>
      <c r="M473" s="149"/>
      <c r="N473" s="149"/>
      <c r="O473" s="150"/>
      <c r="P473" s="103" t="str">
        <f t="shared" si="60"/>
        <v>n.a.</v>
      </c>
      <c r="Q473" s="147" t="str">
        <f t="shared" si="61"/>
        <v>CCS: Transport: CO2 leaked</v>
      </c>
      <c r="R473" s="17"/>
      <c r="S473" s="17" t="str">
        <f t="shared" si="62"/>
        <v>NCV_CCS: Transport: CO2 leaked</v>
      </c>
      <c r="Z473" s="21" t="b">
        <f t="shared" si="58"/>
        <v>1</v>
      </c>
      <c r="AL473" s="624"/>
      <c r="AM473" s="624"/>
      <c r="AN473" s="624"/>
      <c r="AO473" s="624"/>
      <c r="AP473" s="624"/>
    </row>
    <row r="474" spans="1:42" ht="12.75" customHeight="1" outlineLevel="1" x14ac:dyDescent="0.2">
      <c r="A474" s="21">
        <v>66</v>
      </c>
      <c r="B474" s="611" t="str">
        <f t="shared" si="57"/>
        <v>Transport of greenhouse gases under Directive 2009/31/EC</v>
      </c>
      <c r="C474" s="17" t="str">
        <f t="shared" si="57"/>
        <v>CCS: Transport</v>
      </c>
      <c r="D474" s="17" t="str">
        <f t="shared" si="57"/>
        <v>CO2 fugitive</v>
      </c>
      <c r="E474" s="17"/>
      <c r="F474" s="151" t="str">
        <f t="shared" si="59"/>
        <v>Standard method: Process, Article 24(2)</v>
      </c>
      <c r="G474" s="103" t="str">
        <f t="shared" si="56"/>
        <v>n.a.</v>
      </c>
      <c r="H474" s="149"/>
      <c r="I474" s="149"/>
      <c r="J474" s="151"/>
      <c r="K474" s="151"/>
      <c r="L474" s="149"/>
      <c r="M474" s="149"/>
      <c r="N474" s="149"/>
      <c r="O474" s="150"/>
      <c r="P474" s="103" t="str">
        <f t="shared" si="60"/>
        <v>n.a.</v>
      </c>
      <c r="Q474" s="147" t="str">
        <f t="shared" si="61"/>
        <v>CCS: Transport: CO2 fugitive</v>
      </c>
      <c r="R474" s="17"/>
      <c r="S474" s="17" t="str">
        <f t="shared" si="62"/>
        <v>NCV_CCS: Transport: CO2 fugitive</v>
      </c>
      <c r="Z474" s="21" t="b">
        <f t="shared" si="58"/>
        <v>1</v>
      </c>
      <c r="AL474" s="624"/>
      <c r="AM474" s="624"/>
      <c r="AN474" s="624"/>
      <c r="AO474" s="624"/>
      <c r="AP474" s="624"/>
    </row>
    <row r="475" spans="1:42" ht="12.75" customHeight="1" outlineLevel="1" x14ac:dyDescent="0.2">
      <c r="A475" s="21">
        <v>67</v>
      </c>
      <c r="B475" s="611" t="str">
        <f t="shared" si="57"/>
        <v>Storage of greenhouse gases under Directive 2009/31/EC</v>
      </c>
      <c r="C475" s="17" t="str">
        <f t="shared" si="57"/>
        <v>CCS: Storage</v>
      </c>
      <c r="D475" s="17" t="str">
        <f t="shared" si="57"/>
        <v>CO2 transferred</v>
      </c>
      <c r="E475" s="17"/>
      <c r="F475" s="151" t="str">
        <f t="shared" si="59"/>
        <v>Mass balance method, Article 25</v>
      </c>
      <c r="G475" s="103" t="str">
        <f t="shared" si="56"/>
        <v>n.a.</v>
      </c>
      <c r="H475" s="149"/>
      <c r="I475" s="149"/>
      <c r="J475" s="151"/>
      <c r="K475" s="151"/>
      <c r="L475" s="149"/>
      <c r="M475" s="149"/>
      <c r="N475" s="149"/>
      <c r="O475" s="150"/>
      <c r="P475" s="103" t="str">
        <f t="shared" si="60"/>
        <v>n.a.</v>
      </c>
      <c r="Q475" s="147" t="str">
        <f t="shared" si="61"/>
        <v>CCS: Storage: CO2 transferred</v>
      </c>
      <c r="R475" s="17"/>
      <c r="S475" s="17" t="str">
        <f t="shared" si="62"/>
        <v>NCV_CCS: Storage: CO2 transferred</v>
      </c>
      <c r="Z475" s="21" t="b">
        <f t="shared" si="58"/>
        <v>1</v>
      </c>
      <c r="AL475" s="624"/>
      <c r="AM475" s="624"/>
      <c r="AN475" s="624"/>
      <c r="AO475" s="624"/>
      <c r="AP475" s="624"/>
    </row>
    <row r="476" spans="1:42" ht="12.75" customHeight="1" outlineLevel="1" x14ac:dyDescent="0.2">
      <c r="A476" s="21">
        <v>68</v>
      </c>
      <c r="B476" s="611" t="str">
        <f t="shared" si="57"/>
        <v>Storage of greenhouse gases under Directive 2009/31/EC</v>
      </c>
      <c r="C476" s="17" t="str">
        <f t="shared" si="57"/>
        <v>CCS: Storage</v>
      </c>
      <c r="D476" s="17" t="str">
        <f t="shared" si="57"/>
        <v>CO2 vented</v>
      </c>
      <c r="E476" s="17"/>
      <c r="F476" s="151" t="str">
        <f t="shared" si="59"/>
        <v>Standard method: Process, Article 24(2)</v>
      </c>
      <c r="G476" s="103" t="str">
        <f t="shared" si="56"/>
        <v>n.a.</v>
      </c>
      <c r="H476" s="149"/>
      <c r="I476" s="149"/>
      <c r="J476" s="151"/>
      <c r="K476" s="151"/>
      <c r="L476" s="149"/>
      <c r="M476" s="149"/>
      <c r="N476" s="149"/>
      <c r="O476" s="150"/>
      <c r="P476" s="103" t="str">
        <f t="shared" si="60"/>
        <v>n.a.</v>
      </c>
      <c r="Q476" s="147" t="str">
        <f t="shared" si="61"/>
        <v>CCS: Storage: CO2 vented</v>
      </c>
      <c r="R476" s="17"/>
      <c r="S476" s="17" t="str">
        <f t="shared" si="62"/>
        <v>NCV_CCS: Storage: CO2 vented</v>
      </c>
      <c r="Z476" s="21" t="b">
        <f t="shared" si="58"/>
        <v>1</v>
      </c>
      <c r="AL476" s="624"/>
      <c r="AM476" s="624"/>
      <c r="AN476" s="624"/>
      <c r="AO476" s="624"/>
      <c r="AP476" s="624"/>
    </row>
    <row r="477" spans="1:42" ht="12.75" customHeight="1" outlineLevel="1" x14ac:dyDescent="0.2">
      <c r="A477" s="21">
        <v>69</v>
      </c>
      <c r="B477" s="611" t="str">
        <f t="shared" si="57"/>
        <v>Storage of greenhouse gases under Directive 2009/31/EC</v>
      </c>
      <c r="C477" s="17" t="str">
        <f t="shared" si="57"/>
        <v>CCS: Storage</v>
      </c>
      <c r="D477" s="17" t="str">
        <f t="shared" si="57"/>
        <v>CO2 leaked</v>
      </c>
      <c r="E477" s="17"/>
      <c r="F477" s="151" t="str">
        <f t="shared" si="59"/>
        <v>Standard method: Process, Article 24(2)</v>
      </c>
      <c r="G477" s="103" t="str">
        <f t="shared" si="56"/>
        <v>n.a.</v>
      </c>
      <c r="H477" s="149"/>
      <c r="I477" s="149"/>
      <c r="J477" s="151"/>
      <c r="K477" s="151"/>
      <c r="L477" s="149"/>
      <c r="M477" s="149"/>
      <c r="N477" s="149"/>
      <c r="O477" s="150"/>
      <c r="P477" s="103" t="str">
        <f t="shared" si="60"/>
        <v>n.a.</v>
      </c>
      <c r="Q477" s="147" t="str">
        <f t="shared" si="61"/>
        <v>CCS: Storage: CO2 leaked</v>
      </c>
      <c r="R477" s="17"/>
      <c r="S477" s="17" t="str">
        <f t="shared" si="62"/>
        <v>NCV_CCS: Storage: CO2 leaked</v>
      </c>
      <c r="Z477" s="21" t="b">
        <f t="shared" si="58"/>
        <v>1</v>
      </c>
      <c r="AL477" s="624"/>
      <c r="AM477" s="624"/>
      <c r="AN477" s="624"/>
      <c r="AO477" s="624"/>
      <c r="AP477" s="624"/>
    </row>
    <row r="478" spans="1:42" ht="12.75" customHeight="1" outlineLevel="1" x14ac:dyDescent="0.2">
      <c r="A478" s="21">
        <v>70</v>
      </c>
      <c r="B478" s="611" t="str">
        <f t="shared" si="57"/>
        <v>Storage of greenhouse gases under Directive 2009/31/EC</v>
      </c>
      <c r="C478" s="17" t="str">
        <f t="shared" si="57"/>
        <v>CCS: Storage</v>
      </c>
      <c r="D478" s="17" t="str">
        <f t="shared" si="57"/>
        <v>CO2 fugitive</v>
      </c>
      <c r="E478" s="17"/>
      <c r="F478" s="151" t="str">
        <f t="shared" si="59"/>
        <v>Standard method: Process, Article 24(2)</v>
      </c>
      <c r="G478" s="103" t="str">
        <f t="shared" si="56"/>
        <v>n.a.</v>
      </c>
      <c r="H478" s="149"/>
      <c r="I478" s="149"/>
      <c r="J478" s="151"/>
      <c r="K478" s="151"/>
      <c r="L478" s="149"/>
      <c r="M478" s="149"/>
      <c r="N478" s="149"/>
      <c r="O478" s="150"/>
      <c r="P478" s="103" t="str">
        <f t="shared" si="60"/>
        <v>n.a.</v>
      </c>
      <c r="Q478" s="147" t="str">
        <f t="shared" si="61"/>
        <v>CCS: Storage: CO2 fugitive</v>
      </c>
      <c r="R478" s="17"/>
      <c r="S478" s="17" t="str">
        <f t="shared" si="62"/>
        <v>NCV_CCS: Storage: CO2 fugitive</v>
      </c>
      <c r="Z478" s="21" t="b">
        <f t="shared" si="58"/>
        <v>1</v>
      </c>
      <c r="AL478" s="624"/>
      <c r="AM478" s="624"/>
      <c r="AN478" s="624"/>
      <c r="AO478" s="624"/>
      <c r="AP478" s="624"/>
    </row>
    <row r="479" spans="1:42" ht="12.75" customHeight="1" outlineLevel="1" x14ac:dyDescent="0.2">
      <c r="B479" s="17"/>
      <c r="C479" s="17"/>
      <c r="D479" s="17"/>
      <c r="E479" s="17"/>
      <c r="F479" s="17"/>
      <c r="G479" s="17"/>
      <c r="H479" s="88"/>
      <c r="I479" s="88"/>
      <c r="J479" s="17"/>
      <c r="K479" s="17"/>
      <c r="L479" s="88"/>
      <c r="M479" s="88"/>
      <c r="N479" s="88"/>
      <c r="O479" s="88"/>
      <c r="P479" s="103"/>
      <c r="Q479" s="17"/>
      <c r="R479" s="17"/>
      <c r="S479" s="17"/>
      <c r="Z479" s="21" t="b">
        <f t="shared" si="58"/>
        <v>0</v>
      </c>
    </row>
    <row r="480" spans="1:42" s="142" customFormat="1" ht="12.75" customHeight="1" outlineLevel="1" x14ac:dyDescent="0.2">
      <c r="A480" s="142" t="s">
        <v>1610</v>
      </c>
      <c r="B480" s="143" t="str">
        <f>Translations!$B$524</f>
        <v>Carbon content</v>
      </c>
      <c r="C480" s="143" t="str">
        <f>Translations!$B$957</f>
        <v>Short name</v>
      </c>
      <c r="D480" s="143" t="str">
        <f>Translations!$B$958</f>
        <v>Sub-activity</v>
      </c>
      <c r="E480" s="143" t="str">
        <f>Translations!$B$389</f>
        <v>Parameter</v>
      </c>
      <c r="F480" s="143" t="str">
        <f>Translations!$B$959</f>
        <v>Source type</v>
      </c>
      <c r="G480" s="144" t="str">
        <f>Translations!$B$960</f>
        <v>Minimum</v>
      </c>
      <c r="H480" s="144">
        <v>1</v>
      </c>
      <c r="I480" s="144">
        <v>2</v>
      </c>
      <c r="J480" s="144" t="s">
        <v>1325</v>
      </c>
      <c r="K480" s="144" t="str">
        <f>Translations!$B$928</f>
        <v>2b</v>
      </c>
      <c r="L480" s="144">
        <v>3</v>
      </c>
      <c r="M480" s="144" t="s">
        <v>1759</v>
      </c>
      <c r="N480" s="144" t="s">
        <v>1760</v>
      </c>
      <c r="O480" s="144">
        <v>4</v>
      </c>
      <c r="P480" s="144" t="str">
        <f>Translations!$B$961</f>
        <v>Highest</v>
      </c>
      <c r="Q480" s="145"/>
      <c r="Z480" s="142" t="str">
        <f>Translations!$B$962</f>
        <v>make grey?</v>
      </c>
      <c r="AK480" s="142" t="s">
        <v>1651</v>
      </c>
      <c r="AL480" s="206">
        <v>1</v>
      </c>
      <c r="AM480" s="206">
        <v>2</v>
      </c>
      <c r="AN480" s="206" t="s">
        <v>1325</v>
      </c>
      <c r="AO480" s="206" t="str">
        <f>Translations!$B$928</f>
        <v>2b</v>
      </c>
      <c r="AP480" s="206">
        <v>3</v>
      </c>
    </row>
    <row r="481" spans="1:42" ht="12.75" customHeight="1" outlineLevel="1" x14ac:dyDescent="0.2">
      <c r="A481" s="21">
        <v>1</v>
      </c>
      <c r="B481" s="611" t="str">
        <f t="shared" ref="B481:D500" si="63">B409</f>
        <v>Combustion of fuels</v>
      </c>
      <c r="C481" s="17" t="str">
        <f t="shared" si="63"/>
        <v>Combustion</v>
      </c>
      <c r="D481" s="17" t="str">
        <f t="shared" si="63"/>
        <v>Commercial standard fuels</v>
      </c>
      <c r="E481" s="17"/>
      <c r="F481" s="151" t="str">
        <f t="shared" ref="F481:F512" si="64">F409</f>
        <v>Standard method: Fuel, Article 24(1)</v>
      </c>
      <c r="G481" s="103" t="str">
        <f>EUconst_NA</f>
        <v>n.a.</v>
      </c>
      <c r="H481" s="149"/>
      <c r="I481" s="149"/>
      <c r="J481" s="149"/>
      <c r="K481" s="149"/>
      <c r="L481" s="149"/>
      <c r="M481" s="149"/>
      <c r="N481" s="149"/>
      <c r="O481" s="150"/>
      <c r="P481" s="103" t="str">
        <f>G481</f>
        <v>n.a.</v>
      </c>
      <c r="Q481" s="147" t="str">
        <f>C481 &amp; ": " &amp;D481</f>
        <v>Combustion: Commercial standard fuels</v>
      </c>
      <c r="R481" s="17"/>
      <c r="S481" s="17" t="str">
        <f t="shared" ref="S481:S513" si="65">EUconst_CNTR_CarbonContent&amp;Q481</f>
        <v>CarbC_Combustion: Commercial standard fuels</v>
      </c>
      <c r="Z481" s="21" t="b">
        <f t="shared" ref="Z481:Z540" si="66">IF(G481=EUconst_NA,TRUE,FALSE)</f>
        <v>1</v>
      </c>
      <c r="AL481" s="624" t="s">
        <v>992</v>
      </c>
      <c r="AM481" s="624" t="s">
        <v>992</v>
      </c>
      <c r="AN481" s="624" t="s">
        <v>992</v>
      </c>
      <c r="AO481" s="624" t="s">
        <v>992</v>
      </c>
      <c r="AP481" s="624" t="s">
        <v>992</v>
      </c>
    </row>
    <row r="482" spans="1:42" ht="12.75" customHeight="1" outlineLevel="1" x14ac:dyDescent="0.2">
      <c r="A482" s="21">
        <v>2</v>
      </c>
      <c r="B482" s="611" t="str">
        <f t="shared" si="63"/>
        <v>Combustion of fuels</v>
      </c>
      <c r="C482" s="17" t="str">
        <f t="shared" si="63"/>
        <v>Combustion</v>
      </c>
      <c r="D482" s="17" t="str">
        <f t="shared" si="63"/>
        <v>Other gaseous &amp; liquid fuels</v>
      </c>
      <c r="E482" s="17"/>
      <c r="F482" s="151" t="str">
        <f t="shared" si="64"/>
        <v>Standard method: Fuel, Article 24(1)</v>
      </c>
      <c r="G482" s="103" t="str">
        <f>EUconst_NA</f>
        <v>n.a.</v>
      </c>
      <c r="H482" s="149"/>
      <c r="I482" s="149"/>
      <c r="J482" s="149"/>
      <c r="K482" s="149"/>
      <c r="L482" s="149"/>
      <c r="M482" s="149"/>
      <c r="N482" s="149"/>
      <c r="O482" s="150"/>
      <c r="P482" s="103" t="str">
        <f t="shared" ref="P482:P492" si="67">IF(G482=EUconst_NA,EUconst_NA,IF(ISBLANK(J482),COUNTA(H482:O482),COUNTA(H482,J482,L482)))</f>
        <v>n.a.</v>
      </c>
      <c r="Q482" s="147" t="str">
        <f t="shared" ref="Q482:Q541" si="68">C482 &amp; ": " &amp;D482</f>
        <v>Combustion: Other gaseous &amp; liquid fuels</v>
      </c>
      <c r="R482" s="17"/>
      <c r="S482" s="17" t="str">
        <f t="shared" si="65"/>
        <v>CarbC_Combustion: Other gaseous &amp; liquid fuels</v>
      </c>
      <c r="Z482" s="21" t="b">
        <f t="shared" si="66"/>
        <v>1</v>
      </c>
      <c r="AL482" s="624" t="s">
        <v>992</v>
      </c>
      <c r="AM482" s="624" t="s">
        <v>992</v>
      </c>
      <c r="AN482" s="624" t="s">
        <v>992</v>
      </c>
      <c r="AO482" s="624" t="s">
        <v>992</v>
      </c>
      <c r="AP482" s="624" t="s">
        <v>992</v>
      </c>
    </row>
    <row r="483" spans="1:42" ht="12.75" customHeight="1" outlineLevel="1" x14ac:dyDescent="0.2">
      <c r="A483" s="21">
        <v>3</v>
      </c>
      <c r="B483" s="611" t="str">
        <f t="shared" si="63"/>
        <v>Combustion of fuels</v>
      </c>
      <c r="C483" s="17" t="str">
        <f t="shared" si="63"/>
        <v>Combustion</v>
      </c>
      <c r="D483" s="17" t="str">
        <f t="shared" si="63"/>
        <v>Solid fuels, excluding waste</v>
      </c>
      <c r="E483" s="17"/>
      <c r="F483" s="151" t="str">
        <f t="shared" si="64"/>
        <v>Standard method: Fuel, Article 24(1)</v>
      </c>
      <c r="G483" s="103" t="str">
        <f>EUconst_NA</f>
        <v>n.a.</v>
      </c>
      <c r="H483" s="149"/>
      <c r="I483" s="149"/>
      <c r="J483" s="149"/>
      <c r="K483" s="149"/>
      <c r="L483" s="149"/>
      <c r="M483" s="149"/>
      <c r="N483" s="149"/>
      <c r="O483" s="150"/>
      <c r="P483" s="103" t="str">
        <f t="shared" si="67"/>
        <v>n.a.</v>
      </c>
      <c r="Q483" s="147" t="str">
        <f t="shared" si="68"/>
        <v>Combustion: Solid fuels, excluding waste</v>
      </c>
      <c r="R483" s="17"/>
      <c r="S483" s="17" t="str">
        <f t="shared" si="65"/>
        <v>CarbC_Combustion: Solid fuels, excluding waste</v>
      </c>
      <c r="Z483" s="21" t="b">
        <f t="shared" si="66"/>
        <v>1</v>
      </c>
      <c r="AL483" s="624" t="s">
        <v>992</v>
      </c>
      <c r="AM483" s="624" t="s">
        <v>992</v>
      </c>
      <c r="AN483" s="624" t="s">
        <v>992</v>
      </c>
      <c r="AO483" s="624" t="s">
        <v>992</v>
      </c>
      <c r="AP483" s="624" t="s">
        <v>992</v>
      </c>
    </row>
    <row r="484" spans="1:42" ht="12.75" customHeight="1" outlineLevel="1" x14ac:dyDescent="0.2">
      <c r="A484" s="21">
        <v>4</v>
      </c>
      <c r="B484" s="611" t="str">
        <f t="shared" si="63"/>
        <v>Combustion of fuels</v>
      </c>
      <c r="C484" s="17" t="str">
        <f t="shared" si="63"/>
        <v>Combustion</v>
      </c>
      <c r="D484" s="17" t="str">
        <f t="shared" si="63"/>
        <v>Waste</v>
      </c>
      <c r="E484" s="17"/>
      <c r="F484" s="151" t="str">
        <f t="shared" si="64"/>
        <v>Standard method: Fuel, Article 24(1)</v>
      </c>
      <c r="G484" s="103" t="str">
        <f>EUconst_NA</f>
        <v>n.a.</v>
      </c>
      <c r="H484" s="149"/>
      <c r="I484" s="149"/>
      <c r="J484" s="149"/>
      <c r="K484" s="149"/>
      <c r="L484" s="149"/>
      <c r="M484" s="149"/>
      <c r="N484" s="149"/>
      <c r="O484" s="150"/>
      <c r="P484" s="103" t="str">
        <f>IF(G484=EUconst_NA,EUconst_NA,IF(ISBLANK(J484),COUNTA(H484:O484),COUNTA(H484,J484,L484)))</f>
        <v>n.a.</v>
      </c>
      <c r="Q484" s="147" t="str">
        <f>C484 &amp; ": " &amp;D484</f>
        <v>Combustion: Waste</v>
      </c>
      <c r="R484" s="17"/>
      <c r="S484" s="17" t="str">
        <f>EUconst_CNTR_CarbonContent&amp;Q484</f>
        <v>CarbC_Combustion: Waste</v>
      </c>
      <c r="Z484" s="21" t="b">
        <f>IF(G484=EUconst_NA,TRUE,FALSE)</f>
        <v>1</v>
      </c>
      <c r="AL484" s="624" t="s">
        <v>992</v>
      </c>
      <c r="AM484" s="624" t="s">
        <v>992</v>
      </c>
      <c r="AN484" s="624" t="s">
        <v>992</v>
      </c>
      <c r="AO484" s="624" t="s">
        <v>992</v>
      </c>
      <c r="AP484" s="624" t="s">
        <v>992</v>
      </c>
    </row>
    <row r="485" spans="1:42" ht="12.75" customHeight="1" outlineLevel="1" x14ac:dyDescent="0.2">
      <c r="A485" s="21">
        <v>5</v>
      </c>
      <c r="B485" s="611" t="str">
        <f t="shared" si="63"/>
        <v>Combustion of fuels</v>
      </c>
      <c r="C485" s="17" t="str">
        <f t="shared" si="63"/>
        <v>Combustion</v>
      </c>
      <c r="D485" s="17" t="str">
        <f t="shared" si="63"/>
        <v>Gas Processing Terminals</v>
      </c>
      <c r="E485" s="17"/>
      <c r="F485" s="151" t="str">
        <f t="shared" si="64"/>
        <v>Mass balance method, Article 25</v>
      </c>
      <c r="G485" s="103">
        <v>1</v>
      </c>
      <c r="H485" s="149" t="str">
        <f>Translations!$B$493</f>
        <v>Type I default values</v>
      </c>
      <c r="I485" s="149"/>
      <c r="J485" s="151" t="str">
        <f>Translations!$B$528</f>
        <v>Type II default values</v>
      </c>
      <c r="K485" s="151" t="str">
        <f>Translations!$B$1061</f>
        <v>Established proxies (if applicable)</v>
      </c>
      <c r="L485" s="149" t="str">
        <f>Translations!$B$527</f>
        <v>Laboratory analyses</v>
      </c>
      <c r="M485" s="149"/>
      <c r="N485" s="149"/>
      <c r="O485" s="150"/>
      <c r="P485" s="103">
        <f t="shared" si="67"/>
        <v>3</v>
      </c>
      <c r="Q485" s="147" t="str">
        <f t="shared" si="68"/>
        <v>Combustion: Gas Processing Terminals</v>
      </c>
      <c r="R485" s="17"/>
      <c r="S485" s="17" t="str">
        <f t="shared" si="65"/>
        <v>CarbC_Combustion: Gas Processing Terminals</v>
      </c>
      <c r="W485" s="226"/>
      <c r="Z485" s="21" t="b">
        <f t="shared" si="66"/>
        <v>0</v>
      </c>
      <c r="AL485" s="624">
        <v>1</v>
      </c>
      <c r="AM485" s="624" t="s">
        <v>992</v>
      </c>
      <c r="AN485" s="624">
        <v>1</v>
      </c>
      <c r="AO485" s="624">
        <v>2</v>
      </c>
      <c r="AP485" s="624">
        <v>2</v>
      </c>
    </row>
    <row r="486" spans="1:42" ht="12.75" customHeight="1" outlineLevel="1" x14ac:dyDescent="0.2">
      <c r="A486" s="21">
        <v>6</v>
      </c>
      <c r="B486" s="611" t="str">
        <f t="shared" si="63"/>
        <v>Combustion of fuels</v>
      </c>
      <c r="C486" s="17" t="str">
        <f t="shared" si="63"/>
        <v>Combustion</v>
      </c>
      <c r="D486" s="17" t="str">
        <f t="shared" si="63"/>
        <v>Flares</v>
      </c>
      <c r="E486" s="17"/>
      <c r="F486" s="151" t="str">
        <f t="shared" si="64"/>
        <v>Standard method: Fuel, Article 24(1)</v>
      </c>
      <c r="G486" s="103" t="str">
        <f>EUconst_NA</f>
        <v>n.a.</v>
      </c>
      <c r="H486" s="149"/>
      <c r="I486" s="149"/>
      <c r="J486" s="149"/>
      <c r="K486" s="149"/>
      <c r="L486" s="149"/>
      <c r="M486" s="149"/>
      <c r="N486" s="149"/>
      <c r="O486" s="150"/>
      <c r="P486" s="103" t="str">
        <f t="shared" si="67"/>
        <v>n.a.</v>
      </c>
      <c r="Q486" s="147" t="str">
        <f t="shared" si="68"/>
        <v>Combustion: Flares</v>
      </c>
      <c r="R486" s="17"/>
      <c r="S486" s="17" t="str">
        <f t="shared" si="65"/>
        <v>CarbC_Combustion: Flares</v>
      </c>
      <c r="Z486" s="21" t="b">
        <f t="shared" si="66"/>
        <v>1</v>
      </c>
      <c r="AL486" s="624" t="s">
        <v>992</v>
      </c>
      <c r="AM486" s="624" t="s">
        <v>992</v>
      </c>
      <c r="AN486" s="624" t="s">
        <v>992</v>
      </c>
      <c r="AO486" s="624" t="s">
        <v>992</v>
      </c>
      <c r="AP486" s="624" t="s">
        <v>992</v>
      </c>
    </row>
    <row r="487" spans="1:42" ht="12.75" customHeight="1" outlineLevel="1" x14ac:dyDescent="0.2">
      <c r="A487" s="21">
        <v>7</v>
      </c>
      <c r="B487" s="611" t="str">
        <f t="shared" si="63"/>
        <v>Combustion of fuels</v>
      </c>
      <c r="C487" s="17" t="str">
        <f t="shared" si="63"/>
        <v>Combustion</v>
      </c>
      <c r="D487" s="17" t="str">
        <f t="shared" si="63"/>
        <v>Scrubbing (carbonate)</v>
      </c>
      <c r="E487" s="17"/>
      <c r="F487" s="151" t="str">
        <f t="shared" si="64"/>
        <v>Standard method: Process, Article 24(2)</v>
      </c>
      <c r="G487" s="103" t="str">
        <f>EUconst_NA</f>
        <v>n.a.</v>
      </c>
      <c r="H487" s="149"/>
      <c r="I487" s="149"/>
      <c r="J487" s="151"/>
      <c r="K487" s="151"/>
      <c r="L487" s="149"/>
      <c r="M487" s="149"/>
      <c r="N487" s="149"/>
      <c r="O487" s="150"/>
      <c r="P487" s="103" t="str">
        <f t="shared" si="67"/>
        <v>n.a.</v>
      </c>
      <c r="Q487" s="147" t="str">
        <f t="shared" si="68"/>
        <v>Combustion: Scrubbing (carbonate)</v>
      </c>
      <c r="R487" s="17"/>
      <c r="S487" s="17" t="str">
        <f t="shared" si="65"/>
        <v>CarbC_Combustion: Scrubbing (carbonate)</v>
      </c>
      <c r="Z487" s="21" t="b">
        <f t="shared" si="66"/>
        <v>1</v>
      </c>
      <c r="AL487" s="624" t="s">
        <v>992</v>
      </c>
      <c r="AM487" s="624" t="s">
        <v>992</v>
      </c>
      <c r="AN487" s="624" t="s">
        <v>992</v>
      </c>
      <c r="AO487" s="624" t="s">
        <v>992</v>
      </c>
      <c r="AP487" s="624" t="s">
        <v>992</v>
      </c>
    </row>
    <row r="488" spans="1:42" ht="12.75" customHeight="1" outlineLevel="1" x14ac:dyDescent="0.2">
      <c r="A488" s="21">
        <v>8</v>
      </c>
      <c r="B488" s="611" t="str">
        <f t="shared" si="63"/>
        <v>Combustion of fuels</v>
      </c>
      <c r="C488" s="17" t="str">
        <f t="shared" si="63"/>
        <v>Combustion</v>
      </c>
      <c r="D488" s="17" t="str">
        <f t="shared" si="63"/>
        <v>Scrubbing (gypsum)</v>
      </c>
      <c r="E488" s="17"/>
      <c r="F488" s="151" t="str">
        <f t="shared" si="64"/>
        <v>Standard method: Process, Article 24(2)</v>
      </c>
      <c r="G488" s="103" t="str">
        <f>EUconst_NA</f>
        <v>n.a.</v>
      </c>
      <c r="H488" s="149"/>
      <c r="I488" s="149"/>
      <c r="J488" s="151"/>
      <c r="K488" s="151"/>
      <c r="L488" s="149"/>
      <c r="M488" s="149"/>
      <c r="N488" s="149"/>
      <c r="O488" s="150"/>
      <c r="P488" s="103" t="str">
        <f t="shared" si="67"/>
        <v>n.a.</v>
      </c>
      <c r="Q488" s="147" t="str">
        <f t="shared" si="68"/>
        <v>Combustion: Scrubbing (gypsum)</v>
      </c>
      <c r="R488" s="17"/>
      <c r="S488" s="17" t="str">
        <f t="shared" si="65"/>
        <v>CarbC_Combustion: Scrubbing (gypsum)</v>
      </c>
      <c r="Z488" s="21" t="b">
        <f t="shared" si="66"/>
        <v>1</v>
      </c>
      <c r="AL488" s="624" t="s">
        <v>992</v>
      </c>
      <c r="AM488" s="624" t="s">
        <v>992</v>
      </c>
      <c r="AN488" s="624" t="s">
        <v>992</v>
      </c>
      <c r="AO488" s="624" t="s">
        <v>992</v>
      </c>
      <c r="AP488" s="624" t="s">
        <v>992</v>
      </c>
    </row>
    <row r="489" spans="1:42" ht="12.75" customHeight="1" outlineLevel="1" x14ac:dyDescent="0.2">
      <c r="A489" s="21">
        <v>9</v>
      </c>
      <c r="B489" s="611" t="str">
        <f t="shared" si="63"/>
        <v>Combustion of fuels</v>
      </c>
      <c r="C489" s="17" t="str">
        <f t="shared" si="63"/>
        <v>Combustion</v>
      </c>
      <c r="D489" s="17" t="str">
        <f t="shared" si="63"/>
        <v>Scrubbing (urea)</v>
      </c>
      <c r="E489" s="17"/>
      <c r="F489" s="151" t="str">
        <f t="shared" si="64"/>
        <v>Standard method: Process, Article 24(2)</v>
      </c>
      <c r="G489" s="103" t="str">
        <f>EUconst_NA</f>
        <v>n.a.</v>
      </c>
      <c r="H489" s="149"/>
      <c r="I489" s="149"/>
      <c r="J489" s="151"/>
      <c r="K489" s="151"/>
      <c r="L489" s="149"/>
      <c r="M489" s="149"/>
      <c r="N489" s="149"/>
      <c r="O489" s="150"/>
      <c r="P489" s="103" t="str">
        <f t="shared" si="67"/>
        <v>n.a.</v>
      </c>
      <c r="Q489" s="147" t="str">
        <f t="shared" si="68"/>
        <v>Combustion: Scrubbing (urea)</v>
      </c>
      <c r="R489" s="17"/>
      <c r="S489" s="17" t="str">
        <f t="shared" si="65"/>
        <v>CarbC_Combustion: Scrubbing (urea)</v>
      </c>
      <c r="Z489" s="21" t="b">
        <f t="shared" si="66"/>
        <v>1</v>
      </c>
      <c r="AL489" s="624" t="s">
        <v>992</v>
      </c>
      <c r="AM489" s="624" t="s">
        <v>992</v>
      </c>
      <c r="AN489" s="624" t="s">
        <v>992</v>
      </c>
      <c r="AO489" s="624" t="s">
        <v>992</v>
      </c>
      <c r="AP489" s="624" t="s">
        <v>992</v>
      </c>
    </row>
    <row r="490" spans="1:42" ht="12.75" customHeight="1" outlineLevel="1" x14ac:dyDescent="0.2">
      <c r="A490" s="21">
        <v>10</v>
      </c>
      <c r="B490" s="611" t="str">
        <f t="shared" si="63"/>
        <v xml:space="preserve">Refining of oil </v>
      </c>
      <c r="C490" s="17" t="str">
        <f t="shared" si="63"/>
        <v>Refineries</v>
      </c>
      <c r="D490" s="17" t="str">
        <f t="shared" si="63"/>
        <v>Mass balance</v>
      </c>
      <c r="E490" s="17"/>
      <c r="F490" s="151" t="str">
        <f t="shared" si="64"/>
        <v>Mass balance method, Article 25</v>
      </c>
      <c r="G490" s="103" t="s">
        <v>1531</v>
      </c>
      <c r="H490" s="149" t="str">
        <f>Translations!$B$493</f>
        <v>Type I default values</v>
      </c>
      <c r="I490" s="149"/>
      <c r="J490" s="149" t="str">
        <f>Translations!$B$528</f>
        <v>Type II default values</v>
      </c>
      <c r="K490" s="149" t="str">
        <f>Translations!$B$1061</f>
        <v>Established proxies (if applicable)</v>
      </c>
      <c r="L490" s="149" t="str">
        <f>Translations!$B$527</f>
        <v>Laboratory analyses</v>
      </c>
      <c r="M490" s="149"/>
      <c r="N490" s="149"/>
      <c r="O490" s="150"/>
      <c r="P490" s="103">
        <f t="shared" si="67"/>
        <v>3</v>
      </c>
      <c r="Q490" s="147" t="str">
        <f t="shared" si="68"/>
        <v>Refineries: Mass balance</v>
      </c>
      <c r="R490" s="17"/>
      <c r="S490" s="17" t="str">
        <f t="shared" si="65"/>
        <v>CarbC_Refineries: Mass balance</v>
      </c>
      <c r="W490" s="226"/>
      <c r="Z490" s="21" t="b">
        <f t="shared" si="66"/>
        <v>0</v>
      </c>
      <c r="AL490" s="624">
        <v>1</v>
      </c>
      <c r="AM490" s="624" t="s">
        <v>992</v>
      </c>
      <c r="AN490" s="624">
        <v>1</v>
      </c>
      <c r="AO490" s="624">
        <v>2</v>
      </c>
      <c r="AP490" s="624">
        <v>2</v>
      </c>
    </row>
    <row r="491" spans="1:42" ht="12.75" customHeight="1" outlineLevel="1" x14ac:dyDescent="0.2">
      <c r="A491" s="21">
        <v>11</v>
      </c>
      <c r="B491" s="611" t="str">
        <f t="shared" si="63"/>
        <v xml:space="preserve">Refining of mineral oil </v>
      </c>
      <c r="C491" s="17" t="str">
        <f t="shared" si="63"/>
        <v>Refineries</v>
      </c>
      <c r="D491" s="17" t="str">
        <f t="shared" si="63"/>
        <v>Catalytic cracker regeneration</v>
      </c>
      <c r="E491" s="17"/>
      <c r="F491" s="151" t="str">
        <f t="shared" si="64"/>
        <v>Mass balance method, Article 25</v>
      </c>
      <c r="G491" s="103" t="str">
        <f t="shared" ref="G491:G497" si="69">EUconst_NA</f>
        <v>n.a.</v>
      </c>
      <c r="H491" s="149"/>
      <c r="I491" s="149"/>
      <c r="J491" s="151"/>
      <c r="K491" s="151"/>
      <c r="L491" s="149"/>
      <c r="M491" s="149"/>
      <c r="N491" s="149"/>
      <c r="O491" s="150"/>
      <c r="P491" s="103" t="str">
        <f t="shared" si="67"/>
        <v>n.a.</v>
      </c>
      <c r="Q491" s="147" t="str">
        <f t="shared" si="68"/>
        <v>Refineries: Catalytic cracker regeneration</v>
      </c>
      <c r="R491" s="17"/>
      <c r="S491" s="17" t="str">
        <f t="shared" si="65"/>
        <v>CarbC_Refineries: Catalytic cracker regeneration</v>
      </c>
      <c r="Z491" s="21" t="b">
        <f t="shared" si="66"/>
        <v>1</v>
      </c>
      <c r="AL491" s="624" t="s">
        <v>992</v>
      </c>
      <c r="AM491" s="624" t="s">
        <v>992</v>
      </c>
      <c r="AN491" s="624" t="s">
        <v>992</v>
      </c>
      <c r="AO491" s="624" t="s">
        <v>992</v>
      </c>
      <c r="AP491" s="624" t="s">
        <v>992</v>
      </c>
    </row>
    <row r="492" spans="1:42" ht="12.75" customHeight="1" outlineLevel="1" x14ac:dyDescent="0.2">
      <c r="A492" s="21">
        <v>12</v>
      </c>
      <c r="B492" s="611" t="str">
        <f t="shared" si="63"/>
        <v xml:space="preserve">Refining of mineral oil </v>
      </c>
      <c r="C492" s="17" t="str">
        <f t="shared" si="63"/>
        <v>Refineries</v>
      </c>
      <c r="D492" s="17" t="str">
        <f t="shared" si="63"/>
        <v>Hydrogen production</v>
      </c>
      <c r="E492" s="610"/>
      <c r="F492" s="151" t="str">
        <f t="shared" si="64"/>
        <v>Mass balance method, Article 25</v>
      </c>
      <c r="G492" s="617" t="s">
        <v>1531</v>
      </c>
      <c r="H492" s="612" t="str">
        <f>Translations!$B$493</f>
        <v>Type I default values</v>
      </c>
      <c r="I492" s="612"/>
      <c r="J492" s="612" t="str">
        <f>Translations!$B$528</f>
        <v>Type II default values</v>
      </c>
      <c r="K492" s="612" t="str">
        <f>Translations!$B$1061</f>
        <v>Established proxies (if applicable)</v>
      </c>
      <c r="L492" s="612" t="str">
        <f>Translations!$B$527</f>
        <v>Laboratory analyses</v>
      </c>
      <c r="M492" s="612"/>
      <c r="N492" s="612"/>
      <c r="O492" s="616"/>
      <c r="P492" s="617">
        <f t="shared" si="67"/>
        <v>3</v>
      </c>
      <c r="Q492" s="147" t="str">
        <f t="shared" si="68"/>
        <v>Refineries: Hydrogen production</v>
      </c>
      <c r="R492" s="17"/>
      <c r="S492" s="17" t="str">
        <f t="shared" si="65"/>
        <v>CarbC_Refineries: Hydrogen production</v>
      </c>
      <c r="X492" s="69"/>
      <c r="Z492" s="21" t="b">
        <f t="shared" si="66"/>
        <v>0</v>
      </c>
      <c r="AL492" s="624">
        <v>1</v>
      </c>
      <c r="AM492" s="624" t="s">
        <v>992</v>
      </c>
      <c r="AN492" s="624">
        <v>1</v>
      </c>
      <c r="AO492" s="624">
        <v>2</v>
      </c>
      <c r="AP492" s="624">
        <v>2</v>
      </c>
    </row>
    <row r="493" spans="1:42" ht="12.75" customHeight="1" outlineLevel="1" x14ac:dyDescent="0.2">
      <c r="A493" s="21">
        <v>13</v>
      </c>
      <c r="B493" s="611" t="str">
        <f t="shared" si="63"/>
        <v>Production of coke</v>
      </c>
      <c r="C493" s="17" t="str">
        <f t="shared" si="63"/>
        <v>Coke</v>
      </c>
      <c r="D493" s="17" t="str">
        <f t="shared" si="63"/>
        <v>Fuel as process input</v>
      </c>
      <c r="E493" s="17"/>
      <c r="F493" s="151" t="str">
        <f t="shared" si="64"/>
        <v>Standard method: Fuel, Article 24(1)</v>
      </c>
      <c r="G493" s="103" t="str">
        <f t="shared" si="69"/>
        <v>n.a.</v>
      </c>
      <c r="H493" s="613"/>
      <c r="I493" s="150"/>
      <c r="J493" s="150"/>
      <c r="K493" s="150"/>
      <c r="L493" s="613"/>
      <c r="M493" s="613"/>
      <c r="N493" s="613"/>
      <c r="O493" s="146"/>
      <c r="P493" s="103" t="str">
        <f>IF(G493=EUconst_NA,EUconst_NA,IF(ISBLANK(J493),COUNTA(H493:O493),COUNTA(H493,J493,L493)))</f>
        <v>n.a.</v>
      </c>
      <c r="Q493" s="147" t="str">
        <f t="shared" si="68"/>
        <v>Coke: Fuel as process input</v>
      </c>
      <c r="R493" s="17"/>
      <c r="S493" s="17" t="str">
        <f t="shared" si="65"/>
        <v>CarbC_Coke: Fuel as process input</v>
      </c>
      <c r="W493" s="226"/>
      <c r="X493" s="69"/>
      <c r="Z493" s="21" t="b">
        <f t="shared" si="66"/>
        <v>1</v>
      </c>
      <c r="AL493" s="624" t="s">
        <v>992</v>
      </c>
      <c r="AM493" s="624" t="s">
        <v>992</v>
      </c>
      <c r="AN493" s="624" t="s">
        <v>992</v>
      </c>
      <c r="AO493" s="624" t="s">
        <v>992</v>
      </c>
      <c r="AP493" s="624" t="s">
        <v>992</v>
      </c>
    </row>
    <row r="494" spans="1:42" ht="12.75" customHeight="1" outlineLevel="1" x14ac:dyDescent="0.2">
      <c r="A494" s="21">
        <v>14</v>
      </c>
      <c r="B494" s="611" t="str">
        <f t="shared" si="63"/>
        <v>Production of coke</v>
      </c>
      <c r="C494" s="17" t="str">
        <f t="shared" si="63"/>
        <v>Coke</v>
      </c>
      <c r="D494" s="17" t="str">
        <f t="shared" si="63"/>
        <v>Process (method A): carbonate only</v>
      </c>
      <c r="E494" s="602"/>
      <c r="F494" s="151" t="str">
        <f t="shared" si="64"/>
        <v>Standard method: Process, Article 24(2)</v>
      </c>
      <c r="G494" s="103" t="str">
        <f t="shared" si="69"/>
        <v>n.a.</v>
      </c>
      <c r="H494" s="149"/>
      <c r="I494" s="149"/>
      <c r="J494" s="151"/>
      <c r="K494" s="151"/>
      <c r="L494" s="149"/>
      <c r="M494" s="149"/>
      <c r="N494" s="149"/>
      <c r="O494" s="150"/>
      <c r="P494" s="103" t="str">
        <f>IF(G494=EUconst_NA,EUconst_NA,IF(ISBLANK(J494),COUNTA(H494:O494),COUNTA(H494,J494,L494)))</f>
        <v>n.a.</v>
      </c>
      <c r="Q494" s="147" t="str">
        <f t="shared" si="68"/>
        <v>Coke: Process (method A): carbonate only</v>
      </c>
      <c r="R494" s="17"/>
      <c r="S494" s="17" t="str">
        <f t="shared" si="65"/>
        <v>CarbC_Coke: Process (method A): carbonate only</v>
      </c>
      <c r="W494" s="226"/>
      <c r="X494" s="69"/>
      <c r="Z494" s="21" t="b">
        <f t="shared" si="66"/>
        <v>1</v>
      </c>
      <c r="AL494" s="624" t="s">
        <v>992</v>
      </c>
      <c r="AM494" s="624" t="s">
        <v>992</v>
      </c>
      <c r="AN494" s="624" t="s">
        <v>992</v>
      </c>
      <c r="AO494" s="624" t="s">
        <v>992</v>
      </c>
      <c r="AP494" s="624" t="s">
        <v>992</v>
      </c>
    </row>
    <row r="495" spans="1:42" ht="12.75" customHeight="1" outlineLevel="1" x14ac:dyDescent="0.2">
      <c r="A495" s="21">
        <v>15</v>
      </c>
      <c r="B495" s="611" t="str">
        <f t="shared" si="63"/>
        <v>Production of coke</v>
      </c>
      <c r="C495" s="17" t="str">
        <f t="shared" si="63"/>
        <v>Coke</v>
      </c>
      <c r="D495" s="17" t="str">
        <f t="shared" si="63"/>
        <v>Process (method A): mixed (carbonate + non-carbonate)</v>
      </c>
      <c r="E495" s="602"/>
      <c r="F495" s="151" t="str">
        <f t="shared" si="64"/>
        <v>Standard method: Process, Article 24(2)</v>
      </c>
      <c r="G495" s="103" t="str">
        <f t="shared" si="69"/>
        <v>n.a.</v>
      </c>
      <c r="H495" s="613"/>
      <c r="I495" s="150"/>
      <c r="J495" s="150"/>
      <c r="K495" s="150"/>
      <c r="L495" s="613"/>
      <c r="M495" s="613"/>
      <c r="N495" s="613"/>
      <c r="O495" s="148"/>
      <c r="P495" s="103" t="str">
        <f>IF(G495=EUconst_NA,EUconst_NA,IF(ISBLANK(J495),COUNTA(H495:O495),COUNTA(H495,J495,L495)))</f>
        <v>n.a.</v>
      </c>
      <c r="Q495" s="147" t="str">
        <f t="shared" si="68"/>
        <v>Coke: Process (method A): mixed (carbonate + non-carbonate)</v>
      </c>
      <c r="R495" s="17"/>
      <c r="S495" s="17" t="str">
        <f t="shared" si="65"/>
        <v>CarbC_Coke: Process (method A): mixed (carbonate + non-carbonate)</v>
      </c>
      <c r="W495" s="226"/>
      <c r="X495" s="69"/>
      <c r="Z495" s="21" t="b">
        <f t="shared" si="66"/>
        <v>1</v>
      </c>
      <c r="AL495" s="624" t="s">
        <v>992</v>
      </c>
      <c r="AM495" s="624" t="s">
        <v>992</v>
      </c>
      <c r="AN495" s="624" t="s">
        <v>992</v>
      </c>
      <c r="AO495" s="624" t="s">
        <v>992</v>
      </c>
      <c r="AP495" s="624" t="s">
        <v>992</v>
      </c>
    </row>
    <row r="496" spans="1:42" ht="12.75" customHeight="1" outlineLevel="1" x14ac:dyDescent="0.2">
      <c r="A496" s="21">
        <v>16</v>
      </c>
      <c r="B496" s="611" t="str">
        <f t="shared" si="63"/>
        <v>Production of coke</v>
      </c>
      <c r="C496" s="17" t="str">
        <f t="shared" si="63"/>
        <v>Coke</v>
      </c>
      <c r="D496" s="17" t="str">
        <f t="shared" si="63"/>
        <v>Process (method A): non-carbonate</v>
      </c>
      <c r="E496" s="602"/>
      <c r="F496" s="151" t="str">
        <f t="shared" si="64"/>
        <v>Standard method: Process, Article 24(2)</v>
      </c>
      <c r="G496" s="103" t="str">
        <f t="shared" si="69"/>
        <v>n.a.</v>
      </c>
      <c r="H496" s="613"/>
      <c r="I496" s="150"/>
      <c r="J496" s="150"/>
      <c r="K496" s="150"/>
      <c r="L496" s="613"/>
      <c r="M496" s="613"/>
      <c r="N496" s="613"/>
      <c r="O496" s="148"/>
      <c r="P496" s="103" t="str">
        <f>IF(G496=EUconst_NA,EUconst_NA,IF(ISBLANK(J496),COUNTA(H496:O496),COUNTA(H496,J496,L496)))</f>
        <v>n.a.</v>
      </c>
      <c r="Q496" s="147" t="str">
        <f t="shared" si="68"/>
        <v>Coke: Process (method A): non-carbonate</v>
      </c>
      <c r="R496" s="17"/>
      <c r="S496" s="17" t="str">
        <f t="shared" si="65"/>
        <v>CarbC_Coke: Process (method A): non-carbonate</v>
      </c>
      <c r="W496" s="226"/>
      <c r="X496" s="69"/>
      <c r="Z496" s="21" t="b">
        <f t="shared" si="66"/>
        <v>1</v>
      </c>
      <c r="AL496" s="624" t="s">
        <v>992</v>
      </c>
      <c r="AM496" s="624" t="s">
        <v>992</v>
      </c>
      <c r="AN496" s="624" t="s">
        <v>992</v>
      </c>
      <c r="AO496" s="624" t="s">
        <v>992</v>
      </c>
      <c r="AP496" s="624" t="s">
        <v>992</v>
      </c>
    </row>
    <row r="497" spans="1:42" ht="12.75" customHeight="1" outlineLevel="1" x14ac:dyDescent="0.2">
      <c r="A497" s="21">
        <v>17</v>
      </c>
      <c r="B497" s="611" t="str">
        <f t="shared" si="63"/>
        <v>Production of coke</v>
      </c>
      <c r="C497" s="17" t="str">
        <f t="shared" si="63"/>
        <v>Coke</v>
      </c>
      <c r="D497" s="17" t="str">
        <f t="shared" si="63"/>
        <v>Process (method B): oxide output</v>
      </c>
      <c r="E497" s="610"/>
      <c r="F497" s="151" t="str">
        <f t="shared" si="64"/>
        <v>Standard method: Process, Article 24(2)</v>
      </c>
      <c r="G497" s="103" t="str">
        <f t="shared" si="69"/>
        <v>n.a.</v>
      </c>
      <c r="H497" s="149"/>
      <c r="I497" s="149"/>
      <c r="J497" s="151"/>
      <c r="K497" s="151"/>
      <c r="L497" s="149"/>
      <c r="M497" s="149"/>
      <c r="N497" s="149"/>
      <c r="O497" s="150"/>
      <c r="P497" s="103" t="str">
        <f>IF(G497=EUconst_NA,EUconst_NA,IF(ISBLANK(J497),COUNTA(H497:O497),COUNTA(H497,J497,L497)))</f>
        <v>n.a.</v>
      </c>
      <c r="Q497" s="147" t="str">
        <f t="shared" si="68"/>
        <v>Coke: Process (method B): oxide output</v>
      </c>
      <c r="R497" s="17"/>
      <c r="S497" s="17" t="str">
        <f t="shared" si="65"/>
        <v>CarbC_Coke: Process (method B): oxide output</v>
      </c>
      <c r="W497" s="226"/>
      <c r="X497" s="69"/>
      <c r="Z497" s="21" t="b">
        <f t="shared" si="66"/>
        <v>1</v>
      </c>
      <c r="AL497" s="624" t="s">
        <v>992</v>
      </c>
      <c r="AM497" s="624" t="s">
        <v>992</v>
      </c>
      <c r="AN497" s="624" t="s">
        <v>992</v>
      </c>
      <c r="AO497" s="624" t="s">
        <v>992</v>
      </c>
      <c r="AP497" s="624" t="s">
        <v>992</v>
      </c>
    </row>
    <row r="498" spans="1:42" ht="12.75" customHeight="1" outlineLevel="1" x14ac:dyDescent="0.2">
      <c r="A498" s="21">
        <v>18</v>
      </c>
      <c r="B498" s="611" t="str">
        <f t="shared" si="63"/>
        <v>Production of coke</v>
      </c>
      <c r="C498" s="17" t="str">
        <f t="shared" si="63"/>
        <v>Coke</v>
      </c>
      <c r="D498" s="17" t="str">
        <f t="shared" si="63"/>
        <v>Mass balance</v>
      </c>
      <c r="E498" s="17"/>
      <c r="F498" s="151" t="str">
        <f t="shared" si="64"/>
        <v>Mass balance method, Article 25</v>
      </c>
      <c r="G498" s="103" t="s">
        <v>1531</v>
      </c>
      <c r="H498" s="149" t="str">
        <f>Translations!$B$493</f>
        <v>Type I default values</v>
      </c>
      <c r="I498" s="149"/>
      <c r="J498" s="149" t="str">
        <f>Translations!$B$528</f>
        <v>Type II default values</v>
      </c>
      <c r="K498" s="149" t="str">
        <f>Translations!$B$1061</f>
        <v>Established proxies (if applicable)</v>
      </c>
      <c r="L498" s="149" t="str">
        <f>Translations!$B$527</f>
        <v>Laboratory analyses</v>
      </c>
      <c r="M498" s="149"/>
      <c r="N498" s="149"/>
      <c r="O498" s="150"/>
      <c r="P498" s="103">
        <f t="shared" ref="P498:P509" si="70">IF(G498=EUconst_NA,EUconst_NA,IF(ISBLANK(J498),COUNTA(H498:O498),COUNTA(H498,J498,L498)))</f>
        <v>3</v>
      </c>
      <c r="Q498" s="147" t="str">
        <f t="shared" si="68"/>
        <v>Coke: Mass balance</v>
      </c>
      <c r="R498" s="17"/>
      <c r="S498" s="17" t="str">
        <f t="shared" si="65"/>
        <v>CarbC_Coke: Mass balance</v>
      </c>
      <c r="X498" s="69"/>
      <c r="Z498" s="21" t="b">
        <f t="shared" si="66"/>
        <v>0</v>
      </c>
      <c r="AL498" s="624">
        <v>1</v>
      </c>
      <c r="AM498" s="624" t="s">
        <v>992</v>
      </c>
      <c r="AN498" s="624">
        <v>1</v>
      </c>
      <c r="AO498" s="624">
        <v>2</v>
      </c>
      <c r="AP498" s="624">
        <v>2</v>
      </c>
    </row>
    <row r="499" spans="1:42" ht="12.75" customHeight="1" outlineLevel="1" x14ac:dyDescent="0.2">
      <c r="A499" s="21">
        <v>19</v>
      </c>
      <c r="B499" s="611" t="str">
        <f t="shared" si="63"/>
        <v>Metal ore roasting or sintering</v>
      </c>
      <c r="C499" s="17" t="str">
        <f t="shared" si="63"/>
        <v>Metal ore</v>
      </c>
      <c r="D499" s="17" t="str">
        <f t="shared" si="63"/>
        <v>Process (method A): carbonate only</v>
      </c>
      <c r="E499" s="602"/>
      <c r="F499" s="151" t="str">
        <f t="shared" si="64"/>
        <v>Standard method: Process, Article 24(2)</v>
      </c>
      <c r="G499" s="103" t="str">
        <f>EUconst_NA</f>
        <v>n.a.</v>
      </c>
      <c r="H499" s="149"/>
      <c r="I499" s="149"/>
      <c r="J499" s="151"/>
      <c r="K499" s="151"/>
      <c r="L499" s="149"/>
      <c r="M499" s="149"/>
      <c r="N499" s="149"/>
      <c r="O499" s="150"/>
      <c r="P499" s="103" t="str">
        <f t="shared" si="70"/>
        <v>n.a.</v>
      </c>
      <c r="Q499" s="147" t="str">
        <f t="shared" si="68"/>
        <v>Metal ore: Process (method A): carbonate only</v>
      </c>
      <c r="R499" s="17"/>
      <c r="S499" s="17" t="str">
        <f t="shared" si="65"/>
        <v>CarbC_Metal ore: Process (method A): carbonate only</v>
      </c>
      <c r="X499" s="69"/>
      <c r="Z499" s="21" t="b">
        <f t="shared" si="66"/>
        <v>1</v>
      </c>
      <c r="AL499" s="624" t="s">
        <v>992</v>
      </c>
      <c r="AM499" s="624" t="s">
        <v>992</v>
      </c>
      <c r="AN499" s="624" t="s">
        <v>992</v>
      </c>
      <c r="AO499" s="624" t="s">
        <v>992</v>
      </c>
      <c r="AP499" s="624" t="s">
        <v>992</v>
      </c>
    </row>
    <row r="500" spans="1:42" ht="12.75" customHeight="1" outlineLevel="1" x14ac:dyDescent="0.2">
      <c r="A500" s="21">
        <v>20</v>
      </c>
      <c r="B500" s="611" t="str">
        <f t="shared" si="63"/>
        <v>Metal ore roasting or sintering</v>
      </c>
      <c r="C500" s="17" t="str">
        <f t="shared" si="63"/>
        <v>Metal ore</v>
      </c>
      <c r="D500" s="17" t="str">
        <f t="shared" si="63"/>
        <v>Process (method A): mixed (carbonate + non-carbonate)</v>
      </c>
      <c r="E500" s="602"/>
      <c r="F500" s="151" t="str">
        <f t="shared" si="64"/>
        <v>Standard method: Process, Article 24(2)</v>
      </c>
      <c r="G500" s="103" t="str">
        <f>EUconst_NA</f>
        <v>n.a.</v>
      </c>
      <c r="H500" s="149"/>
      <c r="I500" s="149"/>
      <c r="J500" s="149"/>
      <c r="K500" s="149"/>
      <c r="L500" s="149"/>
      <c r="M500" s="149"/>
      <c r="N500" s="149"/>
      <c r="O500" s="150"/>
      <c r="P500" s="103" t="str">
        <f t="shared" si="70"/>
        <v>n.a.</v>
      </c>
      <c r="Q500" s="147" t="str">
        <f t="shared" si="68"/>
        <v>Metal ore: Process (method A): mixed (carbonate + non-carbonate)</v>
      </c>
      <c r="R500" s="17"/>
      <c r="S500" s="17" t="str">
        <f t="shared" si="65"/>
        <v>CarbC_Metal ore: Process (method A): mixed (carbonate + non-carbonate)</v>
      </c>
      <c r="W500" s="226"/>
      <c r="X500" s="69"/>
      <c r="Z500" s="21" t="b">
        <f t="shared" si="66"/>
        <v>1</v>
      </c>
      <c r="AL500" s="624">
        <v>1</v>
      </c>
      <c r="AM500" s="624" t="s">
        <v>992</v>
      </c>
      <c r="AN500" s="624">
        <v>1</v>
      </c>
      <c r="AO500" s="624">
        <v>2</v>
      </c>
      <c r="AP500" s="624">
        <v>2</v>
      </c>
    </row>
    <row r="501" spans="1:42" ht="12.75" customHeight="1" outlineLevel="1" x14ac:dyDescent="0.2">
      <c r="A501" s="21">
        <v>21</v>
      </c>
      <c r="B501" s="611" t="str">
        <f t="shared" ref="B501:D520" si="71">B429</f>
        <v>Metal ore roasting or sintering</v>
      </c>
      <c r="C501" s="17" t="str">
        <f t="shared" si="71"/>
        <v>Metal ore</v>
      </c>
      <c r="D501" s="17" t="str">
        <f t="shared" si="71"/>
        <v>Process (method A): non-carbonate</v>
      </c>
      <c r="E501" s="602"/>
      <c r="F501" s="151" t="str">
        <f t="shared" si="64"/>
        <v>Standard method: Process, Article 24(2)</v>
      </c>
      <c r="G501" s="103" t="str">
        <f>EUconst_NA</f>
        <v>n.a.</v>
      </c>
      <c r="H501" s="613"/>
      <c r="I501" s="150"/>
      <c r="J501" s="150"/>
      <c r="K501" s="150"/>
      <c r="L501" s="613"/>
      <c r="M501" s="613"/>
      <c r="N501" s="613"/>
      <c r="O501" s="148"/>
      <c r="P501" s="103" t="str">
        <f t="shared" si="70"/>
        <v>n.a.</v>
      </c>
      <c r="Q501" s="147" t="str">
        <f t="shared" si="68"/>
        <v>Metal ore: Process (method A): non-carbonate</v>
      </c>
      <c r="R501" s="17"/>
      <c r="S501" s="17" t="str">
        <f t="shared" si="65"/>
        <v>CarbC_Metal ore: Process (method A): non-carbonate</v>
      </c>
      <c r="W501" s="226"/>
      <c r="X501" s="69"/>
      <c r="Z501" s="21" t="b">
        <f t="shared" si="66"/>
        <v>1</v>
      </c>
      <c r="AL501" s="624" t="s">
        <v>992</v>
      </c>
      <c r="AM501" s="624" t="s">
        <v>992</v>
      </c>
      <c r="AN501" s="624" t="s">
        <v>992</v>
      </c>
      <c r="AO501" s="624" t="s">
        <v>992</v>
      </c>
      <c r="AP501" s="624" t="s">
        <v>992</v>
      </c>
    </row>
    <row r="502" spans="1:42" ht="12.75" customHeight="1" outlineLevel="1" x14ac:dyDescent="0.2">
      <c r="A502" s="21">
        <v>22</v>
      </c>
      <c r="B502" s="611" t="str">
        <f t="shared" si="71"/>
        <v>Metal ore roasting or sintering</v>
      </c>
      <c r="C502" s="17" t="str">
        <f t="shared" si="71"/>
        <v>Metal ore</v>
      </c>
      <c r="D502" s="17" t="str">
        <f t="shared" si="71"/>
        <v>Process (method B): oxide output</v>
      </c>
      <c r="E502" s="602"/>
      <c r="F502" s="151" t="str">
        <f t="shared" si="64"/>
        <v>Standard method: Process, Article 24(2)</v>
      </c>
      <c r="G502" s="103" t="str">
        <f>EUconst_NA</f>
        <v>n.a.</v>
      </c>
      <c r="H502" s="149"/>
      <c r="I502" s="149"/>
      <c r="J502" s="151"/>
      <c r="K502" s="151"/>
      <c r="L502" s="149"/>
      <c r="M502" s="149"/>
      <c r="N502" s="149"/>
      <c r="O502" s="150"/>
      <c r="P502" s="103" t="str">
        <f t="shared" si="70"/>
        <v>n.a.</v>
      </c>
      <c r="Q502" s="147" t="str">
        <f t="shared" si="68"/>
        <v>Metal ore: Process (method B): oxide output</v>
      </c>
      <c r="R502" s="17"/>
      <c r="S502" s="17" t="str">
        <f t="shared" si="65"/>
        <v>CarbC_Metal ore: Process (method B): oxide output</v>
      </c>
      <c r="W502" s="226"/>
      <c r="X502" s="69"/>
      <c r="Z502" s="21" t="b">
        <f t="shared" si="66"/>
        <v>1</v>
      </c>
      <c r="AL502" s="624" t="s">
        <v>992</v>
      </c>
      <c r="AM502" s="624" t="s">
        <v>992</v>
      </c>
      <c r="AN502" s="624" t="s">
        <v>992</v>
      </c>
      <c r="AO502" s="624" t="s">
        <v>992</v>
      </c>
      <c r="AP502" s="624" t="s">
        <v>992</v>
      </c>
    </row>
    <row r="503" spans="1:42" ht="12.75" customHeight="1" outlineLevel="1" x14ac:dyDescent="0.2">
      <c r="A503" s="21">
        <v>23</v>
      </c>
      <c r="B503" s="611" t="str">
        <f t="shared" si="71"/>
        <v>Metal ore roasting or sintering</v>
      </c>
      <c r="C503" s="17" t="str">
        <f t="shared" si="71"/>
        <v>Metal ore</v>
      </c>
      <c r="D503" s="17" t="str">
        <f t="shared" si="71"/>
        <v>Mass balance</v>
      </c>
      <c r="E503" s="17"/>
      <c r="F503" s="151" t="str">
        <f t="shared" si="64"/>
        <v>Mass balance method, Article 25</v>
      </c>
      <c r="G503" s="103" t="s">
        <v>1531</v>
      </c>
      <c r="H503" s="149" t="str">
        <f>Translations!$B$493</f>
        <v>Type I default values</v>
      </c>
      <c r="I503" s="149"/>
      <c r="J503" s="149" t="str">
        <f>Translations!$B$528</f>
        <v>Type II default values</v>
      </c>
      <c r="K503" s="149" t="str">
        <f>Translations!$B$1061</f>
        <v>Established proxies (if applicable)</v>
      </c>
      <c r="L503" s="149" t="str">
        <f>Translations!$B$527</f>
        <v>Laboratory analyses</v>
      </c>
      <c r="M503" s="149"/>
      <c r="N503" s="149"/>
      <c r="O503" s="150"/>
      <c r="P503" s="103">
        <f t="shared" si="70"/>
        <v>3</v>
      </c>
      <c r="Q503" s="147" t="str">
        <f t="shared" si="68"/>
        <v>Metal ore: Mass balance</v>
      </c>
      <c r="R503" s="17"/>
      <c r="S503" s="17" t="str">
        <f t="shared" si="65"/>
        <v>CarbC_Metal ore: Mass balance</v>
      </c>
      <c r="X503" s="69"/>
      <c r="Z503" s="21" t="b">
        <f t="shared" si="66"/>
        <v>0</v>
      </c>
      <c r="AL503" s="624">
        <v>1</v>
      </c>
      <c r="AM503" s="624" t="s">
        <v>992</v>
      </c>
      <c r="AN503" s="624">
        <v>1</v>
      </c>
      <c r="AO503" s="624">
        <v>2</v>
      </c>
      <c r="AP503" s="624">
        <v>2</v>
      </c>
    </row>
    <row r="504" spans="1:42" ht="12.75" customHeight="1" outlineLevel="1" x14ac:dyDescent="0.2">
      <c r="A504" s="21">
        <v>24</v>
      </c>
      <c r="B504" s="611" t="str">
        <f t="shared" si="71"/>
        <v>Production of iron or steel</v>
      </c>
      <c r="C504" s="17" t="str">
        <f t="shared" si="71"/>
        <v>Iron &amp; steel</v>
      </c>
      <c r="D504" s="17" t="str">
        <f t="shared" si="71"/>
        <v>Fuel as process input</v>
      </c>
      <c r="E504" s="17"/>
      <c r="F504" s="151" t="str">
        <f t="shared" si="64"/>
        <v>Standard method: Fuel, Article 24(1)</v>
      </c>
      <c r="G504" s="103" t="str">
        <f>EUconst_NA</f>
        <v>n.a.</v>
      </c>
      <c r="H504" s="613"/>
      <c r="I504" s="150"/>
      <c r="J504" s="150"/>
      <c r="K504" s="150"/>
      <c r="L504" s="613"/>
      <c r="M504" s="613"/>
      <c r="N504" s="613"/>
      <c r="O504" s="146"/>
      <c r="P504" s="103" t="str">
        <f t="shared" si="70"/>
        <v>n.a.</v>
      </c>
      <c r="Q504" s="147" t="str">
        <f t="shared" si="68"/>
        <v>Iron &amp; steel: Fuel as process input</v>
      </c>
      <c r="R504" s="17"/>
      <c r="S504" s="17" t="str">
        <f t="shared" si="65"/>
        <v>CarbC_Iron &amp; steel: Fuel as process input</v>
      </c>
      <c r="X504" s="69"/>
      <c r="Z504" s="21" t="b">
        <f t="shared" si="66"/>
        <v>1</v>
      </c>
      <c r="AL504" s="624" t="s">
        <v>992</v>
      </c>
      <c r="AM504" s="624" t="s">
        <v>992</v>
      </c>
      <c r="AN504" s="624" t="s">
        <v>992</v>
      </c>
      <c r="AO504" s="624" t="s">
        <v>992</v>
      </c>
      <c r="AP504" s="624" t="s">
        <v>992</v>
      </c>
    </row>
    <row r="505" spans="1:42" ht="12.75" customHeight="1" outlineLevel="1" x14ac:dyDescent="0.2">
      <c r="A505" s="21">
        <v>25</v>
      </c>
      <c r="B505" s="611" t="str">
        <f t="shared" si="71"/>
        <v>Production of iron or steel</v>
      </c>
      <c r="C505" s="17" t="str">
        <f t="shared" si="71"/>
        <v>Iron &amp; steel</v>
      </c>
      <c r="D505" s="17" t="str">
        <f t="shared" si="71"/>
        <v>Process (method A): carbonate only</v>
      </c>
      <c r="E505" s="602"/>
      <c r="F505" s="151" t="str">
        <f t="shared" si="64"/>
        <v>Standard method: Process, Article 24(2)</v>
      </c>
      <c r="G505" s="103" t="str">
        <f>EUconst_NA</f>
        <v>n.a.</v>
      </c>
      <c r="H505" s="149"/>
      <c r="I505" s="149"/>
      <c r="J505" s="151"/>
      <c r="K505" s="151"/>
      <c r="L505" s="149"/>
      <c r="M505" s="149"/>
      <c r="N505" s="149"/>
      <c r="O505" s="150"/>
      <c r="P505" s="103" t="str">
        <f t="shared" si="70"/>
        <v>n.a.</v>
      </c>
      <c r="Q505" s="147" t="str">
        <f t="shared" si="68"/>
        <v>Iron &amp; steel: Process (method A): carbonate only</v>
      </c>
      <c r="R505" s="17"/>
      <c r="S505" s="17" t="str">
        <f t="shared" si="65"/>
        <v>CarbC_Iron &amp; steel: Process (method A): carbonate only</v>
      </c>
      <c r="W505" s="226"/>
      <c r="X505" s="69"/>
      <c r="Z505" s="21" t="b">
        <f t="shared" si="66"/>
        <v>1</v>
      </c>
      <c r="AL505" s="624" t="s">
        <v>992</v>
      </c>
      <c r="AM505" s="624" t="s">
        <v>992</v>
      </c>
      <c r="AN505" s="624" t="s">
        <v>992</v>
      </c>
      <c r="AO505" s="624" t="s">
        <v>992</v>
      </c>
      <c r="AP505" s="624" t="s">
        <v>992</v>
      </c>
    </row>
    <row r="506" spans="1:42" ht="12.75" customHeight="1" outlineLevel="1" x14ac:dyDescent="0.2">
      <c r="A506" s="21">
        <v>26</v>
      </c>
      <c r="B506" s="611" t="str">
        <f t="shared" si="71"/>
        <v>Production of iron or steel</v>
      </c>
      <c r="C506" s="17" t="str">
        <f t="shared" si="71"/>
        <v>Iron &amp; steel</v>
      </c>
      <c r="D506" s="17" t="str">
        <f t="shared" si="71"/>
        <v>Process (method A): mixed (carbonate + non-carbonate)</v>
      </c>
      <c r="E506" s="602"/>
      <c r="F506" s="151" t="str">
        <f t="shared" si="64"/>
        <v>Standard method: Process, Article 24(2)</v>
      </c>
      <c r="G506" s="103" t="str">
        <f>EUconst_NA</f>
        <v>n.a.</v>
      </c>
      <c r="H506" s="613"/>
      <c r="I506" s="150"/>
      <c r="J506" s="150"/>
      <c r="K506" s="150"/>
      <c r="L506" s="613"/>
      <c r="M506" s="613"/>
      <c r="N506" s="613"/>
      <c r="O506" s="148"/>
      <c r="P506" s="103" t="str">
        <f t="shared" si="70"/>
        <v>n.a.</v>
      </c>
      <c r="Q506" s="147" t="str">
        <f t="shared" si="68"/>
        <v>Iron &amp; steel: Process (method A): mixed (carbonate + non-carbonate)</v>
      </c>
      <c r="R506" s="17"/>
      <c r="S506" s="17" t="str">
        <f t="shared" si="65"/>
        <v>CarbC_Iron &amp; steel: Process (method A): mixed (carbonate + non-carbonate)</v>
      </c>
      <c r="W506" s="226"/>
      <c r="X506" s="69"/>
      <c r="Z506" s="21" t="b">
        <f t="shared" si="66"/>
        <v>1</v>
      </c>
      <c r="AL506" s="624" t="s">
        <v>992</v>
      </c>
      <c r="AM506" s="624" t="s">
        <v>992</v>
      </c>
      <c r="AN506" s="624" t="s">
        <v>992</v>
      </c>
      <c r="AO506" s="624" t="s">
        <v>992</v>
      </c>
      <c r="AP506" s="624" t="s">
        <v>992</v>
      </c>
    </row>
    <row r="507" spans="1:42" ht="12.75" customHeight="1" outlineLevel="1" x14ac:dyDescent="0.2">
      <c r="A507" s="21">
        <v>27</v>
      </c>
      <c r="B507" s="611" t="str">
        <f t="shared" si="71"/>
        <v>Production of iron or steel</v>
      </c>
      <c r="C507" s="17" t="str">
        <f t="shared" si="71"/>
        <v>Iron &amp; steel</v>
      </c>
      <c r="D507" s="17" t="str">
        <f t="shared" si="71"/>
        <v>Process (method A): non-carbonate</v>
      </c>
      <c r="E507" s="602"/>
      <c r="F507" s="151" t="str">
        <f t="shared" si="64"/>
        <v>Standard method: Process, Article 24(2)</v>
      </c>
      <c r="G507" s="103" t="str">
        <f>EUconst_NA</f>
        <v>n.a.</v>
      </c>
      <c r="H507" s="613"/>
      <c r="I507" s="150"/>
      <c r="J507" s="150"/>
      <c r="K507" s="150"/>
      <c r="L507" s="613"/>
      <c r="M507" s="613"/>
      <c r="N507" s="613"/>
      <c r="O507" s="148"/>
      <c r="P507" s="103" t="str">
        <f t="shared" si="70"/>
        <v>n.a.</v>
      </c>
      <c r="Q507" s="147" t="str">
        <f t="shared" si="68"/>
        <v>Iron &amp; steel: Process (method A): non-carbonate</v>
      </c>
      <c r="R507" s="17"/>
      <c r="S507" s="17" t="str">
        <f t="shared" si="65"/>
        <v>CarbC_Iron &amp; steel: Process (method A): non-carbonate</v>
      </c>
      <c r="W507" s="226"/>
      <c r="X507" s="69"/>
      <c r="Z507" s="21" t="b">
        <f t="shared" si="66"/>
        <v>1</v>
      </c>
      <c r="AL507" s="624" t="s">
        <v>992</v>
      </c>
      <c r="AM507" s="624" t="s">
        <v>992</v>
      </c>
      <c r="AN507" s="624" t="s">
        <v>992</v>
      </c>
      <c r="AO507" s="624" t="s">
        <v>992</v>
      </c>
      <c r="AP507" s="624" t="s">
        <v>992</v>
      </c>
    </row>
    <row r="508" spans="1:42" ht="12.75" customHeight="1" outlineLevel="1" x14ac:dyDescent="0.2">
      <c r="A508" s="21">
        <v>28</v>
      </c>
      <c r="B508" s="611" t="str">
        <f t="shared" si="71"/>
        <v>Production of iron or steel</v>
      </c>
      <c r="C508" s="17" t="str">
        <f t="shared" si="71"/>
        <v>Iron &amp; steel</v>
      </c>
      <c r="D508" s="17" t="str">
        <f t="shared" si="71"/>
        <v>Process (method B): oxide output</v>
      </c>
      <c r="E508" s="602"/>
      <c r="F508" s="151" t="str">
        <f t="shared" si="64"/>
        <v>Standard method: Process, Article 24(2)</v>
      </c>
      <c r="G508" s="103" t="str">
        <f>EUconst_NA</f>
        <v>n.a.</v>
      </c>
      <c r="H508" s="149"/>
      <c r="I508" s="149"/>
      <c r="J508" s="151"/>
      <c r="K508" s="151"/>
      <c r="L508" s="149"/>
      <c r="M508" s="149"/>
      <c r="N508" s="149"/>
      <c r="O508" s="150"/>
      <c r="P508" s="103" t="str">
        <f t="shared" si="70"/>
        <v>n.a.</v>
      </c>
      <c r="Q508" s="147" t="str">
        <f t="shared" si="68"/>
        <v>Iron &amp; steel: Process (method B): oxide output</v>
      </c>
      <c r="R508" s="17"/>
      <c r="S508" s="17" t="str">
        <f t="shared" si="65"/>
        <v>CarbC_Iron &amp; steel: Process (method B): oxide output</v>
      </c>
      <c r="W508" s="226"/>
      <c r="X508" s="69"/>
      <c r="Z508" s="21" t="b">
        <f t="shared" si="66"/>
        <v>1</v>
      </c>
      <c r="AL508" s="624" t="s">
        <v>992</v>
      </c>
      <c r="AM508" s="624" t="s">
        <v>992</v>
      </c>
      <c r="AN508" s="624" t="s">
        <v>992</v>
      </c>
      <c r="AO508" s="624" t="s">
        <v>992</v>
      </c>
      <c r="AP508" s="624" t="s">
        <v>992</v>
      </c>
    </row>
    <row r="509" spans="1:42" ht="12.75" customHeight="1" outlineLevel="1" x14ac:dyDescent="0.2">
      <c r="A509" s="21">
        <v>29</v>
      </c>
      <c r="B509" s="611" t="str">
        <f t="shared" si="71"/>
        <v>Production of iron or steel</v>
      </c>
      <c r="C509" s="17" t="str">
        <f t="shared" si="71"/>
        <v>Iron &amp; steel</v>
      </c>
      <c r="D509" s="17" t="str">
        <f t="shared" si="71"/>
        <v>Mass balance</v>
      </c>
      <c r="E509" s="17"/>
      <c r="F509" s="151" t="str">
        <f t="shared" si="64"/>
        <v>Mass balance method, Article 25</v>
      </c>
      <c r="G509" s="103" t="s">
        <v>1531</v>
      </c>
      <c r="H509" s="149" t="str">
        <f>Translations!$B$493</f>
        <v>Type I default values</v>
      </c>
      <c r="I509" s="149"/>
      <c r="J509" s="149" t="str">
        <f>Translations!$B$528</f>
        <v>Type II default values</v>
      </c>
      <c r="K509" s="149" t="str">
        <f>Translations!$B$1061</f>
        <v>Established proxies (if applicable)</v>
      </c>
      <c r="L509" s="149" t="str">
        <f>Translations!$B$527</f>
        <v>Laboratory analyses</v>
      </c>
      <c r="M509" s="149"/>
      <c r="N509" s="149"/>
      <c r="O509" s="150"/>
      <c r="P509" s="103">
        <f t="shared" si="70"/>
        <v>3</v>
      </c>
      <c r="Q509" s="147" t="str">
        <f t="shared" si="68"/>
        <v>Iron &amp; steel: Mass balance</v>
      </c>
      <c r="R509" s="17"/>
      <c r="S509" s="17" t="str">
        <f t="shared" si="65"/>
        <v>CarbC_Iron &amp; steel: Mass balance</v>
      </c>
      <c r="X509" s="69"/>
      <c r="Z509" s="21" t="b">
        <f t="shared" si="66"/>
        <v>0</v>
      </c>
      <c r="AL509" s="624">
        <v>1</v>
      </c>
      <c r="AM509" s="624" t="s">
        <v>992</v>
      </c>
      <c r="AN509" s="624">
        <v>1</v>
      </c>
      <c r="AO509" s="624">
        <v>2</v>
      </c>
      <c r="AP509" s="624">
        <v>2</v>
      </c>
    </row>
    <row r="510" spans="1:42" ht="12.75" customHeight="1" outlineLevel="1" x14ac:dyDescent="0.2">
      <c r="A510" s="21">
        <v>30</v>
      </c>
      <c r="B510" s="611" t="str">
        <f t="shared" si="71"/>
        <v>Production of cement clinker</v>
      </c>
      <c r="C510" s="17" t="str">
        <f t="shared" si="71"/>
        <v>Cement clinker</v>
      </c>
      <c r="D510" s="17" t="str">
        <f t="shared" si="71"/>
        <v>Kiln input based (Method A)</v>
      </c>
      <c r="E510" s="17"/>
      <c r="F510" s="151" t="str">
        <f t="shared" si="64"/>
        <v>Standard method: Process, Article 24(2)</v>
      </c>
      <c r="G510" s="103" t="str">
        <f t="shared" ref="G510:G527" si="72">EUconst_NA</f>
        <v>n.a.</v>
      </c>
      <c r="H510" s="149"/>
      <c r="I510" s="149"/>
      <c r="J510" s="151"/>
      <c r="K510" s="151"/>
      <c r="L510" s="149"/>
      <c r="M510" s="149"/>
      <c r="N510" s="149"/>
      <c r="O510" s="150"/>
      <c r="P510" s="103" t="str">
        <f t="shared" ref="P510:P527" si="73">IF(G510=EUconst_NA,EUconst_NA,IF(ISBLANK(J510),COUNTA(H510:O510),COUNTA(H510,J510,L510)))</f>
        <v>n.a.</v>
      </c>
      <c r="Q510" s="147" t="str">
        <f t="shared" si="68"/>
        <v>Cement clinker: Kiln input based (Method A)</v>
      </c>
      <c r="R510" s="17"/>
      <c r="S510" s="17" t="str">
        <f t="shared" si="65"/>
        <v>CarbC_Cement clinker: Kiln input based (Method A)</v>
      </c>
      <c r="X510" s="69"/>
      <c r="Z510" s="21" t="b">
        <f t="shared" si="66"/>
        <v>1</v>
      </c>
      <c r="AL510" s="624" t="s">
        <v>992</v>
      </c>
      <c r="AM510" s="624" t="s">
        <v>992</v>
      </c>
      <c r="AN510" s="624" t="s">
        <v>992</v>
      </c>
      <c r="AO510" s="624" t="s">
        <v>992</v>
      </c>
      <c r="AP510" s="624" t="s">
        <v>992</v>
      </c>
    </row>
    <row r="511" spans="1:42" ht="12.75" customHeight="1" outlineLevel="1" x14ac:dyDescent="0.2">
      <c r="A511" s="21">
        <v>31</v>
      </c>
      <c r="B511" s="611" t="str">
        <f t="shared" si="71"/>
        <v>Production of cement clinker</v>
      </c>
      <c r="C511" s="17" t="str">
        <f t="shared" si="71"/>
        <v>Cement clinker</v>
      </c>
      <c r="D511" s="17" t="str">
        <f t="shared" si="71"/>
        <v>Clinker output (Method B)</v>
      </c>
      <c r="E511" s="17"/>
      <c r="F511" s="151" t="str">
        <f t="shared" si="64"/>
        <v>Standard method: Process, Article 24(2)</v>
      </c>
      <c r="G511" s="103" t="str">
        <f t="shared" si="72"/>
        <v>n.a.</v>
      </c>
      <c r="H511" s="149"/>
      <c r="I511" s="149"/>
      <c r="J511" s="151"/>
      <c r="K511" s="151"/>
      <c r="L511" s="149"/>
      <c r="M511" s="149"/>
      <c r="N511" s="149"/>
      <c r="O511" s="150"/>
      <c r="P511" s="103" t="str">
        <f t="shared" si="73"/>
        <v>n.a.</v>
      </c>
      <c r="Q511" s="147" t="str">
        <f t="shared" si="68"/>
        <v>Cement clinker: Clinker output (Method B)</v>
      </c>
      <c r="R511" s="17"/>
      <c r="S511" s="17" t="str">
        <f t="shared" si="65"/>
        <v>CarbC_Cement clinker: Clinker output (Method B)</v>
      </c>
      <c r="X511" s="69"/>
      <c r="Z511" s="21" t="b">
        <f t="shared" si="66"/>
        <v>1</v>
      </c>
      <c r="AL511" s="624" t="s">
        <v>992</v>
      </c>
      <c r="AM511" s="624" t="s">
        <v>992</v>
      </c>
      <c r="AN511" s="624" t="s">
        <v>992</v>
      </c>
      <c r="AO511" s="624" t="s">
        <v>992</v>
      </c>
      <c r="AP511" s="624" t="s">
        <v>992</v>
      </c>
    </row>
    <row r="512" spans="1:42" ht="12.75" customHeight="1" outlineLevel="1" x14ac:dyDescent="0.2">
      <c r="A512" s="21">
        <v>32</v>
      </c>
      <c r="B512" s="611" t="str">
        <f t="shared" si="71"/>
        <v>Production of cement clinker</v>
      </c>
      <c r="C512" s="17" t="str">
        <f t="shared" si="71"/>
        <v>Cement clinker</v>
      </c>
      <c r="D512" s="17" t="str">
        <f t="shared" si="71"/>
        <v>CKD</v>
      </c>
      <c r="E512" s="17"/>
      <c r="F512" s="151" t="str">
        <f t="shared" si="64"/>
        <v>Standard method: Process, Article 24(2)</v>
      </c>
      <c r="G512" s="103" t="str">
        <f t="shared" si="72"/>
        <v>n.a.</v>
      </c>
      <c r="H512" s="149"/>
      <c r="I512" s="149"/>
      <c r="J512" s="151"/>
      <c r="K512" s="151"/>
      <c r="L512" s="149"/>
      <c r="M512" s="149"/>
      <c r="N512" s="149"/>
      <c r="O512" s="150"/>
      <c r="P512" s="103" t="str">
        <f t="shared" si="73"/>
        <v>n.a.</v>
      </c>
      <c r="Q512" s="147" t="str">
        <f t="shared" si="68"/>
        <v>Cement clinker: CKD</v>
      </c>
      <c r="R512" s="17"/>
      <c r="S512" s="17" t="str">
        <f t="shared" si="65"/>
        <v>CarbC_Cement clinker: CKD</v>
      </c>
      <c r="X512" s="69"/>
      <c r="Z512" s="21" t="b">
        <f t="shared" si="66"/>
        <v>1</v>
      </c>
      <c r="AL512" s="624" t="s">
        <v>992</v>
      </c>
      <c r="AM512" s="624" t="s">
        <v>992</v>
      </c>
      <c r="AN512" s="624" t="s">
        <v>992</v>
      </c>
      <c r="AO512" s="624" t="s">
        <v>992</v>
      </c>
      <c r="AP512" s="624" t="s">
        <v>992</v>
      </c>
    </row>
    <row r="513" spans="1:42" ht="12.75" customHeight="1" outlineLevel="1" x14ac:dyDescent="0.2">
      <c r="A513" s="21">
        <v>33</v>
      </c>
      <c r="B513" s="611" t="str">
        <f t="shared" si="71"/>
        <v>Production of cement clinker</v>
      </c>
      <c r="C513" s="17" t="str">
        <f t="shared" si="71"/>
        <v>Cement clinker</v>
      </c>
      <c r="D513" s="17" t="str">
        <f t="shared" si="71"/>
        <v>Non-carbonate carbon</v>
      </c>
      <c r="E513" s="17"/>
      <c r="F513" s="151" t="str">
        <f t="shared" ref="F513:F541" si="74">F441</f>
        <v>Standard method: Process, Article 24(2)</v>
      </c>
      <c r="G513" s="103" t="str">
        <f t="shared" si="72"/>
        <v>n.a.</v>
      </c>
      <c r="H513" s="149"/>
      <c r="I513" s="149"/>
      <c r="J513" s="151"/>
      <c r="K513" s="151"/>
      <c r="L513" s="149"/>
      <c r="M513" s="149"/>
      <c r="N513" s="149"/>
      <c r="O513" s="150"/>
      <c r="P513" s="103" t="str">
        <f t="shared" si="73"/>
        <v>n.a.</v>
      </c>
      <c r="Q513" s="147" t="str">
        <f t="shared" si="68"/>
        <v>Cement clinker: Non-carbonate carbon</v>
      </c>
      <c r="R513" s="17"/>
      <c r="S513" s="17" t="str">
        <f t="shared" si="65"/>
        <v>CarbC_Cement clinker: Non-carbonate carbon</v>
      </c>
      <c r="Z513" s="21" t="b">
        <f t="shared" si="66"/>
        <v>1</v>
      </c>
      <c r="AL513" s="624" t="s">
        <v>992</v>
      </c>
      <c r="AM513" s="624" t="s">
        <v>992</v>
      </c>
      <c r="AN513" s="624" t="s">
        <v>992</v>
      </c>
      <c r="AO513" s="624" t="s">
        <v>992</v>
      </c>
      <c r="AP513" s="624" t="s">
        <v>992</v>
      </c>
    </row>
    <row r="514" spans="1:42" ht="12.75" customHeight="1" outlineLevel="1" x14ac:dyDescent="0.2">
      <c r="A514" s="21">
        <v>34</v>
      </c>
      <c r="B514" s="611" t="str">
        <f t="shared" si="71"/>
        <v>Production of lime, or calcination of dolomite/magnesite</v>
      </c>
      <c r="C514" s="17" t="str">
        <f t="shared" si="71"/>
        <v>Lime / dolomite / magnesite</v>
      </c>
      <c r="D514" s="17" t="str">
        <f t="shared" si="71"/>
        <v>Process (method A): carbonate only</v>
      </c>
      <c r="E514" s="602"/>
      <c r="F514" s="151" t="str">
        <f t="shared" si="74"/>
        <v>Standard method: Process, Article 24(2)</v>
      </c>
      <c r="G514" s="103" t="str">
        <f t="shared" si="72"/>
        <v>n.a.</v>
      </c>
      <c r="H514" s="149"/>
      <c r="I514" s="149"/>
      <c r="J514" s="151"/>
      <c r="K514" s="151"/>
      <c r="L514" s="149"/>
      <c r="M514" s="149"/>
      <c r="N514" s="149"/>
      <c r="O514" s="150"/>
      <c r="P514" s="103" t="str">
        <f t="shared" si="73"/>
        <v>n.a.</v>
      </c>
      <c r="Q514" s="147" t="str">
        <f t="shared" si="68"/>
        <v>Lime / dolomite / magnesite: Process (method A): carbonate only</v>
      </c>
      <c r="R514" s="17"/>
      <c r="S514" s="17" t="str">
        <f t="shared" ref="S514:S541" si="75">EUconst_CNTR_CarbonContent&amp;Q514</f>
        <v>CarbC_Lime / dolomite / magnesite: Process (method A): carbonate only</v>
      </c>
      <c r="Z514" s="21" t="b">
        <f t="shared" si="66"/>
        <v>1</v>
      </c>
      <c r="AL514" s="624" t="s">
        <v>992</v>
      </c>
      <c r="AM514" s="624" t="s">
        <v>992</v>
      </c>
      <c r="AN514" s="624" t="s">
        <v>992</v>
      </c>
      <c r="AO514" s="624" t="s">
        <v>992</v>
      </c>
      <c r="AP514" s="624" t="s">
        <v>992</v>
      </c>
    </row>
    <row r="515" spans="1:42" ht="12.75" customHeight="1" outlineLevel="1" x14ac:dyDescent="0.2">
      <c r="A515" s="21">
        <v>35</v>
      </c>
      <c r="B515" s="611" t="str">
        <f t="shared" si="71"/>
        <v>Production of lime, or calcination of dolomite/magnesite</v>
      </c>
      <c r="C515" s="17" t="str">
        <f t="shared" si="71"/>
        <v>Lime / dolomite / magnesite</v>
      </c>
      <c r="D515" s="17" t="str">
        <f t="shared" si="71"/>
        <v>Process (method A): mixed (carbonate + non-carbonate)</v>
      </c>
      <c r="E515" s="602"/>
      <c r="F515" s="151" t="str">
        <f t="shared" si="74"/>
        <v>Standard method: Process, Article 24(2)</v>
      </c>
      <c r="G515" s="103" t="str">
        <f t="shared" si="72"/>
        <v>n.a.</v>
      </c>
      <c r="H515" s="613"/>
      <c r="I515" s="150"/>
      <c r="J515" s="150"/>
      <c r="K515" s="150"/>
      <c r="L515" s="613"/>
      <c r="M515" s="613"/>
      <c r="N515" s="613"/>
      <c r="O515" s="148"/>
      <c r="P515" s="103" t="str">
        <f t="shared" si="73"/>
        <v>n.a.</v>
      </c>
      <c r="Q515" s="147" t="str">
        <f t="shared" si="68"/>
        <v>Lime / dolomite / magnesite: Process (method A): mixed (carbonate + non-carbonate)</v>
      </c>
      <c r="R515" s="17"/>
      <c r="S515" s="17" t="str">
        <f t="shared" si="75"/>
        <v>CarbC_Lime / dolomite / magnesite: Process (method A): mixed (carbonate + non-carbonate)</v>
      </c>
      <c r="Z515" s="21" t="b">
        <f t="shared" si="66"/>
        <v>1</v>
      </c>
      <c r="AL515" s="624" t="s">
        <v>992</v>
      </c>
      <c r="AM515" s="624" t="s">
        <v>992</v>
      </c>
      <c r="AN515" s="624" t="s">
        <v>992</v>
      </c>
      <c r="AO515" s="624" t="s">
        <v>992</v>
      </c>
      <c r="AP515" s="624" t="s">
        <v>992</v>
      </c>
    </row>
    <row r="516" spans="1:42" ht="12.75" customHeight="1" outlineLevel="1" x14ac:dyDescent="0.2">
      <c r="A516" s="21">
        <v>36</v>
      </c>
      <c r="B516" s="611" t="str">
        <f t="shared" si="71"/>
        <v>Production of lime, or calcination of dolomite/magnesite</v>
      </c>
      <c r="C516" s="17" t="str">
        <f t="shared" si="71"/>
        <v>Lime / dolomite / magnesite</v>
      </c>
      <c r="D516" s="17" t="str">
        <f t="shared" si="71"/>
        <v>Process (method A): non-carbonate</v>
      </c>
      <c r="E516" s="602"/>
      <c r="F516" s="151" t="str">
        <f t="shared" si="74"/>
        <v>Standard method: Process, Article 24(2)</v>
      </c>
      <c r="G516" s="103" t="str">
        <f t="shared" si="72"/>
        <v>n.a.</v>
      </c>
      <c r="H516" s="613"/>
      <c r="I516" s="150"/>
      <c r="J516" s="150"/>
      <c r="K516" s="150"/>
      <c r="L516" s="613"/>
      <c r="M516" s="613"/>
      <c r="N516" s="613"/>
      <c r="O516" s="148"/>
      <c r="P516" s="103" t="str">
        <f t="shared" si="73"/>
        <v>n.a.</v>
      </c>
      <c r="Q516" s="147" t="str">
        <f t="shared" si="68"/>
        <v>Lime / dolomite / magnesite: Process (method A): non-carbonate</v>
      </c>
      <c r="R516" s="17"/>
      <c r="S516" s="17" t="str">
        <f t="shared" si="75"/>
        <v>CarbC_Lime / dolomite / magnesite: Process (method A): non-carbonate</v>
      </c>
      <c r="Z516" s="21" t="b">
        <f t="shared" si="66"/>
        <v>1</v>
      </c>
      <c r="AL516" s="624" t="s">
        <v>992</v>
      </c>
      <c r="AM516" s="624" t="s">
        <v>992</v>
      </c>
      <c r="AN516" s="624" t="s">
        <v>992</v>
      </c>
      <c r="AO516" s="624" t="s">
        <v>992</v>
      </c>
      <c r="AP516" s="624" t="s">
        <v>992</v>
      </c>
    </row>
    <row r="517" spans="1:42" ht="12.75" customHeight="1" outlineLevel="1" x14ac:dyDescent="0.2">
      <c r="A517" s="21">
        <v>37</v>
      </c>
      <c r="B517" s="611" t="str">
        <f t="shared" si="71"/>
        <v>Production of lime, or calcination of dolomite/magnesite</v>
      </c>
      <c r="C517" s="17" t="str">
        <f t="shared" si="71"/>
        <v>Lime / dolomite / magnesite</v>
      </c>
      <c r="D517" s="17" t="str">
        <f t="shared" si="71"/>
        <v>Process (method B): oxide output</v>
      </c>
      <c r="E517" s="602"/>
      <c r="F517" s="151" t="str">
        <f t="shared" si="74"/>
        <v>Standard method: Process, Article 24(2)</v>
      </c>
      <c r="G517" s="103" t="str">
        <f t="shared" si="72"/>
        <v>n.a.</v>
      </c>
      <c r="H517" s="149"/>
      <c r="I517" s="149"/>
      <c r="J517" s="151"/>
      <c r="K517" s="151"/>
      <c r="L517" s="149"/>
      <c r="M517" s="149"/>
      <c r="N517" s="149"/>
      <c r="O517" s="150"/>
      <c r="P517" s="103" t="str">
        <f t="shared" si="73"/>
        <v>n.a.</v>
      </c>
      <c r="Q517" s="147" t="str">
        <f t="shared" si="68"/>
        <v>Lime / dolomite / magnesite: Process (method B): oxide output</v>
      </c>
      <c r="R517" s="17"/>
      <c r="S517" s="17" t="str">
        <f t="shared" si="75"/>
        <v>CarbC_Lime / dolomite / magnesite: Process (method B): oxide output</v>
      </c>
      <c r="Z517" s="21" t="b">
        <f t="shared" si="66"/>
        <v>1</v>
      </c>
      <c r="AL517" s="624" t="s">
        <v>992</v>
      </c>
      <c r="AM517" s="624" t="s">
        <v>992</v>
      </c>
      <c r="AN517" s="624" t="s">
        <v>992</v>
      </c>
      <c r="AO517" s="624" t="s">
        <v>992</v>
      </c>
      <c r="AP517" s="624" t="s">
        <v>992</v>
      </c>
    </row>
    <row r="518" spans="1:42" ht="12.75" customHeight="1" outlineLevel="1" x14ac:dyDescent="0.2">
      <c r="A518" s="21">
        <v>38</v>
      </c>
      <c r="B518" s="611" t="str">
        <f t="shared" si="71"/>
        <v>Production of lime, or calcination of dolomite/magnesite</v>
      </c>
      <c r="C518" s="17" t="str">
        <f t="shared" si="71"/>
        <v>Lime / dolomite / magnesite</v>
      </c>
      <c r="D518" s="17" t="str">
        <f t="shared" si="71"/>
        <v>Kiln dust (Method B)</v>
      </c>
      <c r="E518" s="17"/>
      <c r="F518" s="151" t="str">
        <f t="shared" si="74"/>
        <v>Standard method: Process, Article 24(2)</v>
      </c>
      <c r="G518" s="103" t="str">
        <f t="shared" si="72"/>
        <v>n.a.</v>
      </c>
      <c r="H518" s="613"/>
      <c r="I518" s="613"/>
      <c r="J518" s="150"/>
      <c r="K518" s="150"/>
      <c r="L518" s="613"/>
      <c r="M518" s="613"/>
      <c r="N518" s="613"/>
      <c r="O518" s="148"/>
      <c r="P518" s="103" t="str">
        <f t="shared" si="73"/>
        <v>n.a.</v>
      </c>
      <c r="Q518" s="147" t="str">
        <f t="shared" si="68"/>
        <v>Lime / dolomite / magnesite: Kiln dust (Method B)</v>
      </c>
      <c r="R518" s="17"/>
      <c r="S518" s="17" t="str">
        <f t="shared" si="75"/>
        <v>CarbC_Lime / dolomite / magnesite: Kiln dust (Method B)</v>
      </c>
      <c r="Z518" s="21" t="b">
        <f t="shared" si="66"/>
        <v>1</v>
      </c>
      <c r="AL518" s="624" t="s">
        <v>992</v>
      </c>
      <c r="AM518" s="624" t="s">
        <v>992</v>
      </c>
      <c r="AN518" s="624" t="s">
        <v>992</v>
      </c>
      <c r="AO518" s="624" t="s">
        <v>992</v>
      </c>
      <c r="AP518" s="624" t="s">
        <v>992</v>
      </c>
    </row>
    <row r="519" spans="1:42" ht="12.75" customHeight="1" outlineLevel="1" x14ac:dyDescent="0.2">
      <c r="A519" s="21">
        <v>39</v>
      </c>
      <c r="B519" s="611" t="str">
        <f t="shared" si="71"/>
        <v>Manufacture of glass</v>
      </c>
      <c r="C519" s="17" t="str">
        <f t="shared" si="71"/>
        <v>Glass and mineral wool</v>
      </c>
      <c r="D519" s="17" t="str">
        <f t="shared" si="71"/>
        <v>Process (method A): carbonate only</v>
      </c>
      <c r="E519" s="602"/>
      <c r="F519" s="151" t="str">
        <f t="shared" si="74"/>
        <v>Standard method: Process, Article 24(2)</v>
      </c>
      <c r="G519" s="103" t="str">
        <f t="shared" si="72"/>
        <v>n.a.</v>
      </c>
      <c r="H519" s="149"/>
      <c r="I519" s="149"/>
      <c r="J519" s="151"/>
      <c r="K519" s="151"/>
      <c r="L519" s="149"/>
      <c r="M519" s="149"/>
      <c r="N519" s="149"/>
      <c r="O519" s="150"/>
      <c r="P519" s="103" t="str">
        <f t="shared" si="73"/>
        <v>n.a.</v>
      </c>
      <c r="Q519" s="147" t="str">
        <f t="shared" si="68"/>
        <v>Glass and mineral wool: Process (method A): carbonate only</v>
      </c>
      <c r="R519" s="17"/>
      <c r="S519" s="17" t="str">
        <f t="shared" si="75"/>
        <v>CarbC_Glass and mineral wool: Process (method A): carbonate only</v>
      </c>
      <c r="Z519" s="21" t="b">
        <f t="shared" si="66"/>
        <v>1</v>
      </c>
      <c r="AL519" s="624" t="s">
        <v>992</v>
      </c>
      <c r="AM519" s="624" t="s">
        <v>992</v>
      </c>
      <c r="AN519" s="624" t="s">
        <v>992</v>
      </c>
      <c r="AO519" s="624" t="s">
        <v>992</v>
      </c>
      <c r="AP519" s="624" t="s">
        <v>992</v>
      </c>
    </row>
    <row r="520" spans="1:42" ht="12.75" customHeight="1" outlineLevel="1" x14ac:dyDescent="0.2">
      <c r="A520" s="21">
        <v>40</v>
      </c>
      <c r="B520" s="611" t="str">
        <f t="shared" si="71"/>
        <v>Manufacture of glass</v>
      </c>
      <c r="C520" s="17" t="str">
        <f t="shared" si="71"/>
        <v>Glass and mineral wool</v>
      </c>
      <c r="D520" s="17" t="str">
        <f t="shared" si="71"/>
        <v>Process (method A): mixed (carbonate + non-carbonate)</v>
      </c>
      <c r="E520" s="602"/>
      <c r="F520" s="151" t="str">
        <f t="shared" si="74"/>
        <v>Standard method: Process, Article 24(2)</v>
      </c>
      <c r="G520" s="103" t="str">
        <f t="shared" si="72"/>
        <v>n.a.</v>
      </c>
      <c r="H520" s="613"/>
      <c r="I520" s="150"/>
      <c r="J520" s="150"/>
      <c r="K520" s="150"/>
      <c r="L520" s="613"/>
      <c r="M520" s="613"/>
      <c r="N520" s="613"/>
      <c r="O520" s="148"/>
      <c r="P520" s="103" t="str">
        <f t="shared" si="73"/>
        <v>n.a.</v>
      </c>
      <c r="Q520" s="147" t="str">
        <f t="shared" si="68"/>
        <v>Glass and mineral wool: Process (method A): mixed (carbonate + non-carbonate)</v>
      </c>
      <c r="R520" s="17"/>
      <c r="S520" s="17" t="str">
        <f t="shared" si="75"/>
        <v>CarbC_Glass and mineral wool: Process (method A): mixed (carbonate + non-carbonate)</v>
      </c>
      <c r="Z520" s="21" t="b">
        <f t="shared" si="66"/>
        <v>1</v>
      </c>
      <c r="AL520" s="624" t="s">
        <v>992</v>
      </c>
      <c r="AM520" s="624" t="s">
        <v>992</v>
      </c>
      <c r="AN520" s="624" t="s">
        <v>992</v>
      </c>
      <c r="AO520" s="624" t="s">
        <v>992</v>
      </c>
      <c r="AP520" s="624" t="s">
        <v>992</v>
      </c>
    </row>
    <row r="521" spans="1:42" ht="12.75" customHeight="1" outlineLevel="1" x14ac:dyDescent="0.2">
      <c r="A521" s="21">
        <v>41</v>
      </c>
      <c r="B521" s="611" t="str">
        <f t="shared" ref="B521:D540" si="76">B449</f>
        <v>Manufacture of glass</v>
      </c>
      <c r="C521" s="17" t="str">
        <f t="shared" si="76"/>
        <v>Glass and mineral wool</v>
      </c>
      <c r="D521" s="17" t="str">
        <f t="shared" si="76"/>
        <v>Process (method A): non-carbonate</v>
      </c>
      <c r="E521" s="602"/>
      <c r="F521" s="151" t="str">
        <f t="shared" si="74"/>
        <v>Standard method: Process, Article 24(2)</v>
      </c>
      <c r="G521" s="103" t="str">
        <f t="shared" si="72"/>
        <v>n.a.</v>
      </c>
      <c r="H521" s="613"/>
      <c r="I521" s="150"/>
      <c r="J521" s="150"/>
      <c r="K521" s="150"/>
      <c r="L521" s="613"/>
      <c r="M521" s="613"/>
      <c r="N521" s="613"/>
      <c r="O521" s="148"/>
      <c r="P521" s="103" t="str">
        <f t="shared" si="73"/>
        <v>n.a.</v>
      </c>
      <c r="Q521" s="147" t="str">
        <f t="shared" si="68"/>
        <v>Glass and mineral wool: Process (method A): non-carbonate</v>
      </c>
      <c r="R521" s="17"/>
      <c r="S521" s="17" t="str">
        <f t="shared" si="75"/>
        <v>CarbC_Glass and mineral wool: Process (method A): non-carbonate</v>
      </c>
      <c r="Z521" s="21" t="b">
        <f t="shared" si="66"/>
        <v>1</v>
      </c>
      <c r="AL521" s="624" t="s">
        <v>992</v>
      </c>
      <c r="AM521" s="624" t="s">
        <v>992</v>
      </c>
      <c r="AN521" s="624" t="s">
        <v>992</v>
      </c>
      <c r="AO521" s="624" t="s">
        <v>992</v>
      </c>
      <c r="AP521" s="624" t="s">
        <v>992</v>
      </c>
    </row>
    <row r="522" spans="1:42" ht="12.75" customHeight="1" outlineLevel="1" x14ac:dyDescent="0.2">
      <c r="A522" s="21">
        <v>42</v>
      </c>
      <c r="B522" s="611" t="str">
        <f t="shared" si="76"/>
        <v>Manufacture of ceramics</v>
      </c>
      <c r="C522" s="17" t="str">
        <f t="shared" si="76"/>
        <v>Ceramics</v>
      </c>
      <c r="D522" s="17" t="str">
        <f t="shared" si="76"/>
        <v>Process (method A): carbonate only</v>
      </c>
      <c r="E522" s="602"/>
      <c r="F522" s="151" t="str">
        <f t="shared" si="74"/>
        <v>Standard method: Process, Article 24(2)</v>
      </c>
      <c r="G522" s="103" t="str">
        <f t="shared" si="72"/>
        <v>n.a.</v>
      </c>
      <c r="H522" s="149"/>
      <c r="I522" s="149"/>
      <c r="J522" s="151"/>
      <c r="K522" s="151"/>
      <c r="L522" s="149"/>
      <c r="M522" s="149"/>
      <c r="N522" s="149"/>
      <c r="O522" s="150"/>
      <c r="P522" s="103" t="str">
        <f t="shared" si="73"/>
        <v>n.a.</v>
      </c>
      <c r="Q522" s="147" t="str">
        <f t="shared" si="68"/>
        <v>Ceramics: Process (method A): carbonate only</v>
      </c>
      <c r="R522" s="17"/>
      <c r="S522" s="17" t="str">
        <f t="shared" si="75"/>
        <v>CarbC_Ceramics: Process (method A): carbonate only</v>
      </c>
      <c r="Z522" s="21" t="b">
        <f t="shared" si="66"/>
        <v>1</v>
      </c>
      <c r="AL522" s="624" t="s">
        <v>992</v>
      </c>
      <c r="AM522" s="624" t="s">
        <v>992</v>
      </c>
      <c r="AN522" s="624" t="s">
        <v>992</v>
      </c>
      <c r="AO522" s="624" t="s">
        <v>992</v>
      </c>
      <c r="AP522" s="624" t="s">
        <v>992</v>
      </c>
    </row>
    <row r="523" spans="1:42" ht="12.75" customHeight="1" outlineLevel="1" x14ac:dyDescent="0.2">
      <c r="A523" s="21">
        <v>43</v>
      </c>
      <c r="B523" s="611" t="str">
        <f t="shared" si="76"/>
        <v>Manufacture of ceramics</v>
      </c>
      <c r="C523" s="17" t="str">
        <f t="shared" si="76"/>
        <v>Ceramics</v>
      </c>
      <c r="D523" s="17" t="str">
        <f t="shared" si="76"/>
        <v>Process (method A): mixed (carbonate + non-carbonate)</v>
      </c>
      <c r="E523" s="602"/>
      <c r="F523" s="151" t="str">
        <f t="shared" si="74"/>
        <v>Standard method: Process, Article 24(2)</v>
      </c>
      <c r="G523" s="103" t="str">
        <f t="shared" si="72"/>
        <v>n.a.</v>
      </c>
      <c r="H523" s="613"/>
      <c r="I523" s="150"/>
      <c r="J523" s="150"/>
      <c r="K523" s="150"/>
      <c r="L523" s="613"/>
      <c r="M523" s="613"/>
      <c r="N523" s="613"/>
      <c r="O523" s="148"/>
      <c r="P523" s="103" t="str">
        <f t="shared" si="73"/>
        <v>n.a.</v>
      </c>
      <c r="Q523" s="147" t="str">
        <f t="shared" si="68"/>
        <v>Ceramics: Process (method A): mixed (carbonate + non-carbonate)</v>
      </c>
      <c r="R523" s="17"/>
      <c r="S523" s="17" t="str">
        <f t="shared" si="75"/>
        <v>CarbC_Ceramics: Process (method A): mixed (carbonate + non-carbonate)</v>
      </c>
      <c r="W523" s="226"/>
      <c r="X523" s="69"/>
      <c r="Z523" s="21" t="b">
        <f t="shared" si="66"/>
        <v>1</v>
      </c>
      <c r="AL523" s="624" t="s">
        <v>992</v>
      </c>
      <c r="AM523" s="624" t="s">
        <v>992</v>
      </c>
      <c r="AN523" s="624" t="s">
        <v>992</v>
      </c>
      <c r="AO523" s="624" t="s">
        <v>992</v>
      </c>
      <c r="AP523" s="624" t="s">
        <v>992</v>
      </c>
    </row>
    <row r="524" spans="1:42" ht="12.75" customHeight="1" outlineLevel="1" x14ac:dyDescent="0.2">
      <c r="A524" s="21">
        <v>44</v>
      </c>
      <c r="B524" s="611" t="str">
        <f t="shared" si="76"/>
        <v>Manufacture of ceramics</v>
      </c>
      <c r="C524" s="17" t="str">
        <f t="shared" si="76"/>
        <v>Ceramics</v>
      </c>
      <c r="D524" s="17" t="str">
        <f t="shared" si="76"/>
        <v>Process (method A): non-carbonate</v>
      </c>
      <c r="E524" s="602"/>
      <c r="F524" s="151" t="str">
        <f t="shared" si="74"/>
        <v>Standard method: Process, Article 24(2)</v>
      </c>
      <c r="G524" s="103" t="str">
        <f t="shared" si="72"/>
        <v>n.a.</v>
      </c>
      <c r="H524" s="613"/>
      <c r="I524" s="150"/>
      <c r="J524" s="150"/>
      <c r="K524" s="150"/>
      <c r="L524" s="613"/>
      <c r="M524" s="613"/>
      <c r="N524" s="613"/>
      <c r="O524" s="148"/>
      <c r="P524" s="103" t="str">
        <f t="shared" si="73"/>
        <v>n.a.</v>
      </c>
      <c r="Q524" s="147" t="str">
        <f t="shared" si="68"/>
        <v>Ceramics: Process (method A): non-carbonate</v>
      </c>
      <c r="R524" s="17"/>
      <c r="S524" s="17" t="str">
        <f t="shared" si="75"/>
        <v>CarbC_Ceramics: Process (method A): non-carbonate</v>
      </c>
      <c r="W524" s="226"/>
      <c r="X524" s="69"/>
      <c r="Z524" s="21" t="b">
        <f t="shared" si="66"/>
        <v>1</v>
      </c>
      <c r="AL524" s="624" t="s">
        <v>992</v>
      </c>
      <c r="AM524" s="624" t="s">
        <v>992</v>
      </c>
      <c r="AN524" s="624" t="s">
        <v>992</v>
      </c>
      <c r="AO524" s="624" t="s">
        <v>992</v>
      </c>
      <c r="AP524" s="624" t="s">
        <v>992</v>
      </c>
    </row>
    <row r="525" spans="1:42" ht="12.75" customHeight="1" outlineLevel="1" x14ac:dyDescent="0.2">
      <c r="A525" s="21">
        <v>45</v>
      </c>
      <c r="B525" s="611" t="str">
        <f t="shared" si="76"/>
        <v>Manufacture of ceramics</v>
      </c>
      <c r="C525" s="17" t="str">
        <f t="shared" si="76"/>
        <v>Ceramics</v>
      </c>
      <c r="D525" s="17" t="str">
        <f t="shared" si="76"/>
        <v>Process (method B): oxide output</v>
      </c>
      <c r="E525" s="17"/>
      <c r="F525" s="151" t="str">
        <f t="shared" si="74"/>
        <v>Standard method: Process, Article 24(2)</v>
      </c>
      <c r="G525" s="103" t="str">
        <f t="shared" si="72"/>
        <v>n.a.</v>
      </c>
      <c r="H525" s="149"/>
      <c r="I525" s="149"/>
      <c r="J525" s="151"/>
      <c r="K525" s="151"/>
      <c r="L525" s="149"/>
      <c r="M525" s="149"/>
      <c r="N525" s="149"/>
      <c r="O525" s="150"/>
      <c r="P525" s="103" t="str">
        <f t="shared" si="73"/>
        <v>n.a.</v>
      </c>
      <c r="Q525" s="147" t="str">
        <f t="shared" si="68"/>
        <v>Ceramics: Process (method B): oxide output</v>
      </c>
      <c r="R525" s="17"/>
      <c r="S525" s="17" t="str">
        <f t="shared" si="75"/>
        <v>CarbC_Ceramics: Process (method B): oxide output</v>
      </c>
      <c r="Z525" s="21" t="b">
        <f t="shared" si="66"/>
        <v>1</v>
      </c>
      <c r="AL525" s="624" t="s">
        <v>992</v>
      </c>
      <c r="AM525" s="624" t="s">
        <v>992</v>
      </c>
      <c r="AN525" s="624" t="s">
        <v>992</v>
      </c>
      <c r="AO525" s="624" t="s">
        <v>992</v>
      </c>
      <c r="AP525" s="624" t="s">
        <v>992</v>
      </c>
    </row>
    <row r="526" spans="1:42" ht="12.75" customHeight="1" outlineLevel="1" x14ac:dyDescent="0.2">
      <c r="A526" s="21">
        <v>46</v>
      </c>
      <c r="B526" s="611" t="str">
        <f t="shared" si="76"/>
        <v>Manufacture of ceramics</v>
      </c>
      <c r="C526" s="17" t="str">
        <f t="shared" si="76"/>
        <v>Ceramics</v>
      </c>
      <c r="D526" s="17" t="str">
        <f t="shared" si="76"/>
        <v>Scrubbing</v>
      </c>
      <c r="E526" s="17"/>
      <c r="F526" s="151" t="str">
        <f t="shared" si="74"/>
        <v>Standard method: Process, Article 24(2)</v>
      </c>
      <c r="G526" s="103" t="str">
        <f t="shared" si="72"/>
        <v>n.a.</v>
      </c>
      <c r="H526" s="613"/>
      <c r="I526" s="146"/>
      <c r="J526" s="17"/>
      <c r="K526" s="17"/>
      <c r="L526" s="146"/>
      <c r="M526" s="146"/>
      <c r="N526" s="146"/>
      <c r="O526" s="146"/>
      <c r="P526" s="103" t="str">
        <f t="shared" si="73"/>
        <v>n.a.</v>
      </c>
      <c r="Q526" s="147" t="str">
        <f t="shared" si="68"/>
        <v>Ceramics: Scrubbing</v>
      </c>
      <c r="R526" s="17"/>
      <c r="S526" s="17" t="str">
        <f t="shared" si="75"/>
        <v>CarbC_Ceramics: Scrubbing</v>
      </c>
      <c r="Z526" s="21" t="b">
        <f t="shared" si="66"/>
        <v>1</v>
      </c>
      <c r="AL526" s="624" t="s">
        <v>992</v>
      </c>
      <c r="AM526" s="624" t="s">
        <v>992</v>
      </c>
      <c r="AN526" s="624" t="s">
        <v>992</v>
      </c>
      <c r="AO526" s="624" t="s">
        <v>992</v>
      </c>
      <c r="AP526" s="624" t="s">
        <v>992</v>
      </c>
    </row>
    <row r="527" spans="1:42" ht="12.75" customHeight="1" outlineLevel="1" x14ac:dyDescent="0.2">
      <c r="A527" s="21">
        <v>47</v>
      </c>
      <c r="B527" s="611" t="str">
        <f t="shared" si="76"/>
        <v>Production of pulp</v>
      </c>
      <c r="C527" s="17" t="str">
        <f t="shared" si="76"/>
        <v>Pulp &amp; paper</v>
      </c>
      <c r="D527" s="17" t="str">
        <f t="shared" si="76"/>
        <v>Make up chemicals</v>
      </c>
      <c r="E527" s="17"/>
      <c r="F527" s="151" t="str">
        <f t="shared" si="74"/>
        <v>Standard method: Process, Article 24(2)</v>
      </c>
      <c r="G527" s="103" t="str">
        <f t="shared" si="72"/>
        <v>n.a.</v>
      </c>
      <c r="H527" s="149"/>
      <c r="I527" s="149"/>
      <c r="J527" s="151"/>
      <c r="K527" s="151"/>
      <c r="L527" s="149"/>
      <c r="M527" s="149"/>
      <c r="N527" s="149"/>
      <c r="O527" s="150"/>
      <c r="P527" s="103" t="str">
        <f t="shared" si="73"/>
        <v>n.a.</v>
      </c>
      <c r="Q527" s="147" t="str">
        <f t="shared" si="68"/>
        <v>Pulp &amp; paper: Make up chemicals</v>
      </c>
      <c r="R527" s="17"/>
      <c r="S527" s="17" t="str">
        <f t="shared" si="75"/>
        <v>CarbC_Pulp &amp; paper: Make up chemicals</v>
      </c>
      <c r="Z527" s="21" t="b">
        <f t="shared" si="66"/>
        <v>1</v>
      </c>
      <c r="AL527" s="624" t="s">
        <v>992</v>
      </c>
      <c r="AM527" s="624" t="s">
        <v>992</v>
      </c>
      <c r="AN527" s="624" t="s">
        <v>992</v>
      </c>
      <c r="AO527" s="624" t="s">
        <v>992</v>
      </c>
      <c r="AP527" s="624" t="s">
        <v>992</v>
      </c>
    </row>
    <row r="528" spans="1:42" ht="12.75" customHeight="1" outlineLevel="1" x14ac:dyDescent="0.2">
      <c r="A528" s="21">
        <v>48</v>
      </c>
      <c r="B528" s="611" t="str">
        <f t="shared" si="76"/>
        <v>Production of carbon black</v>
      </c>
      <c r="C528" s="17" t="str">
        <f t="shared" si="76"/>
        <v>Carbon black</v>
      </c>
      <c r="D528" s="17" t="str">
        <f t="shared" si="76"/>
        <v>Mass balance methodology</v>
      </c>
      <c r="E528" s="17"/>
      <c r="F528" s="151" t="str">
        <f t="shared" si="74"/>
        <v>Mass balance method, Article 25</v>
      </c>
      <c r="G528" s="103">
        <v>1</v>
      </c>
      <c r="H528" s="149" t="str">
        <f>Translations!$B$493</f>
        <v>Type I default values</v>
      </c>
      <c r="I528" s="149"/>
      <c r="J528" s="149" t="str">
        <f>Translations!$B$528</f>
        <v>Type II default values</v>
      </c>
      <c r="K528" s="149" t="str">
        <f>Translations!$B$1061</f>
        <v>Established proxies (if applicable)</v>
      </c>
      <c r="L528" s="149" t="str">
        <f>Translations!$B$527</f>
        <v>Laboratory analyses</v>
      </c>
      <c r="M528" s="149"/>
      <c r="N528" s="149"/>
      <c r="O528" s="150"/>
      <c r="P528" s="103">
        <f t="shared" ref="P528:P541" si="77">IF(G528=EUconst_NA,EUconst_NA,IF(ISBLANK(J528),COUNTA(H528:O528),COUNTA(H528,J528,L528)))</f>
        <v>3</v>
      </c>
      <c r="Q528" s="147" t="str">
        <f t="shared" si="68"/>
        <v>Carbon black: Mass balance methodology</v>
      </c>
      <c r="R528" s="17"/>
      <c r="S528" s="17" t="str">
        <f t="shared" si="75"/>
        <v>CarbC_Carbon black: Mass balance methodology</v>
      </c>
      <c r="Z528" s="21" t="b">
        <f t="shared" si="66"/>
        <v>0</v>
      </c>
      <c r="AL528" s="624">
        <v>1</v>
      </c>
      <c r="AM528" s="624" t="s">
        <v>992</v>
      </c>
      <c r="AN528" s="624">
        <v>1</v>
      </c>
      <c r="AO528" s="624">
        <v>2</v>
      </c>
      <c r="AP528" s="624">
        <v>2</v>
      </c>
    </row>
    <row r="529" spans="1:42" ht="12.75" customHeight="1" outlineLevel="1" x14ac:dyDescent="0.2">
      <c r="A529" s="21">
        <v>49</v>
      </c>
      <c r="B529" s="611" t="str">
        <f t="shared" si="76"/>
        <v>Production of ammonia</v>
      </c>
      <c r="C529" s="17" t="str">
        <f t="shared" si="76"/>
        <v>Ammonia</v>
      </c>
      <c r="D529" s="17" t="str">
        <f t="shared" si="76"/>
        <v>Fuel as process input</v>
      </c>
      <c r="E529" s="17"/>
      <c r="F529" s="151" t="str">
        <f t="shared" si="74"/>
        <v>Standard method: Fuel, Article 24(1)</v>
      </c>
      <c r="G529" s="103" t="str">
        <f>EUconst_NA</f>
        <v>n.a.</v>
      </c>
      <c r="H529" s="613"/>
      <c r="I529" s="150"/>
      <c r="J529" s="150"/>
      <c r="K529" s="150"/>
      <c r="L529" s="613"/>
      <c r="M529" s="613"/>
      <c r="N529" s="613"/>
      <c r="O529" s="146"/>
      <c r="P529" s="103" t="str">
        <f t="shared" si="77"/>
        <v>n.a.</v>
      </c>
      <c r="Q529" s="147" t="str">
        <f t="shared" si="68"/>
        <v>Ammonia: Fuel as process input</v>
      </c>
      <c r="R529" s="17"/>
      <c r="S529" s="17" t="str">
        <f t="shared" si="75"/>
        <v>CarbC_Ammonia: Fuel as process input</v>
      </c>
      <c r="Z529" s="21" t="b">
        <f t="shared" si="66"/>
        <v>1</v>
      </c>
      <c r="AL529" s="624" t="s">
        <v>992</v>
      </c>
      <c r="AM529" s="624" t="s">
        <v>992</v>
      </c>
      <c r="AN529" s="624" t="s">
        <v>992</v>
      </c>
      <c r="AO529" s="624" t="s">
        <v>992</v>
      </c>
      <c r="AP529" s="624" t="s">
        <v>992</v>
      </c>
    </row>
    <row r="530" spans="1:42" ht="12.75" customHeight="1" outlineLevel="1" x14ac:dyDescent="0.2">
      <c r="A530" s="21">
        <v>50</v>
      </c>
      <c r="B530" s="611" t="str">
        <f t="shared" si="76"/>
        <v>Production of hydrogen and synthesis gas</v>
      </c>
      <c r="C530" s="17" t="str">
        <f t="shared" si="76"/>
        <v>Hydrogen and synthesis gas</v>
      </c>
      <c r="D530" s="17" t="str">
        <f t="shared" si="76"/>
        <v>Fuel as process input</v>
      </c>
      <c r="E530" s="17"/>
      <c r="F530" s="151" t="str">
        <f t="shared" si="74"/>
        <v>Standard method: Fuel, Article 24(1)</v>
      </c>
      <c r="G530" s="103" t="str">
        <f>EUconst_NA</f>
        <v>n.a.</v>
      </c>
      <c r="H530" s="613"/>
      <c r="I530" s="150"/>
      <c r="J530" s="150"/>
      <c r="K530" s="150"/>
      <c r="L530" s="613"/>
      <c r="M530" s="613"/>
      <c r="N530" s="613"/>
      <c r="O530" s="146"/>
      <c r="P530" s="103" t="str">
        <f t="shared" si="77"/>
        <v>n.a.</v>
      </c>
      <c r="Q530" s="147" t="str">
        <f t="shared" si="68"/>
        <v>Hydrogen and synthesis gas: Fuel as process input</v>
      </c>
      <c r="R530" s="17"/>
      <c r="S530" s="17" t="str">
        <f t="shared" si="75"/>
        <v>CarbC_Hydrogen and synthesis gas: Fuel as process input</v>
      </c>
      <c r="Z530" s="21" t="b">
        <f t="shared" si="66"/>
        <v>1</v>
      </c>
      <c r="AL530" s="624" t="s">
        <v>992</v>
      </c>
      <c r="AM530" s="624" t="s">
        <v>992</v>
      </c>
      <c r="AN530" s="624" t="s">
        <v>992</v>
      </c>
      <c r="AO530" s="624" t="s">
        <v>992</v>
      </c>
      <c r="AP530" s="624" t="s">
        <v>992</v>
      </c>
    </row>
    <row r="531" spans="1:42" ht="12.75" customHeight="1" outlineLevel="1" x14ac:dyDescent="0.2">
      <c r="A531" s="21">
        <v>51</v>
      </c>
      <c r="B531" s="611" t="str">
        <f t="shared" si="76"/>
        <v>Production of hydrogen and synthesis gas</v>
      </c>
      <c r="C531" s="17" t="str">
        <f t="shared" si="76"/>
        <v>Hydrogen and synthesis gas</v>
      </c>
      <c r="D531" s="17" t="str">
        <f t="shared" si="76"/>
        <v>Mass balance methodology</v>
      </c>
      <c r="E531" s="17"/>
      <c r="F531" s="151" t="str">
        <f t="shared" si="74"/>
        <v>Mass balance method, Article 25</v>
      </c>
      <c r="G531" s="103" t="s">
        <v>1531</v>
      </c>
      <c r="H531" s="149" t="str">
        <f>Translations!$B$493</f>
        <v>Type I default values</v>
      </c>
      <c r="I531" s="149"/>
      <c r="J531" s="149" t="str">
        <f>Translations!$B$528</f>
        <v>Type II default values</v>
      </c>
      <c r="K531" s="149" t="str">
        <f>Translations!$B$1061</f>
        <v>Established proxies (if applicable)</v>
      </c>
      <c r="L531" s="149" t="str">
        <f>Translations!$B$527</f>
        <v>Laboratory analyses</v>
      </c>
      <c r="M531" s="149"/>
      <c r="N531" s="149"/>
      <c r="O531" s="150"/>
      <c r="P531" s="103">
        <f t="shared" si="77"/>
        <v>3</v>
      </c>
      <c r="Q531" s="147" t="str">
        <f t="shared" si="68"/>
        <v>Hydrogen and synthesis gas: Mass balance methodology</v>
      </c>
      <c r="R531" s="17"/>
      <c r="S531" s="17" t="str">
        <f t="shared" si="75"/>
        <v>CarbC_Hydrogen and synthesis gas: Mass balance methodology</v>
      </c>
      <c r="Z531" s="21" t="b">
        <f t="shared" si="66"/>
        <v>0</v>
      </c>
      <c r="AL531" s="624">
        <v>1</v>
      </c>
      <c r="AM531" s="624" t="s">
        <v>992</v>
      </c>
      <c r="AN531" s="624">
        <v>1</v>
      </c>
      <c r="AO531" s="624">
        <v>2</v>
      </c>
      <c r="AP531" s="624">
        <v>2</v>
      </c>
    </row>
    <row r="532" spans="1:42" ht="12.75" customHeight="1" outlineLevel="1" x14ac:dyDescent="0.2">
      <c r="A532" s="21">
        <v>52</v>
      </c>
      <c r="B532" s="611" t="str">
        <f t="shared" si="76"/>
        <v>Production of bulk chemicals</v>
      </c>
      <c r="C532" s="17" t="str">
        <f t="shared" si="76"/>
        <v>Bulk organic chemicals</v>
      </c>
      <c r="D532" s="17" t="str">
        <f t="shared" si="76"/>
        <v>Mass balance methodology</v>
      </c>
      <c r="E532" s="17"/>
      <c r="F532" s="151" t="str">
        <f t="shared" si="74"/>
        <v>Mass balance method, Article 25</v>
      </c>
      <c r="G532" s="103" t="s">
        <v>1531</v>
      </c>
      <c r="H532" s="149" t="str">
        <f>Translations!$B$493</f>
        <v>Type I default values</v>
      </c>
      <c r="I532" s="149"/>
      <c r="J532" s="149" t="str">
        <f>Translations!$B$528</f>
        <v>Type II default values</v>
      </c>
      <c r="K532" s="149" t="str">
        <f>Translations!$B$1061</f>
        <v>Established proxies (if applicable)</v>
      </c>
      <c r="L532" s="149" t="str">
        <f>Translations!$B$527</f>
        <v>Laboratory analyses</v>
      </c>
      <c r="M532" s="149"/>
      <c r="N532" s="149"/>
      <c r="O532" s="150"/>
      <c r="P532" s="103">
        <f t="shared" si="77"/>
        <v>3</v>
      </c>
      <c r="Q532" s="147" t="str">
        <f t="shared" si="68"/>
        <v>Bulk organic chemicals: Mass balance methodology</v>
      </c>
      <c r="R532" s="17"/>
      <c r="S532" s="17" t="str">
        <f t="shared" si="75"/>
        <v>CarbC_Bulk organic chemicals: Mass balance methodology</v>
      </c>
      <c r="Z532" s="21" t="b">
        <f t="shared" si="66"/>
        <v>0</v>
      </c>
      <c r="AL532" s="624">
        <v>1</v>
      </c>
      <c r="AM532" s="624" t="s">
        <v>992</v>
      </c>
      <c r="AN532" s="624">
        <v>1</v>
      </c>
      <c r="AO532" s="624">
        <v>2</v>
      </c>
      <c r="AP532" s="635">
        <v>2</v>
      </c>
    </row>
    <row r="533" spans="1:42" ht="12.75" customHeight="1" outlineLevel="1" x14ac:dyDescent="0.2">
      <c r="A533" s="21">
        <v>53</v>
      </c>
      <c r="B533" s="611" t="str">
        <f t="shared" si="76"/>
        <v>Production or processing of ferrous metals</v>
      </c>
      <c r="C533" s="17" t="str">
        <f t="shared" si="76"/>
        <v>(Non) ferrous, sec. aluminium</v>
      </c>
      <c r="D533" s="17" t="str">
        <f t="shared" si="76"/>
        <v>Process (method A): carbonate only</v>
      </c>
      <c r="E533" s="602"/>
      <c r="F533" s="151" t="str">
        <f t="shared" si="74"/>
        <v>Standard method: Process, Article 24(2)</v>
      </c>
      <c r="G533" s="103" t="str">
        <f>EUconst_NA</f>
        <v>n.a.</v>
      </c>
      <c r="H533" s="149"/>
      <c r="I533" s="149"/>
      <c r="J533" s="151"/>
      <c r="K533" s="151"/>
      <c r="L533" s="149"/>
      <c r="M533" s="149"/>
      <c r="N533" s="149"/>
      <c r="O533" s="150"/>
      <c r="P533" s="103" t="str">
        <f t="shared" si="77"/>
        <v>n.a.</v>
      </c>
      <c r="Q533" s="147" t="str">
        <f t="shared" si="68"/>
        <v>(Non) ferrous, sec. aluminium: Process (method A): carbonate only</v>
      </c>
      <c r="R533" s="17"/>
      <c r="S533" s="17" t="str">
        <f t="shared" si="75"/>
        <v>CarbC_(Non) ferrous, sec. aluminium: Process (method A): carbonate only</v>
      </c>
      <c r="Z533" s="21" t="b">
        <f t="shared" si="66"/>
        <v>1</v>
      </c>
      <c r="AL533" s="624" t="s">
        <v>992</v>
      </c>
      <c r="AM533" s="624" t="s">
        <v>992</v>
      </c>
      <c r="AN533" s="624" t="s">
        <v>992</v>
      </c>
      <c r="AO533" s="624" t="s">
        <v>992</v>
      </c>
      <c r="AP533" s="624" t="s">
        <v>992</v>
      </c>
    </row>
    <row r="534" spans="1:42" ht="12.75" customHeight="1" outlineLevel="1" x14ac:dyDescent="0.2">
      <c r="A534" s="21">
        <v>54</v>
      </c>
      <c r="B534" s="611" t="str">
        <f t="shared" si="76"/>
        <v>Production or processing of ferrous metals</v>
      </c>
      <c r="C534" s="17" t="str">
        <f t="shared" si="76"/>
        <v>(Non) ferrous, sec. aluminium</v>
      </c>
      <c r="D534" s="17" t="str">
        <f t="shared" si="76"/>
        <v>Process (method A): mixed (carbonate + non-carbonate)</v>
      </c>
      <c r="E534" s="602"/>
      <c r="F534" s="151" t="str">
        <f t="shared" si="74"/>
        <v>Standard method: Process, Article 24(2)</v>
      </c>
      <c r="G534" s="103" t="str">
        <f>EUconst_NA</f>
        <v>n.a.</v>
      </c>
      <c r="H534" s="613"/>
      <c r="I534" s="150"/>
      <c r="J534" s="150"/>
      <c r="K534" s="150"/>
      <c r="L534" s="613"/>
      <c r="M534" s="613"/>
      <c r="N534" s="613"/>
      <c r="O534" s="148"/>
      <c r="P534" s="103" t="str">
        <f t="shared" si="77"/>
        <v>n.a.</v>
      </c>
      <c r="Q534" s="147" t="str">
        <f t="shared" si="68"/>
        <v>(Non) ferrous, sec. aluminium: Process (method A): mixed (carbonate + non-carbonate)</v>
      </c>
      <c r="R534" s="17"/>
      <c r="S534" s="17" t="str">
        <f t="shared" si="75"/>
        <v>CarbC_(Non) ferrous, sec. aluminium: Process (method A): mixed (carbonate + non-carbonate)</v>
      </c>
      <c r="Z534" s="21" t="b">
        <f t="shared" si="66"/>
        <v>1</v>
      </c>
      <c r="AL534" s="624" t="s">
        <v>992</v>
      </c>
      <c r="AM534" s="624" t="s">
        <v>992</v>
      </c>
      <c r="AN534" s="624" t="s">
        <v>992</v>
      </c>
      <c r="AO534" s="624" t="s">
        <v>992</v>
      </c>
      <c r="AP534" s="624" t="s">
        <v>992</v>
      </c>
    </row>
    <row r="535" spans="1:42" ht="12.75" customHeight="1" outlineLevel="1" x14ac:dyDescent="0.2">
      <c r="A535" s="21">
        <v>55</v>
      </c>
      <c r="B535" s="611" t="str">
        <f t="shared" si="76"/>
        <v>Production or processing of ferrous metals</v>
      </c>
      <c r="C535" s="17" t="str">
        <f t="shared" si="76"/>
        <v>(Non) ferrous, sec. aluminium</v>
      </c>
      <c r="D535" s="17" t="str">
        <f t="shared" si="76"/>
        <v>Process (method A): non-carbonate</v>
      </c>
      <c r="E535" s="602"/>
      <c r="F535" s="151" t="str">
        <f t="shared" si="74"/>
        <v>Standard method: Process, Article 24(2)</v>
      </c>
      <c r="G535" s="103" t="str">
        <f>EUconst_NA</f>
        <v>n.a.</v>
      </c>
      <c r="H535" s="613"/>
      <c r="I535" s="150"/>
      <c r="J535" s="150"/>
      <c r="K535" s="150"/>
      <c r="L535" s="613"/>
      <c r="M535" s="613"/>
      <c r="N535" s="613"/>
      <c r="O535" s="148"/>
      <c r="P535" s="103" t="str">
        <f t="shared" si="77"/>
        <v>n.a.</v>
      </c>
      <c r="Q535" s="147" t="str">
        <f t="shared" si="68"/>
        <v>(Non) ferrous, sec. aluminium: Process (method A): non-carbonate</v>
      </c>
      <c r="R535" s="17"/>
      <c r="S535" s="17" t="str">
        <f t="shared" si="75"/>
        <v>CarbC_(Non) ferrous, sec. aluminium: Process (method A): non-carbonate</v>
      </c>
      <c r="Z535" s="21" t="b">
        <f t="shared" si="66"/>
        <v>1</v>
      </c>
      <c r="AL535" s="624" t="s">
        <v>992</v>
      </c>
      <c r="AM535" s="624" t="s">
        <v>992</v>
      </c>
      <c r="AN535" s="624" t="s">
        <v>992</v>
      </c>
      <c r="AO535" s="624" t="s">
        <v>992</v>
      </c>
      <c r="AP535" s="624" t="s">
        <v>992</v>
      </c>
    </row>
    <row r="536" spans="1:42" ht="12.75" customHeight="1" outlineLevel="1" x14ac:dyDescent="0.2">
      <c r="A536" s="21">
        <v>56</v>
      </c>
      <c r="B536" s="611" t="str">
        <f t="shared" si="76"/>
        <v>Production or processing of ferrous metals</v>
      </c>
      <c r="C536" s="17" t="str">
        <f t="shared" si="76"/>
        <v>(Non) ferrous, sec. aluminium</v>
      </c>
      <c r="D536" s="17" t="str">
        <f t="shared" si="76"/>
        <v>Process (method B): oxide output</v>
      </c>
      <c r="E536" s="602"/>
      <c r="F536" s="151" t="str">
        <f t="shared" si="74"/>
        <v>Standard method: Process, Article 24(2)</v>
      </c>
      <c r="G536" s="103" t="str">
        <f>EUconst_NA</f>
        <v>n.a.</v>
      </c>
      <c r="H536" s="149"/>
      <c r="I536" s="149"/>
      <c r="J536" s="151"/>
      <c r="K536" s="151"/>
      <c r="L536" s="149"/>
      <c r="M536" s="149"/>
      <c r="N536" s="149"/>
      <c r="O536" s="150"/>
      <c r="P536" s="103" t="str">
        <f t="shared" si="77"/>
        <v>n.a.</v>
      </c>
      <c r="Q536" s="147" t="str">
        <f t="shared" si="68"/>
        <v>(Non) ferrous, sec. aluminium: Process (method B): oxide output</v>
      </c>
      <c r="R536" s="17"/>
      <c r="S536" s="17" t="str">
        <f t="shared" si="75"/>
        <v>CarbC_(Non) ferrous, sec. aluminium: Process (method B): oxide output</v>
      </c>
      <c r="Z536" s="21" t="b">
        <f t="shared" si="66"/>
        <v>1</v>
      </c>
      <c r="AL536" s="624" t="s">
        <v>992</v>
      </c>
      <c r="AM536" s="624" t="s">
        <v>992</v>
      </c>
      <c r="AN536" s="624" t="s">
        <v>992</v>
      </c>
      <c r="AO536" s="624" t="s">
        <v>992</v>
      </c>
      <c r="AP536" s="624" t="s">
        <v>992</v>
      </c>
    </row>
    <row r="537" spans="1:42" ht="12.75" customHeight="1" outlineLevel="1" x14ac:dyDescent="0.2">
      <c r="A537" s="21">
        <v>57</v>
      </c>
      <c r="B537" s="611" t="str">
        <f t="shared" si="76"/>
        <v>Production or processing of ferrous metals</v>
      </c>
      <c r="C537" s="17" t="str">
        <f t="shared" si="76"/>
        <v>(Non) ferrous, sec. aluminium</v>
      </c>
      <c r="D537" s="17" t="str">
        <f t="shared" si="76"/>
        <v>Mass balance methodology</v>
      </c>
      <c r="E537" s="17"/>
      <c r="F537" s="151" t="str">
        <f t="shared" si="74"/>
        <v>Mass balance method, Article 25</v>
      </c>
      <c r="G537" s="103" t="s">
        <v>1531</v>
      </c>
      <c r="H537" s="149" t="str">
        <f>Translations!$B$493</f>
        <v>Type I default values</v>
      </c>
      <c r="I537" s="149"/>
      <c r="J537" s="149" t="str">
        <f>Translations!$B$528</f>
        <v>Type II default values</v>
      </c>
      <c r="K537" s="149" t="str">
        <f>Translations!$B$1061</f>
        <v>Established proxies (if applicable)</v>
      </c>
      <c r="L537" s="149" t="str">
        <f>Translations!$B$527</f>
        <v>Laboratory analyses</v>
      </c>
      <c r="M537" s="149"/>
      <c r="N537" s="149"/>
      <c r="O537" s="150"/>
      <c r="P537" s="103">
        <f t="shared" si="77"/>
        <v>3</v>
      </c>
      <c r="Q537" s="147" t="str">
        <f t="shared" si="68"/>
        <v>(Non) ferrous, sec. aluminium: Mass balance methodology</v>
      </c>
      <c r="R537" s="17"/>
      <c r="S537" s="17" t="str">
        <f t="shared" si="75"/>
        <v>CarbC_(Non) ferrous, sec. aluminium: Mass balance methodology</v>
      </c>
      <c r="Z537" s="21" t="b">
        <f t="shared" si="66"/>
        <v>0</v>
      </c>
      <c r="AL537" s="624">
        <v>1</v>
      </c>
      <c r="AM537" s="624" t="s">
        <v>992</v>
      </c>
      <c r="AN537" s="624">
        <v>1</v>
      </c>
      <c r="AO537" s="624">
        <v>2</v>
      </c>
      <c r="AP537" s="624">
        <v>2</v>
      </c>
    </row>
    <row r="538" spans="1:42" ht="12.75" customHeight="1" outlineLevel="1" x14ac:dyDescent="0.2">
      <c r="A538" s="21">
        <v>58</v>
      </c>
      <c r="B538" s="611" t="str">
        <f t="shared" si="76"/>
        <v>Production of soda ash and sodium bicarbonate</v>
      </c>
      <c r="C538" s="17" t="str">
        <f t="shared" si="76"/>
        <v>Soda ash / sodium bicarbonate</v>
      </c>
      <c r="D538" s="17" t="str">
        <f t="shared" si="76"/>
        <v>Mass balance methodology</v>
      </c>
      <c r="E538" s="17"/>
      <c r="F538" s="151" t="str">
        <f t="shared" si="74"/>
        <v>Mass balance method, Article 25</v>
      </c>
      <c r="G538" s="103" t="s">
        <v>1531</v>
      </c>
      <c r="H538" s="149" t="str">
        <f>Translations!$B$493</f>
        <v>Type I default values</v>
      </c>
      <c r="I538" s="149"/>
      <c r="J538" s="149" t="str">
        <f>Translations!$B$528</f>
        <v>Type II default values</v>
      </c>
      <c r="K538" s="149" t="str">
        <f>Translations!$B$1061</f>
        <v>Established proxies (if applicable)</v>
      </c>
      <c r="L538" s="149" t="str">
        <f>Translations!$B$527</f>
        <v>Laboratory analyses</v>
      </c>
      <c r="M538" s="149"/>
      <c r="N538" s="149"/>
      <c r="O538" s="150"/>
      <c r="P538" s="103">
        <f t="shared" si="77"/>
        <v>3</v>
      </c>
      <c r="Q538" s="147" t="str">
        <f t="shared" si="68"/>
        <v>Soda ash / sodium bicarbonate: Mass balance methodology</v>
      </c>
      <c r="R538" s="17"/>
      <c r="S538" s="17" t="str">
        <f t="shared" si="75"/>
        <v>CarbC_Soda ash / sodium bicarbonate: Mass balance methodology</v>
      </c>
      <c r="W538" s="226"/>
      <c r="Z538" s="21" t="b">
        <f t="shared" si="66"/>
        <v>0</v>
      </c>
      <c r="AL538" s="624">
        <v>1</v>
      </c>
      <c r="AM538" s="624" t="s">
        <v>992</v>
      </c>
      <c r="AN538" s="624">
        <v>1</v>
      </c>
      <c r="AO538" s="624">
        <v>2</v>
      </c>
      <c r="AP538" s="624">
        <v>2</v>
      </c>
    </row>
    <row r="539" spans="1:42" ht="12.75" customHeight="1" outlineLevel="1" x14ac:dyDescent="0.2">
      <c r="A539" s="21">
        <v>59</v>
      </c>
      <c r="B539" s="611" t="str">
        <f t="shared" si="76"/>
        <v>Production of primary aluminium</v>
      </c>
      <c r="C539" s="17" t="str">
        <f t="shared" si="76"/>
        <v>Primary aluminium</v>
      </c>
      <c r="D539" s="17" t="str">
        <f t="shared" si="76"/>
        <v>Mass balance methodology</v>
      </c>
      <c r="E539" s="17"/>
      <c r="F539" s="151" t="str">
        <f t="shared" si="74"/>
        <v>Mass balance method, Article 25</v>
      </c>
      <c r="G539" s="103" t="s">
        <v>1531</v>
      </c>
      <c r="H539" s="149" t="str">
        <f>Translations!$B$493</f>
        <v>Type I default values</v>
      </c>
      <c r="I539" s="149"/>
      <c r="J539" s="149" t="str">
        <f>Translations!$B$528</f>
        <v>Type II default values</v>
      </c>
      <c r="K539" s="149" t="str">
        <f>Translations!$B$1061</f>
        <v>Established proxies (if applicable)</v>
      </c>
      <c r="L539" s="149" t="str">
        <f>Translations!$B$527</f>
        <v>Laboratory analyses</v>
      </c>
      <c r="M539" s="149"/>
      <c r="N539" s="149"/>
      <c r="O539" s="150"/>
      <c r="P539" s="103">
        <f t="shared" si="77"/>
        <v>3</v>
      </c>
      <c r="Q539" s="147" t="str">
        <f t="shared" si="68"/>
        <v>Primary aluminium: Mass balance methodology</v>
      </c>
      <c r="R539" s="17"/>
      <c r="S539" s="17" t="str">
        <f t="shared" si="75"/>
        <v>CarbC_Primary aluminium: Mass balance methodology</v>
      </c>
      <c r="Z539" s="21" t="b">
        <f t="shared" si="66"/>
        <v>0</v>
      </c>
      <c r="AL539" s="624">
        <v>1</v>
      </c>
      <c r="AM539" s="624" t="s">
        <v>992</v>
      </c>
      <c r="AN539" s="624">
        <v>1</v>
      </c>
      <c r="AO539" s="624">
        <v>2</v>
      </c>
      <c r="AP539" s="624">
        <v>2</v>
      </c>
    </row>
    <row r="540" spans="1:42" ht="12.75" customHeight="1" outlineLevel="1" x14ac:dyDescent="0.2">
      <c r="A540" s="21">
        <v>60</v>
      </c>
      <c r="B540" s="611" t="str">
        <f t="shared" si="76"/>
        <v>Production of primary aluminium</v>
      </c>
      <c r="C540" s="17" t="str">
        <f t="shared" si="76"/>
        <v>Primary aluminium</v>
      </c>
      <c r="D540" s="17" t="str">
        <f t="shared" si="76"/>
        <v>PFC emissions (slope method)</v>
      </c>
      <c r="E540" s="17"/>
      <c r="F540" s="151" t="str">
        <f t="shared" si="74"/>
        <v>Calculation with special provisions for PFC (Annex IV section 8)</v>
      </c>
      <c r="G540" s="103" t="str">
        <f>EUconst_NA</f>
        <v>n.a.</v>
      </c>
      <c r="H540" s="149"/>
      <c r="I540" s="149"/>
      <c r="J540" s="151"/>
      <c r="K540" s="151"/>
      <c r="L540" s="149"/>
      <c r="M540" s="149"/>
      <c r="N540" s="149"/>
      <c r="O540" s="150"/>
      <c r="P540" s="103" t="str">
        <f t="shared" si="77"/>
        <v>n.a.</v>
      </c>
      <c r="Q540" s="147" t="str">
        <f t="shared" si="68"/>
        <v>Primary aluminium: PFC emissions (slope method)</v>
      </c>
      <c r="R540" s="17"/>
      <c r="S540" s="17" t="str">
        <f t="shared" si="75"/>
        <v>CarbC_Primary aluminium: PFC emissions (slope method)</v>
      </c>
      <c r="Z540" s="21" t="b">
        <f t="shared" si="66"/>
        <v>1</v>
      </c>
      <c r="AL540" s="624" t="s">
        <v>992</v>
      </c>
      <c r="AM540" s="624" t="s">
        <v>992</v>
      </c>
      <c r="AN540" s="624" t="s">
        <v>992</v>
      </c>
      <c r="AO540" s="624" t="s">
        <v>992</v>
      </c>
      <c r="AP540" s="624" t="s">
        <v>992</v>
      </c>
    </row>
    <row r="541" spans="1:42" ht="12.75" customHeight="1" outlineLevel="1" x14ac:dyDescent="0.2">
      <c r="A541" s="21">
        <v>61</v>
      </c>
      <c r="B541" s="611" t="str">
        <f t="shared" ref="B541:D550" si="78">B469</f>
        <v>Production of primary aluminium</v>
      </c>
      <c r="C541" s="17" t="str">
        <f t="shared" si="78"/>
        <v>Primary aluminium</v>
      </c>
      <c r="D541" s="17" t="str">
        <f t="shared" si="78"/>
        <v>PFC emissions (overvoltage method)</v>
      </c>
      <c r="E541" s="17"/>
      <c r="F541" s="151" t="str">
        <f t="shared" si="74"/>
        <v>Calculation with special provisions for PFC (Annex IV section 8)</v>
      </c>
      <c r="G541" s="103" t="str">
        <f>EUconst_NA</f>
        <v>n.a.</v>
      </c>
      <c r="H541" s="149"/>
      <c r="I541" s="149"/>
      <c r="J541" s="151"/>
      <c r="K541" s="151"/>
      <c r="L541" s="149"/>
      <c r="M541" s="149"/>
      <c r="N541" s="149"/>
      <c r="O541" s="150"/>
      <c r="P541" s="103" t="str">
        <f t="shared" si="77"/>
        <v>n.a.</v>
      </c>
      <c r="Q541" s="147" t="str">
        <f t="shared" si="68"/>
        <v>Primary aluminium: PFC emissions (overvoltage method)</v>
      </c>
      <c r="R541" s="17"/>
      <c r="S541" s="17" t="str">
        <f t="shared" si="75"/>
        <v>CarbC_Primary aluminium: PFC emissions (overvoltage method)</v>
      </c>
      <c r="Z541" s="21" t="b">
        <f t="shared" ref="Z541:Z551" si="79">IF(G541=EUconst_NA,TRUE,FALSE)</f>
        <v>1</v>
      </c>
      <c r="AL541" s="624" t="s">
        <v>992</v>
      </c>
      <c r="AM541" s="624" t="s">
        <v>992</v>
      </c>
      <c r="AN541" s="624" t="s">
        <v>992</v>
      </c>
      <c r="AO541" s="624" t="s">
        <v>992</v>
      </c>
      <c r="AP541" s="624" t="s">
        <v>992</v>
      </c>
    </row>
    <row r="542" spans="1:42" ht="12.75" customHeight="1" outlineLevel="1" x14ac:dyDescent="0.2">
      <c r="A542" s="21">
        <v>62</v>
      </c>
      <c r="B542" s="611" t="str">
        <f t="shared" si="78"/>
        <v>Capture of greenhouse gases under Directive 2009/31/EC</v>
      </c>
      <c r="C542" s="17" t="str">
        <f t="shared" si="78"/>
        <v>CCS: Capture</v>
      </c>
      <c r="D542" s="17" t="str">
        <f t="shared" si="78"/>
        <v>CO2 transferred</v>
      </c>
      <c r="E542" s="17"/>
      <c r="F542" s="151" t="str">
        <f t="shared" ref="F542:F550" si="80">F470</f>
        <v>Mass balance method, Article 25</v>
      </c>
      <c r="G542" s="103">
        <v>2</v>
      </c>
      <c r="H542" s="149" t="str">
        <f>Translations!$B$493</f>
        <v>Type I default values</v>
      </c>
      <c r="I542" s="149"/>
      <c r="J542" s="151" t="str">
        <f>Translations!$B$528</f>
        <v>Type II default values</v>
      </c>
      <c r="K542" s="151" t="str">
        <f>Translations!$B$1061</f>
        <v>Established proxies (if applicable)</v>
      </c>
      <c r="L542" s="149" t="str">
        <f>Translations!$B$527</f>
        <v>Laboratory analyses</v>
      </c>
      <c r="M542" s="149"/>
      <c r="N542" s="149"/>
      <c r="O542" s="150"/>
      <c r="P542" s="103">
        <f t="shared" ref="P542:P550" si="81">IF(G542=EUconst_NA,EUconst_NA,IF(ISBLANK(J542),COUNTA(H542:O542),COUNTA(H542,J542,L542)))</f>
        <v>3</v>
      </c>
      <c r="Q542" s="147" t="str">
        <f t="shared" ref="Q542:Q550" si="82">C542 &amp; ": " &amp;D542</f>
        <v>CCS: Capture: CO2 transferred</v>
      </c>
      <c r="R542" s="17"/>
      <c r="S542" s="17" t="str">
        <f t="shared" ref="S542:S550" si="83">EUconst_CNTR_CarbonContent&amp;Q542</f>
        <v>CarbC_CCS: Capture: CO2 transferred</v>
      </c>
      <c r="Z542" s="21" t="b">
        <f t="shared" si="79"/>
        <v>0</v>
      </c>
      <c r="AL542" s="624">
        <v>1</v>
      </c>
      <c r="AM542" s="624" t="s">
        <v>992</v>
      </c>
      <c r="AN542" s="624">
        <v>1</v>
      </c>
      <c r="AO542" s="624">
        <v>2</v>
      </c>
      <c r="AP542" s="624">
        <v>2</v>
      </c>
    </row>
    <row r="543" spans="1:42" ht="12.75" customHeight="1" outlineLevel="1" x14ac:dyDescent="0.2">
      <c r="A543" s="21">
        <v>63</v>
      </c>
      <c r="B543" s="611" t="str">
        <f t="shared" si="78"/>
        <v>Transport of greenhouse gases under Directive 2009/31/EC</v>
      </c>
      <c r="C543" s="17" t="str">
        <f t="shared" si="78"/>
        <v>CCS: Transport</v>
      </c>
      <c r="D543" s="17" t="str">
        <f t="shared" si="78"/>
        <v>CO2 transferred</v>
      </c>
      <c r="E543" s="17"/>
      <c r="F543" s="151" t="str">
        <f t="shared" si="80"/>
        <v>Mass balance method, Article 25</v>
      </c>
      <c r="G543" s="103">
        <v>2</v>
      </c>
      <c r="H543" s="149" t="str">
        <f>Translations!$B$493</f>
        <v>Type I default values</v>
      </c>
      <c r="I543" s="149"/>
      <c r="J543" s="151" t="str">
        <f>Translations!$B$528</f>
        <v>Type II default values</v>
      </c>
      <c r="K543" s="151" t="str">
        <f>Translations!$B$1061</f>
        <v>Established proxies (if applicable)</v>
      </c>
      <c r="L543" s="149" t="str">
        <f>Translations!$B$527</f>
        <v>Laboratory analyses</v>
      </c>
      <c r="M543" s="149"/>
      <c r="N543" s="149"/>
      <c r="O543" s="150"/>
      <c r="P543" s="103">
        <f t="shared" si="81"/>
        <v>3</v>
      </c>
      <c r="Q543" s="147" t="str">
        <f t="shared" si="82"/>
        <v>CCS: Transport: CO2 transferred</v>
      </c>
      <c r="R543" s="17"/>
      <c r="S543" s="17" t="str">
        <f t="shared" si="83"/>
        <v>CarbC_CCS: Transport: CO2 transferred</v>
      </c>
      <c r="Z543" s="21" t="b">
        <f t="shared" si="79"/>
        <v>0</v>
      </c>
      <c r="AL543" s="624">
        <v>1</v>
      </c>
      <c r="AM543" s="624" t="s">
        <v>992</v>
      </c>
      <c r="AN543" s="624">
        <v>1</v>
      </c>
      <c r="AO543" s="624">
        <v>2</v>
      </c>
      <c r="AP543" s="624">
        <v>2</v>
      </c>
    </row>
    <row r="544" spans="1:42" ht="12.75" customHeight="1" outlineLevel="1" x14ac:dyDescent="0.2">
      <c r="A544" s="21">
        <v>64</v>
      </c>
      <c r="B544" s="611" t="str">
        <f t="shared" si="78"/>
        <v>Transport of greenhouse gases under Directive 2009/31/EC</v>
      </c>
      <c r="C544" s="17" t="str">
        <f t="shared" si="78"/>
        <v>CCS: Transport</v>
      </c>
      <c r="D544" s="17" t="str">
        <f t="shared" si="78"/>
        <v>CO2 vented</v>
      </c>
      <c r="E544" s="17"/>
      <c r="F544" s="151" t="str">
        <f t="shared" si="80"/>
        <v>Standard method: Process, Article 24(2)</v>
      </c>
      <c r="G544" s="103" t="str">
        <f>EUconst_NA</f>
        <v>n.a.</v>
      </c>
      <c r="H544" s="149"/>
      <c r="I544" s="149"/>
      <c r="J544" s="151"/>
      <c r="K544" s="151"/>
      <c r="L544" s="149"/>
      <c r="M544" s="149"/>
      <c r="N544" s="149"/>
      <c r="O544" s="150"/>
      <c r="P544" s="103" t="str">
        <f t="shared" si="81"/>
        <v>n.a.</v>
      </c>
      <c r="Q544" s="147" t="str">
        <f t="shared" si="82"/>
        <v>CCS: Transport: CO2 vented</v>
      </c>
      <c r="R544" s="17"/>
      <c r="S544" s="17" t="str">
        <f t="shared" si="83"/>
        <v>CarbC_CCS: Transport: CO2 vented</v>
      </c>
      <c r="Z544" s="21" t="b">
        <f t="shared" si="79"/>
        <v>1</v>
      </c>
      <c r="AL544" s="624"/>
      <c r="AM544" s="624"/>
      <c r="AN544" s="624"/>
      <c r="AO544" s="624"/>
      <c r="AP544" s="624"/>
    </row>
    <row r="545" spans="1:44" ht="12.75" customHeight="1" outlineLevel="1" x14ac:dyDescent="0.2">
      <c r="A545" s="21">
        <v>65</v>
      </c>
      <c r="B545" s="611" t="str">
        <f t="shared" si="78"/>
        <v>Transport of greenhouse gases under Directive 2009/31/EC</v>
      </c>
      <c r="C545" s="17" t="str">
        <f t="shared" si="78"/>
        <v>CCS: Transport</v>
      </c>
      <c r="D545" s="17" t="str">
        <f t="shared" si="78"/>
        <v>CO2 leaked</v>
      </c>
      <c r="E545" s="17"/>
      <c r="F545" s="151" t="str">
        <f t="shared" si="80"/>
        <v>Standard method: Process, Article 24(2)</v>
      </c>
      <c r="G545" s="103" t="str">
        <f>EUconst_NA</f>
        <v>n.a.</v>
      </c>
      <c r="H545" s="149"/>
      <c r="I545" s="149"/>
      <c r="J545" s="151"/>
      <c r="K545" s="151"/>
      <c r="L545" s="149"/>
      <c r="M545" s="149"/>
      <c r="N545" s="149"/>
      <c r="O545" s="150"/>
      <c r="P545" s="103" t="str">
        <f t="shared" si="81"/>
        <v>n.a.</v>
      </c>
      <c r="Q545" s="147" t="str">
        <f t="shared" si="82"/>
        <v>CCS: Transport: CO2 leaked</v>
      </c>
      <c r="R545" s="17"/>
      <c r="S545" s="17" t="str">
        <f t="shared" si="83"/>
        <v>CarbC_CCS: Transport: CO2 leaked</v>
      </c>
      <c r="Z545" s="21" t="b">
        <f t="shared" si="79"/>
        <v>1</v>
      </c>
      <c r="AL545" s="624"/>
      <c r="AM545" s="624"/>
      <c r="AN545" s="624"/>
      <c r="AO545" s="624"/>
      <c r="AP545" s="624"/>
    </row>
    <row r="546" spans="1:44" ht="12.75" customHeight="1" outlineLevel="1" x14ac:dyDescent="0.2">
      <c r="A546" s="21">
        <v>66</v>
      </c>
      <c r="B546" s="611" t="str">
        <f t="shared" si="78"/>
        <v>Transport of greenhouse gases under Directive 2009/31/EC</v>
      </c>
      <c r="C546" s="17" t="str">
        <f t="shared" si="78"/>
        <v>CCS: Transport</v>
      </c>
      <c r="D546" s="17" t="str">
        <f t="shared" si="78"/>
        <v>CO2 fugitive</v>
      </c>
      <c r="E546" s="17"/>
      <c r="F546" s="151" t="str">
        <f t="shared" si="80"/>
        <v>Standard method: Process, Article 24(2)</v>
      </c>
      <c r="G546" s="103" t="str">
        <f>EUconst_NA</f>
        <v>n.a.</v>
      </c>
      <c r="H546" s="149"/>
      <c r="I546" s="149"/>
      <c r="J546" s="151"/>
      <c r="K546" s="151"/>
      <c r="L546" s="149"/>
      <c r="M546" s="149"/>
      <c r="N546" s="149"/>
      <c r="O546" s="150"/>
      <c r="P546" s="103" t="str">
        <f t="shared" si="81"/>
        <v>n.a.</v>
      </c>
      <c r="Q546" s="147" t="str">
        <f t="shared" si="82"/>
        <v>CCS: Transport: CO2 fugitive</v>
      </c>
      <c r="R546" s="17"/>
      <c r="S546" s="17" t="str">
        <f t="shared" si="83"/>
        <v>CarbC_CCS: Transport: CO2 fugitive</v>
      </c>
      <c r="Z546" s="21" t="b">
        <f t="shared" si="79"/>
        <v>1</v>
      </c>
      <c r="AL546" s="624"/>
      <c r="AM546" s="624"/>
      <c r="AN546" s="624"/>
      <c r="AO546" s="624"/>
      <c r="AP546" s="624"/>
    </row>
    <row r="547" spans="1:44" ht="12.75" customHeight="1" outlineLevel="1" x14ac:dyDescent="0.2">
      <c r="A547" s="21">
        <v>67</v>
      </c>
      <c r="B547" s="611" t="str">
        <f t="shared" si="78"/>
        <v>Storage of greenhouse gases under Directive 2009/31/EC</v>
      </c>
      <c r="C547" s="17" t="str">
        <f t="shared" si="78"/>
        <v>CCS: Storage</v>
      </c>
      <c r="D547" s="17" t="str">
        <f t="shared" si="78"/>
        <v>CO2 transferred</v>
      </c>
      <c r="E547" s="17"/>
      <c r="F547" s="151" t="str">
        <f t="shared" si="80"/>
        <v>Mass balance method, Article 25</v>
      </c>
      <c r="G547" s="103">
        <v>2</v>
      </c>
      <c r="H547" s="149" t="str">
        <f>Translations!$B$493</f>
        <v>Type I default values</v>
      </c>
      <c r="I547" s="149"/>
      <c r="J547" s="151" t="str">
        <f>Translations!$B$528</f>
        <v>Type II default values</v>
      </c>
      <c r="K547" s="151" t="str">
        <f>Translations!$B$1061</f>
        <v>Established proxies (if applicable)</v>
      </c>
      <c r="L547" s="149" t="str">
        <f>Translations!$B$527</f>
        <v>Laboratory analyses</v>
      </c>
      <c r="M547" s="149"/>
      <c r="N547" s="149"/>
      <c r="O547" s="150"/>
      <c r="P547" s="103">
        <f t="shared" si="81"/>
        <v>3</v>
      </c>
      <c r="Q547" s="147" t="str">
        <f t="shared" si="82"/>
        <v>CCS: Storage: CO2 transferred</v>
      </c>
      <c r="R547" s="17"/>
      <c r="S547" s="17" t="str">
        <f t="shared" si="83"/>
        <v>CarbC_CCS: Storage: CO2 transferred</v>
      </c>
      <c r="Z547" s="21" t="b">
        <f t="shared" si="79"/>
        <v>0</v>
      </c>
      <c r="AL547" s="624">
        <v>1</v>
      </c>
      <c r="AM547" s="624" t="s">
        <v>992</v>
      </c>
      <c r="AN547" s="624">
        <v>1</v>
      </c>
      <c r="AO547" s="624">
        <v>2</v>
      </c>
      <c r="AP547" s="624">
        <v>2</v>
      </c>
    </row>
    <row r="548" spans="1:44" ht="12.75" customHeight="1" outlineLevel="1" x14ac:dyDescent="0.2">
      <c r="A548" s="21">
        <v>68</v>
      </c>
      <c r="B548" s="611" t="str">
        <f t="shared" si="78"/>
        <v>Storage of greenhouse gases under Directive 2009/31/EC</v>
      </c>
      <c r="C548" s="17" t="str">
        <f t="shared" si="78"/>
        <v>CCS: Storage</v>
      </c>
      <c r="D548" s="17" t="str">
        <f t="shared" si="78"/>
        <v>CO2 vented</v>
      </c>
      <c r="E548" s="17"/>
      <c r="F548" s="151" t="str">
        <f t="shared" si="80"/>
        <v>Standard method: Process, Article 24(2)</v>
      </c>
      <c r="G548" s="103" t="str">
        <f>EUconst_NA</f>
        <v>n.a.</v>
      </c>
      <c r="H548" s="149"/>
      <c r="I548" s="149"/>
      <c r="J548" s="151"/>
      <c r="K548" s="151"/>
      <c r="L548" s="149"/>
      <c r="M548" s="149"/>
      <c r="N548" s="149"/>
      <c r="O548" s="150"/>
      <c r="P548" s="103" t="str">
        <f t="shared" si="81"/>
        <v>n.a.</v>
      </c>
      <c r="Q548" s="147" t="str">
        <f t="shared" si="82"/>
        <v>CCS: Storage: CO2 vented</v>
      </c>
      <c r="R548" s="17"/>
      <c r="S548" s="17" t="str">
        <f t="shared" si="83"/>
        <v>CarbC_CCS: Storage: CO2 vented</v>
      </c>
      <c r="Z548" s="21" t="b">
        <f t="shared" si="79"/>
        <v>1</v>
      </c>
      <c r="AL548" s="624"/>
      <c r="AM548" s="624"/>
      <c r="AN548" s="624"/>
      <c r="AO548" s="624"/>
      <c r="AP548" s="624"/>
    </row>
    <row r="549" spans="1:44" ht="12.75" customHeight="1" outlineLevel="1" x14ac:dyDescent="0.2">
      <c r="A549" s="21">
        <v>69</v>
      </c>
      <c r="B549" s="611" t="str">
        <f t="shared" si="78"/>
        <v>Storage of greenhouse gases under Directive 2009/31/EC</v>
      </c>
      <c r="C549" s="17" t="str">
        <f t="shared" si="78"/>
        <v>CCS: Storage</v>
      </c>
      <c r="D549" s="17" t="str">
        <f t="shared" si="78"/>
        <v>CO2 leaked</v>
      </c>
      <c r="E549" s="17"/>
      <c r="F549" s="151" t="str">
        <f t="shared" si="80"/>
        <v>Standard method: Process, Article 24(2)</v>
      </c>
      <c r="G549" s="103" t="str">
        <f>EUconst_NA</f>
        <v>n.a.</v>
      </c>
      <c r="H549" s="149"/>
      <c r="I549" s="149"/>
      <c r="J549" s="151"/>
      <c r="K549" s="151"/>
      <c r="L549" s="149"/>
      <c r="M549" s="149"/>
      <c r="N549" s="149"/>
      <c r="O549" s="150"/>
      <c r="P549" s="103" t="str">
        <f t="shared" si="81"/>
        <v>n.a.</v>
      </c>
      <c r="Q549" s="147" t="str">
        <f t="shared" si="82"/>
        <v>CCS: Storage: CO2 leaked</v>
      </c>
      <c r="R549" s="17"/>
      <c r="S549" s="17" t="str">
        <f t="shared" si="83"/>
        <v>CarbC_CCS: Storage: CO2 leaked</v>
      </c>
      <c r="Z549" s="21" t="b">
        <f t="shared" si="79"/>
        <v>1</v>
      </c>
      <c r="AL549" s="624"/>
      <c r="AM549" s="624"/>
      <c r="AN549" s="624"/>
      <c r="AO549" s="624"/>
      <c r="AP549" s="624"/>
    </row>
    <row r="550" spans="1:44" ht="12.75" customHeight="1" outlineLevel="1" x14ac:dyDescent="0.2">
      <c r="A550" s="21">
        <v>70</v>
      </c>
      <c r="B550" s="611" t="str">
        <f t="shared" si="78"/>
        <v>Storage of greenhouse gases under Directive 2009/31/EC</v>
      </c>
      <c r="C550" s="17" t="str">
        <f t="shared" si="78"/>
        <v>CCS: Storage</v>
      </c>
      <c r="D550" s="17" t="str">
        <f t="shared" si="78"/>
        <v>CO2 fugitive</v>
      </c>
      <c r="E550" s="17"/>
      <c r="F550" s="151" t="str">
        <f t="shared" si="80"/>
        <v>Standard method: Process, Article 24(2)</v>
      </c>
      <c r="G550" s="103" t="str">
        <f>EUconst_NA</f>
        <v>n.a.</v>
      </c>
      <c r="H550" s="149"/>
      <c r="I550" s="149"/>
      <c r="J550" s="151"/>
      <c r="K550" s="151"/>
      <c r="L550" s="149"/>
      <c r="M550" s="149"/>
      <c r="N550" s="149"/>
      <c r="O550" s="150"/>
      <c r="P550" s="103" t="str">
        <f t="shared" si="81"/>
        <v>n.a.</v>
      </c>
      <c r="Q550" s="147" t="str">
        <f t="shared" si="82"/>
        <v>CCS: Storage: CO2 fugitive</v>
      </c>
      <c r="R550" s="17"/>
      <c r="S550" s="17" t="str">
        <f t="shared" si="83"/>
        <v>CarbC_CCS: Storage: CO2 fugitive</v>
      </c>
      <c r="Z550" s="21" t="b">
        <f t="shared" si="79"/>
        <v>1</v>
      </c>
      <c r="AL550" s="624"/>
      <c r="AM550" s="624"/>
      <c r="AN550" s="624"/>
      <c r="AO550" s="624"/>
      <c r="AP550" s="624"/>
    </row>
    <row r="551" spans="1:44" ht="12.75" customHeight="1" outlineLevel="1" x14ac:dyDescent="0.2">
      <c r="B551" s="17"/>
      <c r="C551" s="17"/>
      <c r="D551" s="17"/>
      <c r="E551" s="17"/>
      <c r="F551" s="17"/>
      <c r="G551" s="17"/>
      <c r="H551" s="88"/>
      <c r="I551" s="88"/>
      <c r="J551" s="17"/>
      <c r="K551" s="17"/>
      <c r="L551" s="88"/>
      <c r="M551" s="88"/>
      <c r="N551" s="88"/>
      <c r="O551" s="88"/>
      <c r="P551" s="103"/>
      <c r="Q551" s="17"/>
      <c r="R551" s="17"/>
      <c r="S551" s="17"/>
      <c r="Z551" s="21" t="b">
        <f t="shared" si="79"/>
        <v>0</v>
      </c>
    </row>
    <row r="552" spans="1:44" s="142" customFormat="1" ht="12.75" customHeight="1" outlineLevel="1" x14ac:dyDescent="0.2">
      <c r="A552" s="142" t="s">
        <v>1610</v>
      </c>
      <c r="B552" s="143" t="str">
        <f>Translations!$B$1265</f>
        <v>Biomass fraction</v>
      </c>
      <c r="C552" s="143" t="str">
        <f>Translations!$B$957</f>
        <v>Short name</v>
      </c>
      <c r="D552" s="143" t="str">
        <f>Translations!$B$958</f>
        <v>Sub-activity</v>
      </c>
      <c r="E552" s="143" t="str">
        <f>Translations!$B$389</f>
        <v>Parameter</v>
      </c>
      <c r="F552" s="143" t="str">
        <f>Translations!$B$959</f>
        <v>Source type</v>
      </c>
      <c r="G552" s="144" t="str">
        <f>Translations!$B$960</f>
        <v>Minimum</v>
      </c>
      <c r="H552" s="144">
        <v>1</v>
      </c>
      <c r="I552" s="144">
        <v>2</v>
      </c>
      <c r="J552" s="144" t="s">
        <v>1325</v>
      </c>
      <c r="K552" s="144" t="str">
        <f>Translations!$B$928</f>
        <v>2b</v>
      </c>
      <c r="L552" s="144">
        <v>3</v>
      </c>
      <c r="M552" s="144" t="s">
        <v>1759</v>
      </c>
      <c r="N552" s="144" t="s">
        <v>1760</v>
      </c>
      <c r="O552" s="144">
        <v>4</v>
      </c>
      <c r="P552" s="144" t="str">
        <f>Translations!$B$961</f>
        <v>Highest</v>
      </c>
      <c r="Q552" s="145"/>
      <c r="Z552" s="142" t="str">
        <f>Translations!$B$962</f>
        <v>make grey?</v>
      </c>
      <c r="AK552" s="142" t="s">
        <v>1651</v>
      </c>
      <c r="AL552" s="206">
        <v>1</v>
      </c>
      <c r="AM552" s="206">
        <v>2</v>
      </c>
      <c r="AN552" s="206" t="s">
        <v>1325</v>
      </c>
      <c r="AO552" s="206" t="str">
        <f>Translations!$B$928</f>
        <v>2b</v>
      </c>
      <c r="AP552" s="206">
        <v>3</v>
      </c>
      <c r="AQ552" s="206" t="s">
        <v>1759</v>
      </c>
      <c r="AR552" s="206" t="s">
        <v>1760</v>
      </c>
    </row>
    <row r="553" spans="1:44" ht="12.75" customHeight="1" outlineLevel="1" x14ac:dyDescent="0.2">
      <c r="A553" s="21">
        <v>1</v>
      </c>
      <c r="B553" s="611" t="str">
        <f t="shared" ref="B553:D572" si="84">B481</f>
        <v>Combustion of fuels</v>
      </c>
      <c r="C553" s="17" t="str">
        <f t="shared" si="84"/>
        <v>Combustion</v>
      </c>
      <c r="D553" s="17" t="str">
        <f t="shared" si="84"/>
        <v>Commercial standard fuels</v>
      </c>
      <c r="E553" s="17"/>
      <c r="F553" s="151" t="str">
        <f t="shared" ref="F553:F584" si="85">F481</f>
        <v>Standard method: Fuel, Article 24(1)</v>
      </c>
      <c r="G553" s="103">
        <v>1</v>
      </c>
      <c r="H553" s="149" t="str">
        <f>Translations!$B$505</f>
        <v>Type I biomass fraction</v>
      </c>
      <c r="I553" s="149" t="str">
        <f>Translations!$B$510</f>
        <v>Type II biomass fraction</v>
      </c>
      <c r="J553" s="149"/>
      <c r="K553" s="149"/>
      <c r="L553" s="149"/>
      <c r="M553" s="149" t="str">
        <f>Translations!$B$1266</f>
        <v>Analyse biomass fraction</v>
      </c>
      <c r="N553" s="149" t="s">
        <v>1761</v>
      </c>
      <c r="O553" s="150"/>
      <c r="P553" s="103">
        <f>G553</f>
        <v>1</v>
      </c>
      <c r="Q553" s="147" t="str">
        <f>C553 &amp; ": " &amp;D553</f>
        <v>Combustion: Commercial standard fuels</v>
      </c>
      <c r="R553" s="17"/>
      <c r="S553" s="17" t="str">
        <f t="shared" ref="S553:S585" si="86">EUconst_CNTR_BiomassContent&amp;Q553</f>
        <v>BioC_Combustion: Commercial standard fuels</v>
      </c>
      <c r="Z553" s="21" t="b">
        <f t="shared" ref="Z553:Z613" si="87">IF(G553=EUconst_NA,TRUE,FALSE)</f>
        <v>0</v>
      </c>
      <c r="AL553" s="624">
        <v>1</v>
      </c>
      <c r="AM553" s="624" t="str">
        <f>Translations!$B$510</f>
        <v>Type II biomass fraction</v>
      </c>
      <c r="AN553" s="624" t="s">
        <v>992</v>
      </c>
      <c r="AO553" s="624" t="s">
        <v>992</v>
      </c>
      <c r="AP553" s="624"/>
      <c r="AQ553" s="624">
        <v>2</v>
      </c>
      <c r="AR553" s="624">
        <v>3</v>
      </c>
    </row>
    <row r="554" spans="1:44" ht="12.75" customHeight="1" outlineLevel="1" x14ac:dyDescent="0.2">
      <c r="A554" s="21">
        <v>2</v>
      </c>
      <c r="B554" s="611" t="str">
        <f t="shared" si="84"/>
        <v>Combustion of fuels</v>
      </c>
      <c r="C554" s="17" t="str">
        <f t="shared" si="84"/>
        <v>Combustion</v>
      </c>
      <c r="D554" s="17" t="str">
        <f t="shared" si="84"/>
        <v>Other gaseous &amp; liquid fuels</v>
      </c>
      <c r="E554" s="17"/>
      <c r="F554" s="151" t="str">
        <f t="shared" si="85"/>
        <v>Standard method: Fuel, Article 24(1)</v>
      </c>
      <c r="G554" s="103">
        <v>1</v>
      </c>
      <c r="H554" s="149" t="str">
        <f>Translations!$B$505</f>
        <v>Type I biomass fraction</v>
      </c>
      <c r="I554" s="149" t="str">
        <f>Translations!$B$510</f>
        <v>Type II biomass fraction</v>
      </c>
      <c r="J554" s="149"/>
      <c r="K554" s="149"/>
      <c r="L554" s="149"/>
      <c r="M554" s="149" t="str">
        <f>Translations!$B$1266</f>
        <v>Analyse biomass fraction</v>
      </c>
      <c r="N554" s="149" t="s">
        <v>1761</v>
      </c>
      <c r="O554" s="150"/>
      <c r="P554" s="103">
        <v>3</v>
      </c>
      <c r="Q554" s="147" t="str">
        <f>C554 &amp; ": " &amp;D554</f>
        <v>Combustion: Other gaseous &amp; liquid fuels</v>
      </c>
      <c r="R554" s="17"/>
      <c r="S554" s="17" t="str">
        <f t="shared" si="86"/>
        <v>BioC_Combustion: Other gaseous &amp; liquid fuels</v>
      </c>
      <c r="Z554" s="21" t="b">
        <f t="shared" si="87"/>
        <v>0</v>
      </c>
      <c r="AL554" s="624">
        <v>1</v>
      </c>
      <c r="AM554" s="624" t="str">
        <f>Translations!$B$510</f>
        <v>Type II biomass fraction</v>
      </c>
      <c r="AN554" s="624" t="s">
        <v>992</v>
      </c>
      <c r="AO554" s="624" t="s">
        <v>992</v>
      </c>
      <c r="AP554" s="624"/>
      <c r="AQ554" s="624">
        <v>2</v>
      </c>
      <c r="AR554" s="624">
        <v>3</v>
      </c>
    </row>
    <row r="555" spans="1:44" ht="12.75" customHeight="1" outlineLevel="1" x14ac:dyDescent="0.2">
      <c r="A555" s="21">
        <v>3</v>
      </c>
      <c r="B555" s="611" t="str">
        <f t="shared" si="84"/>
        <v>Combustion of fuels</v>
      </c>
      <c r="C555" s="17" t="str">
        <f t="shared" si="84"/>
        <v>Combustion</v>
      </c>
      <c r="D555" s="17" t="str">
        <f t="shared" si="84"/>
        <v>Solid fuels, excluding waste</v>
      </c>
      <c r="E555" s="17"/>
      <c r="F555" s="151" t="str">
        <f t="shared" si="85"/>
        <v>Standard method: Fuel, Article 24(1)</v>
      </c>
      <c r="G555" s="103">
        <v>1</v>
      </c>
      <c r="H555" s="149" t="str">
        <f>Translations!$B$505</f>
        <v>Type I biomass fraction</v>
      </c>
      <c r="I555" s="149" t="str">
        <f>Translations!$B$510</f>
        <v>Type II biomass fraction</v>
      </c>
      <c r="J555" s="149"/>
      <c r="K555" s="149"/>
      <c r="L555" s="149"/>
      <c r="M555" s="149" t="str">
        <f>Translations!$B$1266</f>
        <v>Analyse biomass fraction</v>
      </c>
      <c r="N555" s="149" t="s">
        <v>1761</v>
      </c>
      <c r="O555" s="150"/>
      <c r="P555" s="103">
        <v>3</v>
      </c>
      <c r="Q555" s="147" t="str">
        <f>C555 &amp; ": " &amp;D555</f>
        <v>Combustion: Solid fuels, excluding waste</v>
      </c>
      <c r="R555" s="17"/>
      <c r="S555" s="17" t="str">
        <f>EUconst_CNTR_BiomassContent&amp;Q555</f>
        <v>BioC_Combustion: Solid fuels, excluding waste</v>
      </c>
      <c r="Z555" s="21" t="b">
        <f t="shared" si="87"/>
        <v>0</v>
      </c>
      <c r="AL555" s="624">
        <v>1</v>
      </c>
      <c r="AM555" s="624" t="str">
        <f>Translations!$B$510</f>
        <v>Type II biomass fraction</v>
      </c>
      <c r="AN555" s="624" t="s">
        <v>992</v>
      </c>
      <c r="AO555" s="624" t="s">
        <v>992</v>
      </c>
      <c r="AP555" s="624"/>
      <c r="AQ555" s="624">
        <v>2</v>
      </c>
      <c r="AR555" s="624">
        <v>3</v>
      </c>
    </row>
    <row r="556" spans="1:44" ht="12.75" customHeight="1" outlineLevel="1" x14ac:dyDescent="0.2">
      <c r="A556" s="21">
        <v>4</v>
      </c>
      <c r="B556" s="611" t="str">
        <f t="shared" si="84"/>
        <v>Combustion of fuels</v>
      </c>
      <c r="C556" s="17" t="str">
        <f t="shared" si="84"/>
        <v>Combustion</v>
      </c>
      <c r="D556" s="17" t="str">
        <f t="shared" si="84"/>
        <v>Waste</v>
      </c>
      <c r="E556" s="17"/>
      <c r="F556" s="151" t="str">
        <f t="shared" si="85"/>
        <v>Standard method: Fuel, Article 24(1)</v>
      </c>
      <c r="G556" s="103">
        <v>1</v>
      </c>
      <c r="H556" s="149" t="str">
        <f>Translations!$B$505</f>
        <v>Type I biomass fraction</v>
      </c>
      <c r="I556" s="149" t="str">
        <f>Translations!$B$510</f>
        <v>Type II biomass fraction</v>
      </c>
      <c r="J556" s="149"/>
      <c r="K556" s="149"/>
      <c r="L556" s="149"/>
      <c r="M556" s="149" t="str">
        <f>Translations!$B$1266</f>
        <v>Analyse biomass fraction</v>
      </c>
      <c r="N556" s="149" t="s">
        <v>1761</v>
      </c>
      <c r="O556" s="150"/>
      <c r="P556" s="103">
        <v>3</v>
      </c>
      <c r="Q556" s="147" t="str">
        <f>C556 &amp; ": " &amp;D556</f>
        <v>Combustion: Waste</v>
      </c>
      <c r="R556" s="17"/>
      <c r="S556" s="17" t="str">
        <f>EUconst_CNTR_BiomassContent&amp;Q556</f>
        <v>BioC_Combustion: Waste</v>
      </c>
      <c r="Z556" s="21" t="b">
        <f>IF(G556=EUconst_NA,TRUE,FALSE)</f>
        <v>0</v>
      </c>
      <c r="AL556" s="624">
        <v>1</v>
      </c>
      <c r="AM556" s="624" t="str">
        <f>Translations!$B$510</f>
        <v>Type II biomass fraction</v>
      </c>
      <c r="AN556" s="624" t="s">
        <v>992</v>
      </c>
      <c r="AO556" s="624" t="s">
        <v>992</v>
      </c>
      <c r="AP556" s="624"/>
      <c r="AQ556" s="624">
        <v>2</v>
      </c>
      <c r="AR556" s="624">
        <v>3</v>
      </c>
    </row>
    <row r="557" spans="1:44" ht="12.75" customHeight="1" outlineLevel="1" x14ac:dyDescent="0.2">
      <c r="A557" s="21">
        <v>5</v>
      </c>
      <c r="B557" s="611" t="str">
        <f t="shared" si="84"/>
        <v>Combustion of fuels</v>
      </c>
      <c r="C557" s="17" t="str">
        <f t="shared" si="84"/>
        <v>Combustion</v>
      </c>
      <c r="D557" s="17" t="str">
        <f t="shared" si="84"/>
        <v>Gas Processing Terminals</v>
      </c>
      <c r="E557" s="17"/>
      <c r="F557" s="151" t="str">
        <f t="shared" si="85"/>
        <v>Mass balance method, Article 25</v>
      </c>
      <c r="G557" s="103">
        <v>1</v>
      </c>
      <c r="H557" s="149" t="str">
        <f>Translations!$B$505</f>
        <v>Type I biomass fraction</v>
      </c>
      <c r="I557" s="149" t="str">
        <f>Translations!$B$510</f>
        <v>Type II biomass fraction</v>
      </c>
      <c r="J557" s="149"/>
      <c r="K557" s="149"/>
      <c r="L557" s="149"/>
      <c r="M557" s="149" t="str">
        <f>Translations!$B$1266</f>
        <v>Analyse biomass fraction</v>
      </c>
      <c r="N557" s="149" t="s">
        <v>1761</v>
      </c>
      <c r="O557" s="150"/>
      <c r="P557" s="103">
        <v>3</v>
      </c>
      <c r="Q557" s="147" t="str">
        <f t="shared" ref="Q557:Q613" si="88">C557 &amp; ": " &amp;D557</f>
        <v>Combustion: Gas Processing Terminals</v>
      </c>
      <c r="R557" s="17"/>
      <c r="S557" s="17" t="str">
        <f t="shared" si="86"/>
        <v>BioC_Combustion: Gas Processing Terminals</v>
      </c>
      <c r="W557" s="226"/>
      <c r="Z557" s="21" t="b">
        <f t="shared" si="87"/>
        <v>0</v>
      </c>
      <c r="AL557" s="624">
        <v>1</v>
      </c>
      <c r="AM557" s="624" t="str">
        <f>Translations!$B$510</f>
        <v>Type II biomass fraction</v>
      </c>
      <c r="AN557" s="624" t="s">
        <v>992</v>
      </c>
      <c r="AO557" s="624" t="s">
        <v>992</v>
      </c>
      <c r="AP557" s="624"/>
      <c r="AQ557" s="624">
        <v>2</v>
      </c>
      <c r="AR557" s="624">
        <v>3</v>
      </c>
    </row>
    <row r="558" spans="1:44" ht="12.75" customHeight="1" outlineLevel="1" x14ac:dyDescent="0.2">
      <c r="A558" s="21">
        <v>6</v>
      </c>
      <c r="B558" s="611" t="str">
        <f t="shared" si="84"/>
        <v>Combustion of fuels</v>
      </c>
      <c r="C558" s="17" t="str">
        <f t="shared" si="84"/>
        <v>Combustion</v>
      </c>
      <c r="D558" s="17" t="str">
        <f t="shared" si="84"/>
        <v>Flares</v>
      </c>
      <c r="E558" s="17"/>
      <c r="F558" s="151" t="str">
        <f t="shared" si="85"/>
        <v>Standard method: Fuel, Article 24(1)</v>
      </c>
      <c r="G558" s="103">
        <v>1</v>
      </c>
      <c r="H558" s="149" t="str">
        <f>Translations!$B$505</f>
        <v>Type I biomass fraction</v>
      </c>
      <c r="I558" s="149" t="str">
        <f>Translations!$B$510</f>
        <v>Type II biomass fraction</v>
      </c>
      <c r="J558" s="149"/>
      <c r="K558" s="149"/>
      <c r="L558" s="149"/>
      <c r="M558" s="149" t="str">
        <f>Translations!$B$1266</f>
        <v>Analyse biomass fraction</v>
      </c>
      <c r="N558" s="149" t="s">
        <v>1761</v>
      </c>
      <c r="O558" s="150"/>
      <c r="P558" s="103">
        <v>3</v>
      </c>
      <c r="Q558" s="147" t="str">
        <f t="shared" si="88"/>
        <v>Combustion: Flares</v>
      </c>
      <c r="R558" s="17"/>
      <c r="S558" s="17" t="str">
        <f t="shared" si="86"/>
        <v>BioC_Combustion: Flares</v>
      </c>
      <c r="Z558" s="21" t="b">
        <f t="shared" si="87"/>
        <v>0</v>
      </c>
      <c r="AL558" s="624">
        <v>1</v>
      </c>
      <c r="AM558" s="624" t="str">
        <f>Translations!$B$510</f>
        <v>Type II biomass fraction</v>
      </c>
      <c r="AN558" s="624" t="s">
        <v>992</v>
      </c>
      <c r="AO558" s="624" t="s">
        <v>992</v>
      </c>
      <c r="AP558" s="624"/>
      <c r="AQ558" s="624">
        <v>2</v>
      </c>
      <c r="AR558" s="624">
        <v>3</v>
      </c>
    </row>
    <row r="559" spans="1:44" ht="12.75" customHeight="1" outlineLevel="1" x14ac:dyDescent="0.2">
      <c r="A559" s="21">
        <v>7</v>
      </c>
      <c r="B559" s="611" t="str">
        <f t="shared" si="84"/>
        <v>Combustion of fuels</v>
      </c>
      <c r="C559" s="17" t="str">
        <f t="shared" si="84"/>
        <v>Combustion</v>
      </c>
      <c r="D559" s="17" t="str">
        <f t="shared" si="84"/>
        <v>Scrubbing (carbonate)</v>
      </c>
      <c r="E559" s="17"/>
      <c r="F559" s="151" t="str">
        <f t="shared" si="85"/>
        <v>Standard method: Process, Article 24(2)</v>
      </c>
      <c r="G559" s="103" t="str">
        <f>EUconst_NA</f>
        <v>n.a.</v>
      </c>
      <c r="H559" s="149"/>
      <c r="I559" s="149"/>
      <c r="J559" s="151"/>
      <c r="K559" s="151"/>
      <c r="L559" s="149"/>
      <c r="M559" s="149"/>
      <c r="N559" s="149"/>
      <c r="O559" s="150"/>
      <c r="P559" s="103" t="str">
        <f>IF(G559=EUconst_NA,EUconst_NA,IF(ISBLANK(J559),COUNTA(H559:O559),COUNTA(H559,J559,L559)))</f>
        <v>n.a.</v>
      </c>
      <c r="Q559" s="147" t="str">
        <f t="shared" si="88"/>
        <v>Combustion: Scrubbing (carbonate)</v>
      </c>
      <c r="R559" s="17"/>
      <c r="S559" s="17" t="str">
        <f t="shared" si="86"/>
        <v>BioC_Combustion: Scrubbing (carbonate)</v>
      </c>
      <c r="Z559" s="21" t="b">
        <f t="shared" si="87"/>
        <v>1</v>
      </c>
      <c r="AL559" s="624" t="s">
        <v>992</v>
      </c>
      <c r="AM559" s="624" t="s">
        <v>992</v>
      </c>
      <c r="AN559" s="624" t="s">
        <v>992</v>
      </c>
      <c r="AO559" s="624" t="s">
        <v>992</v>
      </c>
      <c r="AP559" s="624"/>
      <c r="AQ559" s="624" t="s">
        <v>992</v>
      </c>
      <c r="AR559" s="624"/>
    </row>
    <row r="560" spans="1:44" ht="12.75" customHeight="1" outlineLevel="1" x14ac:dyDescent="0.2">
      <c r="A560" s="21">
        <v>8</v>
      </c>
      <c r="B560" s="611" t="str">
        <f t="shared" si="84"/>
        <v>Combustion of fuels</v>
      </c>
      <c r="C560" s="17" t="str">
        <f t="shared" si="84"/>
        <v>Combustion</v>
      </c>
      <c r="D560" s="17" t="str">
        <f t="shared" si="84"/>
        <v>Scrubbing (gypsum)</v>
      </c>
      <c r="E560" s="17"/>
      <c r="F560" s="151" t="str">
        <f t="shared" si="85"/>
        <v>Standard method: Process, Article 24(2)</v>
      </c>
      <c r="G560" s="103" t="str">
        <f>EUconst_NA</f>
        <v>n.a.</v>
      </c>
      <c r="H560" s="149"/>
      <c r="I560" s="149"/>
      <c r="J560" s="151"/>
      <c r="K560" s="151"/>
      <c r="L560" s="149"/>
      <c r="M560" s="149"/>
      <c r="N560" s="149"/>
      <c r="O560" s="150"/>
      <c r="P560" s="103" t="str">
        <f>IF(G560=EUconst_NA,EUconst_NA,IF(ISBLANK(J560),COUNTA(H560:O560),COUNTA(H560,J560,L560)))</f>
        <v>n.a.</v>
      </c>
      <c r="Q560" s="147" t="str">
        <f t="shared" si="88"/>
        <v>Combustion: Scrubbing (gypsum)</v>
      </c>
      <c r="R560" s="17"/>
      <c r="S560" s="17" t="str">
        <f t="shared" si="86"/>
        <v>BioC_Combustion: Scrubbing (gypsum)</v>
      </c>
      <c r="Z560" s="21" t="b">
        <f t="shared" si="87"/>
        <v>1</v>
      </c>
      <c r="AL560" s="624" t="s">
        <v>992</v>
      </c>
      <c r="AM560" s="624" t="s">
        <v>992</v>
      </c>
      <c r="AN560" s="624" t="s">
        <v>992</v>
      </c>
      <c r="AO560" s="624" t="s">
        <v>992</v>
      </c>
      <c r="AP560" s="624"/>
      <c r="AQ560" s="624" t="s">
        <v>992</v>
      </c>
      <c r="AR560" s="624"/>
    </row>
    <row r="561" spans="1:44" ht="12.75" customHeight="1" outlineLevel="1" x14ac:dyDescent="0.2">
      <c r="A561" s="21">
        <v>9</v>
      </c>
      <c r="B561" s="611" t="str">
        <f t="shared" si="84"/>
        <v>Combustion of fuels</v>
      </c>
      <c r="C561" s="17" t="str">
        <f t="shared" si="84"/>
        <v>Combustion</v>
      </c>
      <c r="D561" s="17" t="str">
        <f t="shared" si="84"/>
        <v>Scrubbing (urea)</v>
      </c>
      <c r="E561" s="17"/>
      <c r="F561" s="151" t="str">
        <f t="shared" si="85"/>
        <v>Standard method: Process, Article 24(2)</v>
      </c>
      <c r="G561" s="103" t="str">
        <f>EUconst_NA</f>
        <v>n.a.</v>
      </c>
      <c r="H561" s="149"/>
      <c r="I561" s="149"/>
      <c r="J561" s="151"/>
      <c r="K561" s="151"/>
      <c r="L561" s="149"/>
      <c r="M561" s="149"/>
      <c r="N561" s="149"/>
      <c r="O561" s="150"/>
      <c r="P561" s="103" t="str">
        <f>IF(G561=EUconst_NA,EUconst_NA,IF(ISBLANK(J561),COUNTA(H561:O561),COUNTA(H561,J561,L561)))</f>
        <v>n.a.</v>
      </c>
      <c r="Q561" s="147" t="str">
        <f t="shared" si="88"/>
        <v>Combustion: Scrubbing (urea)</v>
      </c>
      <c r="R561" s="17"/>
      <c r="S561" s="17" t="str">
        <f t="shared" si="86"/>
        <v>BioC_Combustion: Scrubbing (urea)</v>
      </c>
      <c r="Z561" s="21" t="b">
        <f t="shared" si="87"/>
        <v>1</v>
      </c>
      <c r="AL561" s="624" t="s">
        <v>992</v>
      </c>
      <c r="AM561" s="624" t="s">
        <v>992</v>
      </c>
      <c r="AN561" s="624" t="s">
        <v>992</v>
      </c>
      <c r="AO561" s="624" t="s">
        <v>992</v>
      </c>
      <c r="AP561" s="624"/>
      <c r="AQ561" s="624" t="s">
        <v>992</v>
      </c>
      <c r="AR561" s="624"/>
    </row>
    <row r="562" spans="1:44" ht="12.75" customHeight="1" outlineLevel="1" x14ac:dyDescent="0.2">
      <c r="A562" s="21">
        <v>10</v>
      </c>
      <c r="B562" s="611" t="str">
        <f t="shared" si="84"/>
        <v xml:space="preserve">Refining of oil </v>
      </c>
      <c r="C562" s="17" t="str">
        <f t="shared" si="84"/>
        <v>Refineries</v>
      </c>
      <c r="D562" s="17" t="str">
        <f t="shared" si="84"/>
        <v>Mass balance</v>
      </c>
      <c r="E562" s="17"/>
      <c r="F562" s="151" t="str">
        <f t="shared" si="85"/>
        <v>Mass balance method, Article 25</v>
      </c>
      <c r="G562" s="103">
        <v>1</v>
      </c>
      <c r="H562" s="149" t="str">
        <f>Translations!$B$505</f>
        <v>Type I biomass fraction</v>
      </c>
      <c r="I562" s="149" t="str">
        <f>Translations!$B$510</f>
        <v>Type II biomass fraction</v>
      </c>
      <c r="J562" s="149"/>
      <c r="K562" s="149"/>
      <c r="L562" s="149"/>
      <c r="M562" s="149" t="str">
        <f>Translations!$B$1266</f>
        <v>Analyse biomass fraction</v>
      </c>
      <c r="N562" s="149" t="s">
        <v>1761</v>
      </c>
      <c r="O562" s="150"/>
      <c r="P562" s="103">
        <v>3</v>
      </c>
      <c r="Q562" s="147" t="str">
        <f t="shared" si="88"/>
        <v>Refineries: Mass balance</v>
      </c>
      <c r="R562" s="17"/>
      <c r="S562" s="17" t="str">
        <f t="shared" si="86"/>
        <v>BioC_Refineries: Mass balance</v>
      </c>
      <c r="W562" s="226"/>
      <c r="Z562" s="21" t="b">
        <f t="shared" si="87"/>
        <v>0</v>
      </c>
      <c r="AL562" s="624">
        <v>1</v>
      </c>
      <c r="AM562" s="624" t="str">
        <f>Translations!$B$510</f>
        <v>Type II biomass fraction</v>
      </c>
      <c r="AN562" s="624" t="s">
        <v>992</v>
      </c>
      <c r="AO562" s="624" t="s">
        <v>992</v>
      </c>
      <c r="AP562" s="624"/>
      <c r="AQ562" s="624">
        <v>2</v>
      </c>
      <c r="AR562" s="624">
        <v>3</v>
      </c>
    </row>
    <row r="563" spans="1:44" ht="12.75" customHeight="1" outlineLevel="1" x14ac:dyDescent="0.2">
      <c r="A563" s="21">
        <v>11</v>
      </c>
      <c r="B563" s="611" t="str">
        <f t="shared" si="84"/>
        <v xml:space="preserve">Refining of mineral oil </v>
      </c>
      <c r="C563" s="17" t="str">
        <f t="shared" si="84"/>
        <v>Refineries</v>
      </c>
      <c r="D563" s="17" t="str">
        <f t="shared" si="84"/>
        <v>Catalytic cracker regeneration</v>
      </c>
      <c r="E563" s="17"/>
      <c r="F563" s="151" t="str">
        <f t="shared" si="85"/>
        <v>Mass balance method, Article 25</v>
      </c>
      <c r="G563" s="103">
        <v>1</v>
      </c>
      <c r="H563" s="149" t="str">
        <f>Translations!$B$505</f>
        <v>Type I biomass fraction</v>
      </c>
      <c r="I563" s="149" t="str">
        <f>Translations!$B$510</f>
        <v>Type II biomass fraction</v>
      </c>
      <c r="J563" s="149"/>
      <c r="K563" s="149"/>
      <c r="L563" s="149"/>
      <c r="M563" s="149" t="str">
        <f>Translations!$B$1266</f>
        <v>Analyse biomass fraction</v>
      </c>
      <c r="N563" s="149" t="s">
        <v>1761</v>
      </c>
      <c r="O563" s="150"/>
      <c r="P563" s="103">
        <v>3</v>
      </c>
      <c r="Q563" s="147" t="str">
        <f t="shared" si="88"/>
        <v>Refineries: Catalytic cracker regeneration</v>
      </c>
      <c r="R563" s="17"/>
      <c r="S563" s="17" t="str">
        <f t="shared" si="86"/>
        <v>BioC_Refineries: Catalytic cracker regeneration</v>
      </c>
      <c r="Z563" s="21" t="b">
        <f t="shared" si="87"/>
        <v>0</v>
      </c>
      <c r="AL563" s="624">
        <v>1</v>
      </c>
      <c r="AM563" s="624" t="str">
        <f>Translations!$B$510</f>
        <v>Type II biomass fraction</v>
      </c>
      <c r="AN563" s="624" t="s">
        <v>992</v>
      </c>
      <c r="AO563" s="624" t="s">
        <v>992</v>
      </c>
      <c r="AP563" s="624"/>
      <c r="AQ563" s="624">
        <v>2</v>
      </c>
      <c r="AR563" s="624">
        <v>3</v>
      </c>
    </row>
    <row r="564" spans="1:44" ht="12.75" customHeight="1" outlineLevel="1" x14ac:dyDescent="0.2">
      <c r="A564" s="21">
        <v>12</v>
      </c>
      <c r="B564" s="611" t="str">
        <f t="shared" si="84"/>
        <v xml:space="preserve">Refining of mineral oil </v>
      </c>
      <c r="C564" s="17" t="str">
        <f t="shared" si="84"/>
        <v>Refineries</v>
      </c>
      <c r="D564" s="17" t="str">
        <f t="shared" si="84"/>
        <v>Hydrogen production</v>
      </c>
      <c r="E564" s="610"/>
      <c r="F564" s="151" t="str">
        <f t="shared" si="85"/>
        <v>Mass balance method, Article 25</v>
      </c>
      <c r="G564" s="103">
        <v>1</v>
      </c>
      <c r="H564" s="149" t="str">
        <f>Translations!$B$505</f>
        <v>Type I biomass fraction</v>
      </c>
      <c r="I564" s="149" t="str">
        <f>Translations!$B$510</f>
        <v>Type II biomass fraction</v>
      </c>
      <c r="J564" s="149"/>
      <c r="K564" s="149"/>
      <c r="L564" s="149"/>
      <c r="M564" s="149" t="str">
        <f>Translations!$B$1266</f>
        <v>Analyse biomass fraction</v>
      </c>
      <c r="N564" s="149" t="s">
        <v>1761</v>
      </c>
      <c r="O564" s="150"/>
      <c r="P564" s="103">
        <v>3</v>
      </c>
      <c r="Q564" s="147" t="str">
        <f t="shared" si="88"/>
        <v>Refineries: Hydrogen production</v>
      </c>
      <c r="R564" s="17"/>
      <c r="S564" s="17" t="str">
        <f t="shared" si="86"/>
        <v>BioC_Refineries: Hydrogen production</v>
      </c>
      <c r="X564" s="69"/>
      <c r="Z564" s="21" t="b">
        <f t="shared" si="87"/>
        <v>0</v>
      </c>
      <c r="AL564" s="624">
        <v>1</v>
      </c>
      <c r="AM564" s="624" t="str">
        <f>Translations!$B$510</f>
        <v>Type II biomass fraction</v>
      </c>
      <c r="AN564" s="624" t="s">
        <v>992</v>
      </c>
      <c r="AO564" s="624" t="s">
        <v>992</v>
      </c>
      <c r="AP564" s="624"/>
      <c r="AQ564" s="624">
        <v>2</v>
      </c>
      <c r="AR564" s="624">
        <v>3</v>
      </c>
    </row>
    <row r="565" spans="1:44" ht="12.75" customHeight="1" outlineLevel="1" x14ac:dyDescent="0.2">
      <c r="A565" s="21">
        <v>13</v>
      </c>
      <c r="B565" s="611" t="str">
        <f t="shared" si="84"/>
        <v>Production of coke</v>
      </c>
      <c r="C565" s="17" t="str">
        <f t="shared" si="84"/>
        <v>Coke</v>
      </c>
      <c r="D565" s="17" t="str">
        <f t="shared" si="84"/>
        <v>Fuel as process input</v>
      </c>
      <c r="E565" s="17"/>
      <c r="F565" s="151" t="str">
        <f t="shared" si="85"/>
        <v>Standard method: Fuel, Article 24(1)</v>
      </c>
      <c r="G565" s="103">
        <v>1</v>
      </c>
      <c r="H565" s="149" t="str">
        <f>Translations!$B$505</f>
        <v>Type I biomass fraction</v>
      </c>
      <c r="I565" s="149" t="str">
        <f>Translations!$B$510</f>
        <v>Type II biomass fraction</v>
      </c>
      <c r="J565" s="149"/>
      <c r="K565" s="149"/>
      <c r="L565" s="149"/>
      <c r="M565" s="149" t="str">
        <f>Translations!$B$1266</f>
        <v>Analyse biomass fraction</v>
      </c>
      <c r="N565" s="149" t="s">
        <v>1761</v>
      </c>
      <c r="O565" s="150"/>
      <c r="P565" s="103">
        <v>3</v>
      </c>
      <c r="Q565" s="147" t="str">
        <f t="shared" si="88"/>
        <v>Coke: Fuel as process input</v>
      </c>
      <c r="R565" s="17"/>
      <c r="S565" s="17" t="str">
        <f t="shared" si="86"/>
        <v>BioC_Coke: Fuel as process input</v>
      </c>
      <c r="W565" s="226"/>
      <c r="X565" s="69"/>
      <c r="Z565" s="21" t="b">
        <f t="shared" si="87"/>
        <v>0</v>
      </c>
      <c r="AL565" s="624">
        <v>1</v>
      </c>
      <c r="AM565" s="624" t="str">
        <f>Translations!$B$510</f>
        <v>Type II biomass fraction</v>
      </c>
      <c r="AN565" s="624" t="s">
        <v>992</v>
      </c>
      <c r="AO565" s="624" t="s">
        <v>992</v>
      </c>
      <c r="AP565" s="624"/>
      <c r="AQ565" s="624">
        <v>2</v>
      </c>
      <c r="AR565" s="624">
        <v>3</v>
      </c>
    </row>
    <row r="566" spans="1:44" ht="12.75" customHeight="1" outlineLevel="1" x14ac:dyDescent="0.2">
      <c r="A566" s="21">
        <v>14</v>
      </c>
      <c r="B566" s="611" t="str">
        <f t="shared" si="84"/>
        <v>Production of coke</v>
      </c>
      <c r="C566" s="17" t="str">
        <f t="shared" si="84"/>
        <v>Coke</v>
      </c>
      <c r="D566" s="17" t="str">
        <f t="shared" si="84"/>
        <v>Process (method A): carbonate only</v>
      </c>
      <c r="E566" s="602"/>
      <c r="F566" s="151" t="str">
        <f t="shared" si="85"/>
        <v>Standard method: Process, Article 24(2)</v>
      </c>
      <c r="G566" s="103" t="str">
        <f>EUconst_NA</f>
        <v>n.a.</v>
      </c>
      <c r="H566" s="149"/>
      <c r="I566" s="149"/>
      <c r="J566" s="151"/>
      <c r="K566" s="151"/>
      <c r="L566" s="149"/>
      <c r="M566" s="149"/>
      <c r="N566" s="149"/>
      <c r="O566" s="150"/>
      <c r="P566" s="103" t="str">
        <f>IF(G566=EUconst_NA,EUconst_NA,IF(ISBLANK(J566),COUNTA(H566:O566),COUNTA(H566,J566,L566)))</f>
        <v>n.a.</v>
      </c>
      <c r="Q566" s="147" t="str">
        <f t="shared" si="88"/>
        <v>Coke: Process (method A): carbonate only</v>
      </c>
      <c r="R566" s="17"/>
      <c r="S566" s="17" t="str">
        <f t="shared" si="86"/>
        <v>BioC_Coke: Process (method A): carbonate only</v>
      </c>
      <c r="W566" s="226"/>
      <c r="X566" s="69"/>
      <c r="Z566" s="21" t="b">
        <f t="shared" si="87"/>
        <v>1</v>
      </c>
      <c r="AL566" s="624" t="s">
        <v>992</v>
      </c>
      <c r="AM566" s="624" t="s">
        <v>992</v>
      </c>
      <c r="AN566" s="624" t="s">
        <v>992</v>
      </c>
      <c r="AO566" s="624" t="s">
        <v>992</v>
      </c>
      <c r="AP566" s="624"/>
      <c r="AQ566" s="624" t="s">
        <v>992</v>
      </c>
      <c r="AR566" s="624"/>
    </row>
    <row r="567" spans="1:44" ht="12.75" customHeight="1" outlineLevel="1" x14ac:dyDescent="0.2">
      <c r="A567" s="21">
        <v>15</v>
      </c>
      <c r="B567" s="611" t="str">
        <f t="shared" si="84"/>
        <v>Production of coke</v>
      </c>
      <c r="C567" s="17" t="str">
        <f t="shared" si="84"/>
        <v>Coke</v>
      </c>
      <c r="D567" s="17" t="str">
        <f t="shared" si="84"/>
        <v>Process (method A): mixed (carbonate + non-carbonate)</v>
      </c>
      <c r="E567" s="602"/>
      <c r="F567" s="151" t="str">
        <f t="shared" si="85"/>
        <v>Standard method: Process, Article 24(2)</v>
      </c>
      <c r="G567" s="103">
        <v>1</v>
      </c>
      <c r="H567" s="149" t="str">
        <f>Translations!$B$505</f>
        <v>Type I biomass fraction</v>
      </c>
      <c r="I567" s="149" t="str">
        <f>Translations!$B$510</f>
        <v>Type II biomass fraction</v>
      </c>
      <c r="J567" s="149"/>
      <c r="K567" s="149"/>
      <c r="L567" s="149"/>
      <c r="M567" s="149" t="str">
        <f>Translations!$B$1266</f>
        <v>Analyse biomass fraction</v>
      </c>
      <c r="N567" s="149" t="s">
        <v>1761</v>
      </c>
      <c r="O567" s="150"/>
      <c r="P567" s="103">
        <v>3</v>
      </c>
      <c r="Q567" s="147" t="str">
        <f t="shared" si="88"/>
        <v>Coke: Process (method A): mixed (carbonate + non-carbonate)</v>
      </c>
      <c r="R567" s="17"/>
      <c r="S567" s="17" t="str">
        <f t="shared" si="86"/>
        <v>BioC_Coke: Process (method A): mixed (carbonate + non-carbonate)</v>
      </c>
      <c r="W567" s="226"/>
      <c r="X567" s="69"/>
      <c r="Z567" s="21" t="b">
        <f t="shared" si="87"/>
        <v>0</v>
      </c>
      <c r="AL567" s="624">
        <v>1</v>
      </c>
      <c r="AM567" s="624" t="str">
        <f>Translations!$B$510</f>
        <v>Type II biomass fraction</v>
      </c>
      <c r="AN567" s="624" t="s">
        <v>992</v>
      </c>
      <c r="AO567" s="624" t="s">
        <v>992</v>
      </c>
      <c r="AP567" s="624"/>
      <c r="AQ567" s="624">
        <v>2</v>
      </c>
      <c r="AR567" s="624">
        <v>3</v>
      </c>
    </row>
    <row r="568" spans="1:44" ht="12.75" customHeight="1" outlineLevel="1" x14ac:dyDescent="0.2">
      <c r="A568" s="21">
        <v>16</v>
      </c>
      <c r="B568" s="611" t="str">
        <f t="shared" si="84"/>
        <v>Production of coke</v>
      </c>
      <c r="C568" s="17" t="str">
        <f t="shared" si="84"/>
        <v>Coke</v>
      </c>
      <c r="D568" s="17" t="str">
        <f t="shared" si="84"/>
        <v>Process (method A): non-carbonate</v>
      </c>
      <c r="E568" s="602"/>
      <c r="F568" s="151" t="str">
        <f t="shared" si="85"/>
        <v>Standard method: Process, Article 24(2)</v>
      </c>
      <c r="G568" s="103">
        <v>1</v>
      </c>
      <c r="H568" s="149" t="str">
        <f>Translations!$B$505</f>
        <v>Type I biomass fraction</v>
      </c>
      <c r="I568" s="149" t="str">
        <f>Translations!$B$510</f>
        <v>Type II biomass fraction</v>
      </c>
      <c r="J568" s="149"/>
      <c r="K568" s="149"/>
      <c r="L568" s="149"/>
      <c r="M568" s="149" t="str">
        <f>Translations!$B$1266</f>
        <v>Analyse biomass fraction</v>
      </c>
      <c r="N568" s="149" t="s">
        <v>1761</v>
      </c>
      <c r="O568" s="150"/>
      <c r="P568" s="103">
        <v>3</v>
      </c>
      <c r="Q568" s="147" t="str">
        <f t="shared" si="88"/>
        <v>Coke: Process (method A): non-carbonate</v>
      </c>
      <c r="R568" s="17"/>
      <c r="S568" s="17" t="str">
        <f t="shared" si="86"/>
        <v>BioC_Coke: Process (method A): non-carbonate</v>
      </c>
      <c r="W568" s="226"/>
      <c r="X568" s="69"/>
      <c r="Z568" s="21" t="b">
        <f t="shared" si="87"/>
        <v>0</v>
      </c>
      <c r="AL568" s="624">
        <v>1</v>
      </c>
      <c r="AM568" s="624" t="str">
        <f>Translations!$B$510</f>
        <v>Type II biomass fraction</v>
      </c>
      <c r="AN568" s="624" t="s">
        <v>992</v>
      </c>
      <c r="AO568" s="624" t="s">
        <v>992</v>
      </c>
      <c r="AP568" s="624"/>
      <c r="AQ568" s="624">
        <v>2</v>
      </c>
      <c r="AR568" s="624">
        <v>3</v>
      </c>
    </row>
    <row r="569" spans="1:44" ht="12.75" customHeight="1" outlineLevel="1" x14ac:dyDescent="0.2">
      <c r="A569" s="21">
        <v>17</v>
      </c>
      <c r="B569" s="611" t="str">
        <f t="shared" si="84"/>
        <v>Production of coke</v>
      </c>
      <c r="C569" s="17" t="str">
        <f t="shared" si="84"/>
        <v>Coke</v>
      </c>
      <c r="D569" s="17" t="str">
        <f t="shared" si="84"/>
        <v>Process (method B): oxide output</v>
      </c>
      <c r="E569" s="610"/>
      <c r="F569" s="151" t="str">
        <f t="shared" si="85"/>
        <v>Standard method: Process, Article 24(2)</v>
      </c>
      <c r="G569" s="103" t="str">
        <f>EUconst_NA</f>
        <v>n.a.</v>
      </c>
      <c r="H569" s="149"/>
      <c r="I569" s="149"/>
      <c r="J569" s="151"/>
      <c r="K569" s="151"/>
      <c r="L569" s="149"/>
      <c r="M569" s="149"/>
      <c r="N569" s="149"/>
      <c r="O569" s="150"/>
      <c r="P569" s="103" t="str">
        <f>IF(G569=EUconst_NA,EUconst_NA,IF(ISBLANK(J569),COUNTA(H569:O569),COUNTA(H569,J569,L569)))</f>
        <v>n.a.</v>
      </c>
      <c r="Q569" s="147" t="str">
        <f t="shared" si="88"/>
        <v>Coke: Process (method B): oxide output</v>
      </c>
      <c r="R569" s="17"/>
      <c r="S569" s="17" t="str">
        <f t="shared" si="86"/>
        <v>BioC_Coke: Process (method B): oxide output</v>
      </c>
      <c r="W569" s="226"/>
      <c r="X569" s="69"/>
      <c r="Z569" s="21" t="b">
        <f t="shared" si="87"/>
        <v>1</v>
      </c>
      <c r="AL569" s="624" t="s">
        <v>992</v>
      </c>
      <c r="AM569" s="624" t="s">
        <v>992</v>
      </c>
      <c r="AN569" s="624" t="s">
        <v>992</v>
      </c>
      <c r="AO569" s="624" t="s">
        <v>992</v>
      </c>
      <c r="AP569" s="624"/>
      <c r="AQ569" s="624" t="s">
        <v>992</v>
      </c>
      <c r="AR569" s="624"/>
    </row>
    <row r="570" spans="1:44" ht="12.75" customHeight="1" outlineLevel="1" x14ac:dyDescent="0.2">
      <c r="A570" s="21">
        <v>18</v>
      </c>
      <c r="B570" s="611" t="str">
        <f t="shared" si="84"/>
        <v>Production of coke</v>
      </c>
      <c r="C570" s="17" t="str">
        <f t="shared" si="84"/>
        <v>Coke</v>
      </c>
      <c r="D570" s="17" t="str">
        <f t="shared" si="84"/>
        <v>Mass balance</v>
      </c>
      <c r="E570" s="17"/>
      <c r="F570" s="151" t="str">
        <f t="shared" si="85"/>
        <v>Mass balance method, Article 25</v>
      </c>
      <c r="G570" s="103">
        <v>1</v>
      </c>
      <c r="H570" s="149" t="str">
        <f>Translations!$B$505</f>
        <v>Type I biomass fraction</v>
      </c>
      <c r="I570" s="149" t="str">
        <f>Translations!$B$510</f>
        <v>Type II biomass fraction</v>
      </c>
      <c r="J570" s="149"/>
      <c r="K570" s="149"/>
      <c r="L570" s="149"/>
      <c r="M570" s="149" t="str">
        <f>Translations!$B$1266</f>
        <v>Analyse biomass fraction</v>
      </c>
      <c r="N570" s="149" t="s">
        <v>1761</v>
      </c>
      <c r="O570" s="150"/>
      <c r="P570" s="103">
        <v>3</v>
      </c>
      <c r="Q570" s="147" t="str">
        <f t="shared" si="88"/>
        <v>Coke: Mass balance</v>
      </c>
      <c r="R570" s="17"/>
      <c r="S570" s="17" t="str">
        <f t="shared" si="86"/>
        <v>BioC_Coke: Mass balance</v>
      </c>
      <c r="X570" s="69"/>
      <c r="Z570" s="21" t="b">
        <f t="shared" si="87"/>
        <v>0</v>
      </c>
      <c r="AL570" s="624">
        <v>1</v>
      </c>
      <c r="AM570" s="624" t="str">
        <f>Translations!$B$510</f>
        <v>Type II biomass fraction</v>
      </c>
      <c r="AN570" s="624" t="s">
        <v>992</v>
      </c>
      <c r="AO570" s="624" t="s">
        <v>992</v>
      </c>
      <c r="AP570" s="624"/>
      <c r="AQ570" s="624">
        <v>2</v>
      </c>
      <c r="AR570" s="624">
        <v>3</v>
      </c>
    </row>
    <row r="571" spans="1:44" ht="12.75" customHeight="1" outlineLevel="1" x14ac:dyDescent="0.2">
      <c r="A571" s="21">
        <v>19</v>
      </c>
      <c r="B571" s="611" t="str">
        <f t="shared" si="84"/>
        <v>Metal ore roasting or sintering</v>
      </c>
      <c r="C571" s="17" t="str">
        <f t="shared" si="84"/>
        <v>Metal ore</v>
      </c>
      <c r="D571" s="17" t="str">
        <f t="shared" si="84"/>
        <v>Process (method A): carbonate only</v>
      </c>
      <c r="E571" s="602"/>
      <c r="F571" s="151" t="str">
        <f t="shared" si="85"/>
        <v>Standard method: Process, Article 24(2)</v>
      </c>
      <c r="G571" s="103" t="str">
        <f>EUconst_NA</f>
        <v>n.a.</v>
      </c>
      <c r="H571" s="149"/>
      <c r="I571" s="149"/>
      <c r="J571" s="151"/>
      <c r="K571" s="151"/>
      <c r="L571" s="149"/>
      <c r="M571" s="149"/>
      <c r="N571" s="149"/>
      <c r="O571" s="150"/>
      <c r="P571" s="103" t="str">
        <f>IF(G571=EUconst_NA,EUconst_NA,IF(ISBLANK(J571),COUNTA(H571:O571),COUNTA(H571,J571,L571)))</f>
        <v>n.a.</v>
      </c>
      <c r="Q571" s="147" t="str">
        <f t="shared" si="88"/>
        <v>Metal ore: Process (method A): carbonate only</v>
      </c>
      <c r="R571" s="17"/>
      <c r="S571" s="17" t="str">
        <f t="shared" si="86"/>
        <v>BioC_Metal ore: Process (method A): carbonate only</v>
      </c>
      <c r="X571" s="69"/>
      <c r="Z571" s="21" t="b">
        <f t="shared" si="87"/>
        <v>1</v>
      </c>
      <c r="AL571" s="624" t="s">
        <v>992</v>
      </c>
      <c r="AM571" s="624" t="s">
        <v>992</v>
      </c>
      <c r="AN571" s="624" t="s">
        <v>992</v>
      </c>
      <c r="AO571" s="624" t="s">
        <v>992</v>
      </c>
      <c r="AP571" s="624"/>
      <c r="AQ571" s="624" t="s">
        <v>992</v>
      </c>
      <c r="AR571" s="624"/>
    </row>
    <row r="572" spans="1:44" ht="12.75" customHeight="1" outlineLevel="1" x14ac:dyDescent="0.2">
      <c r="A572" s="21">
        <v>20</v>
      </c>
      <c r="B572" s="611" t="str">
        <f t="shared" si="84"/>
        <v>Metal ore roasting or sintering</v>
      </c>
      <c r="C572" s="17" t="str">
        <f t="shared" si="84"/>
        <v>Metal ore</v>
      </c>
      <c r="D572" s="17" t="str">
        <f t="shared" si="84"/>
        <v>Process (method A): mixed (carbonate + non-carbonate)</v>
      </c>
      <c r="E572" s="602"/>
      <c r="F572" s="151" t="str">
        <f t="shared" si="85"/>
        <v>Standard method: Process, Article 24(2)</v>
      </c>
      <c r="G572" s="103">
        <v>1</v>
      </c>
      <c r="H572" s="149" t="str">
        <f>Translations!$B$505</f>
        <v>Type I biomass fraction</v>
      </c>
      <c r="I572" s="149" t="str">
        <f>Translations!$B$510</f>
        <v>Type II biomass fraction</v>
      </c>
      <c r="J572" s="149"/>
      <c r="K572" s="149"/>
      <c r="L572" s="149"/>
      <c r="M572" s="149" t="str">
        <f>Translations!$B$1266</f>
        <v>Analyse biomass fraction</v>
      </c>
      <c r="N572" s="149" t="s">
        <v>1761</v>
      </c>
      <c r="O572" s="150"/>
      <c r="P572" s="103">
        <v>3</v>
      </c>
      <c r="Q572" s="147" t="str">
        <f t="shared" si="88"/>
        <v>Metal ore: Process (method A): mixed (carbonate + non-carbonate)</v>
      </c>
      <c r="R572" s="17"/>
      <c r="S572" s="17" t="str">
        <f t="shared" si="86"/>
        <v>BioC_Metal ore: Process (method A): mixed (carbonate + non-carbonate)</v>
      </c>
      <c r="W572" s="226"/>
      <c r="X572" s="69"/>
      <c r="Z572" s="21" t="b">
        <f t="shared" si="87"/>
        <v>0</v>
      </c>
      <c r="AL572" s="624">
        <v>1</v>
      </c>
      <c r="AM572" s="624" t="str">
        <f>Translations!$B$510</f>
        <v>Type II biomass fraction</v>
      </c>
      <c r="AN572" s="624" t="s">
        <v>992</v>
      </c>
      <c r="AO572" s="624" t="s">
        <v>992</v>
      </c>
      <c r="AP572" s="624"/>
      <c r="AQ572" s="624">
        <v>2</v>
      </c>
      <c r="AR572" s="624">
        <v>3</v>
      </c>
    </row>
    <row r="573" spans="1:44" ht="12.75" customHeight="1" outlineLevel="1" x14ac:dyDescent="0.2">
      <c r="A573" s="21">
        <v>21</v>
      </c>
      <c r="B573" s="611" t="str">
        <f t="shared" ref="B573:D592" si="89">B501</f>
        <v>Metal ore roasting or sintering</v>
      </c>
      <c r="C573" s="17" t="str">
        <f t="shared" si="89"/>
        <v>Metal ore</v>
      </c>
      <c r="D573" s="17" t="str">
        <f t="shared" si="89"/>
        <v>Process (method A): non-carbonate</v>
      </c>
      <c r="E573" s="602"/>
      <c r="F573" s="151" t="str">
        <f t="shared" si="85"/>
        <v>Standard method: Process, Article 24(2)</v>
      </c>
      <c r="G573" s="103">
        <v>1</v>
      </c>
      <c r="H573" s="149" t="str">
        <f>Translations!$B$505</f>
        <v>Type I biomass fraction</v>
      </c>
      <c r="I573" s="149" t="str">
        <f>Translations!$B$510</f>
        <v>Type II biomass fraction</v>
      </c>
      <c r="J573" s="149"/>
      <c r="K573" s="149"/>
      <c r="L573" s="149"/>
      <c r="M573" s="149" t="str">
        <f>Translations!$B$1266</f>
        <v>Analyse biomass fraction</v>
      </c>
      <c r="N573" s="149" t="s">
        <v>1761</v>
      </c>
      <c r="O573" s="150"/>
      <c r="P573" s="103">
        <v>3</v>
      </c>
      <c r="Q573" s="147" t="str">
        <f t="shared" si="88"/>
        <v>Metal ore: Process (method A): non-carbonate</v>
      </c>
      <c r="R573" s="17"/>
      <c r="S573" s="17" t="str">
        <f t="shared" si="86"/>
        <v>BioC_Metal ore: Process (method A): non-carbonate</v>
      </c>
      <c r="W573" s="226"/>
      <c r="X573" s="69"/>
      <c r="Z573" s="21" t="b">
        <f t="shared" si="87"/>
        <v>0</v>
      </c>
      <c r="AL573" s="624">
        <v>1</v>
      </c>
      <c r="AM573" s="624" t="str">
        <f>Translations!$B$510</f>
        <v>Type II biomass fraction</v>
      </c>
      <c r="AN573" s="624" t="s">
        <v>992</v>
      </c>
      <c r="AO573" s="624" t="s">
        <v>992</v>
      </c>
      <c r="AP573" s="624"/>
      <c r="AQ573" s="624">
        <v>2</v>
      </c>
      <c r="AR573" s="624">
        <v>3</v>
      </c>
    </row>
    <row r="574" spans="1:44" ht="12.75" customHeight="1" outlineLevel="1" x14ac:dyDescent="0.2">
      <c r="A574" s="21">
        <v>22</v>
      </c>
      <c r="B574" s="611" t="str">
        <f t="shared" si="89"/>
        <v>Metal ore roasting or sintering</v>
      </c>
      <c r="C574" s="17" t="str">
        <f t="shared" si="89"/>
        <v>Metal ore</v>
      </c>
      <c r="D574" s="17" t="str">
        <f t="shared" si="89"/>
        <v>Process (method B): oxide output</v>
      </c>
      <c r="E574" s="602"/>
      <c r="F574" s="151" t="str">
        <f t="shared" si="85"/>
        <v>Standard method: Process, Article 24(2)</v>
      </c>
      <c r="G574" s="103" t="str">
        <f>EUconst_NA</f>
        <v>n.a.</v>
      </c>
      <c r="H574" s="149"/>
      <c r="I574" s="149"/>
      <c r="J574" s="151"/>
      <c r="K574" s="151"/>
      <c r="L574" s="149"/>
      <c r="M574" s="149"/>
      <c r="N574" s="149"/>
      <c r="O574" s="150"/>
      <c r="P574" s="103" t="str">
        <f>IF(G574=EUconst_NA,EUconst_NA,IF(ISBLANK(J574),COUNTA(H574:O574),COUNTA(H574,J574,L574)))</f>
        <v>n.a.</v>
      </c>
      <c r="Q574" s="147" t="str">
        <f t="shared" si="88"/>
        <v>Metal ore: Process (method B): oxide output</v>
      </c>
      <c r="R574" s="17"/>
      <c r="S574" s="17" t="str">
        <f t="shared" si="86"/>
        <v>BioC_Metal ore: Process (method B): oxide output</v>
      </c>
      <c r="W574" s="226"/>
      <c r="X574" s="69"/>
      <c r="Z574" s="21" t="b">
        <f t="shared" si="87"/>
        <v>1</v>
      </c>
      <c r="AL574" s="624" t="s">
        <v>992</v>
      </c>
      <c r="AM574" s="624" t="s">
        <v>992</v>
      </c>
      <c r="AN574" s="624" t="s">
        <v>992</v>
      </c>
      <c r="AO574" s="624" t="s">
        <v>992</v>
      </c>
      <c r="AP574" s="624"/>
      <c r="AQ574" s="624" t="s">
        <v>992</v>
      </c>
      <c r="AR574" s="624"/>
    </row>
    <row r="575" spans="1:44" ht="12.75" customHeight="1" outlineLevel="1" x14ac:dyDescent="0.2">
      <c r="A575" s="21">
        <v>23</v>
      </c>
      <c r="B575" s="611" t="str">
        <f t="shared" si="89"/>
        <v>Metal ore roasting or sintering</v>
      </c>
      <c r="C575" s="17" t="str">
        <f t="shared" si="89"/>
        <v>Metal ore</v>
      </c>
      <c r="D575" s="17" t="str">
        <f t="shared" si="89"/>
        <v>Mass balance</v>
      </c>
      <c r="E575" s="17"/>
      <c r="F575" s="151" t="str">
        <f t="shared" si="85"/>
        <v>Mass balance method, Article 25</v>
      </c>
      <c r="G575" s="103">
        <v>1</v>
      </c>
      <c r="H575" s="149" t="str">
        <f>Translations!$B$505</f>
        <v>Type I biomass fraction</v>
      </c>
      <c r="I575" s="149" t="str">
        <f>Translations!$B$510</f>
        <v>Type II biomass fraction</v>
      </c>
      <c r="J575" s="149"/>
      <c r="K575" s="149"/>
      <c r="L575" s="149"/>
      <c r="M575" s="149" t="str">
        <f>Translations!$B$1266</f>
        <v>Analyse biomass fraction</v>
      </c>
      <c r="N575" s="149" t="s">
        <v>1761</v>
      </c>
      <c r="O575" s="150"/>
      <c r="P575" s="103">
        <v>3</v>
      </c>
      <c r="Q575" s="147" t="str">
        <f t="shared" si="88"/>
        <v>Metal ore: Mass balance</v>
      </c>
      <c r="R575" s="17"/>
      <c r="S575" s="17" t="str">
        <f t="shared" si="86"/>
        <v>BioC_Metal ore: Mass balance</v>
      </c>
      <c r="X575" s="69"/>
      <c r="Z575" s="21" t="b">
        <f t="shared" si="87"/>
        <v>0</v>
      </c>
      <c r="AL575" s="624">
        <v>1</v>
      </c>
      <c r="AM575" s="624" t="str">
        <f>Translations!$B$510</f>
        <v>Type II biomass fraction</v>
      </c>
      <c r="AN575" s="624" t="s">
        <v>992</v>
      </c>
      <c r="AO575" s="624" t="s">
        <v>992</v>
      </c>
      <c r="AP575" s="624"/>
      <c r="AQ575" s="624">
        <v>2</v>
      </c>
      <c r="AR575" s="624">
        <v>3</v>
      </c>
    </row>
    <row r="576" spans="1:44" ht="12.75" customHeight="1" outlineLevel="1" x14ac:dyDescent="0.2">
      <c r="A576" s="21">
        <v>24</v>
      </c>
      <c r="B576" s="611" t="str">
        <f t="shared" si="89"/>
        <v>Production of iron or steel</v>
      </c>
      <c r="C576" s="17" t="str">
        <f t="shared" si="89"/>
        <v>Iron &amp; steel</v>
      </c>
      <c r="D576" s="17" t="str">
        <f t="shared" si="89"/>
        <v>Fuel as process input</v>
      </c>
      <c r="E576" s="17"/>
      <c r="F576" s="151" t="str">
        <f t="shared" si="85"/>
        <v>Standard method: Fuel, Article 24(1)</v>
      </c>
      <c r="G576" s="103">
        <v>1</v>
      </c>
      <c r="H576" s="149" t="str">
        <f>Translations!$B$505</f>
        <v>Type I biomass fraction</v>
      </c>
      <c r="I576" s="149" t="str">
        <f>Translations!$B$510</f>
        <v>Type II biomass fraction</v>
      </c>
      <c r="J576" s="149"/>
      <c r="K576" s="149"/>
      <c r="L576" s="149"/>
      <c r="M576" s="149" t="str">
        <f>Translations!$B$1266</f>
        <v>Analyse biomass fraction</v>
      </c>
      <c r="N576" s="149" t="s">
        <v>1761</v>
      </c>
      <c r="O576" s="150"/>
      <c r="P576" s="103">
        <v>3</v>
      </c>
      <c r="Q576" s="147" t="str">
        <f t="shared" si="88"/>
        <v>Iron &amp; steel: Fuel as process input</v>
      </c>
      <c r="R576" s="17"/>
      <c r="S576" s="17" t="str">
        <f t="shared" si="86"/>
        <v>BioC_Iron &amp; steel: Fuel as process input</v>
      </c>
      <c r="X576" s="69"/>
      <c r="Z576" s="21" t="b">
        <f t="shared" si="87"/>
        <v>0</v>
      </c>
      <c r="AL576" s="624">
        <v>1</v>
      </c>
      <c r="AM576" s="624" t="str">
        <f>Translations!$B$510</f>
        <v>Type II biomass fraction</v>
      </c>
      <c r="AN576" s="624" t="s">
        <v>992</v>
      </c>
      <c r="AO576" s="624" t="s">
        <v>992</v>
      </c>
      <c r="AP576" s="624"/>
      <c r="AQ576" s="624">
        <v>2</v>
      </c>
      <c r="AR576" s="624">
        <v>3</v>
      </c>
    </row>
    <row r="577" spans="1:44" ht="12.75" customHeight="1" outlineLevel="1" x14ac:dyDescent="0.2">
      <c r="A577" s="21">
        <v>25</v>
      </c>
      <c r="B577" s="611" t="str">
        <f t="shared" si="89"/>
        <v>Production of iron or steel</v>
      </c>
      <c r="C577" s="17" t="str">
        <f t="shared" si="89"/>
        <v>Iron &amp; steel</v>
      </c>
      <c r="D577" s="17" t="str">
        <f t="shared" si="89"/>
        <v>Process (method A): carbonate only</v>
      </c>
      <c r="E577" s="602"/>
      <c r="F577" s="151" t="str">
        <f t="shared" si="85"/>
        <v>Standard method: Process, Article 24(2)</v>
      </c>
      <c r="G577" s="103" t="str">
        <f>EUconst_NA</f>
        <v>n.a.</v>
      </c>
      <c r="H577" s="149"/>
      <c r="I577" s="149"/>
      <c r="J577" s="151"/>
      <c r="K577" s="151"/>
      <c r="L577" s="149"/>
      <c r="M577" s="149"/>
      <c r="N577" s="149"/>
      <c r="O577" s="150"/>
      <c r="P577" s="103" t="str">
        <f>IF(G577=EUconst_NA,EUconst_NA,IF(ISBLANK(J577),COUNTA(H577:O577),COUNTA(H577,J577,L577)))</f>
        <v>n.a.</v>
      </c>
      <c r="Q577" s="147" t="str">
        <f t="shared" si="88"/>
        <v>Iron &amp; steel: Process (method A): carbonate only</v>
      </c>
      <c r="R577" s="17"/>
      <c r="S577" s="17" t="str">
        <f t="shared" si="86"/>
        <v>BioC_Iron &amp; steel: Process (method A): carbonate only</v>
      </c>
      <c r="W577" s="226"/>
      <c r="X577" s="69"/>
      <c r="Z577" s="21" t="b">
        <f t="shared" si="87"/>
        <v>1</v>
      </c>
      <c r="AL577" s="624" t="s">
        <v>992</v>
      </c>
      <c r="AM577" s="624" t="s">
        <v>992</v>
      </c>
      <c r="AN577" s="624" t="s">
        <v>992</v>
      </c>
      <c r="AO577" s="624" t="s">
        <v>992</v>
      </c>
      <c r="AP577" s="624"/>
      <c r="AQ577" s="624" t="s">
        <v>992</v>
      </c>
      <c r="AR577" s="624"/>
    </row>
    <row r="578" spans="1:44" ht="12.75" customHeight="1" outlineLevel="1" x14ac:dyDescent="0.2">
      <c r="A578" s="21">
        <v>26</v>
      </c>
      <c r="B578" s="611" t="str">
        <f t="shared" si="89"/>
        <v>Production of iron or steel</v>
      </c>
      <c r="C578" s="17" t="str">
        <f t="shared" si="89"/>
        <v>Iron &amp; steel</v>
      </c>
      <c r="D578" s="17" t="str">
        <f t="shared" si="89"/>
        <v>Process (method A): mixed (carbonate + non-carbonate)</v>
      </c>
      <c r="E578" s="602"/>
      <c r="F578" s="151" t="str">
        <f t="shared" si="85"/>
        <v>Standard method: Process, Article 24(2)</v>
      </c>
      <c r="G578" s="103">
        <v>1</v>
      </c>
      <c r="H578" s="149" t="str">
        <f>Translations!$B$505</f>
        <v>Type I biomass fraction</v>
      </c>
      <c r="I578" s="149" t="str">
        <f>Translations!$B$510</f>
        <v>Type II biomass fraction</v>
      </c>
      <c r="J578" s="149"/>
      <c r="K578" s="149"/>
      <c r="L578" s="149"/>
      <c r="M578" s="149" t="str">
        <f>Translations!$B$1266</f>
        <v>Analyse biomass fraction</v>
      </c>
      <c r="N578" s="149" t="s">
        <v>1761</v>
      </c>
      <c r="O578" s="150"/>
      <c r="P578" s="103">
        <v>3</v>
      </c>
      <c r="Q578" s="147" t="str">
        <f t="shared" si="88"/>
        <v>Iron &amp; steel: Process (method A): mixed (carbonate + non-carbonate)</v>
      </c>
      <c r="R578" s="17"/>
      <c r="S578" s="17" t="str">
        <f t="shared" si="86"/>
        <v>BioC_Iron &amp; steel: Process (method A): mixed (carbonate + non-carbonate)</v>
      </c>
      <c r="W578" s="226"/>
      <c r="X578" s="69"/>
      <c r="Z578" s="21" t="b">
        <f t="shared" si="87"/>
        <v>0</v>
      </c>
      <c r="AL578" s="624">
        <v>1</v>
      </c>
      <c r="AM578" s="624" t="str">
        <f>Translations!$B$510</f>
        <v>Type II biomass fraction</v>
      </c>
      <c r="AN578" s="624" t="s">
        <v>992</v>
      </c>
      <c r="AO578" s="624" t="s">
        <v>992</v>
      </c>
      <c r="AP578" s="624"/>
      <c r="AQ578" s="624">
        <v>2</v>
      </c>
      <c r="AR578" s="624">
        <v>3</v>
      </c>
    </row>
    <row r="579" spans="1:44" ht="12.75" customHeight="1" outlineLevel="1" x14ac:dyDescent="0.2">
      <c r="A579" s="21">
        <v>27</v>
      </c>
      <c r="B579" s="611" t="str">
        <f t="shared" si="89"/>
        <v>Production of iron or steel</v>
      </c>
      <c r="C579" s="17" t="str">
        <f t="shared" si="89"/>
        <v>Iron &amp; steel</v>
      </c>
      <c r="D579" s="17" t="str">
        <f t="shared" si="89"/>
        <v>Process (method A): non-carbonate</v>
      </c>
      <c r="E579" s="602"/>
      <c r="F579" s="151" t="str">
        <f t="shared" si="85"/>
        <v>Standard method: Process, Article 24(2)</v>
      </c>
      <c r="G579" s="103">
        <v>1</v>
      </c>
      <c r="H579" s="149" t="str">
        <f>Translations!$B$505</f>
        <v>Type I biomass fraction</v>
      </c>
      <c r="I579" s="149" t="str">
        <f>Translations!$B$510</f>
        <v>Type II biomass fraction</v>
      </c>
      <c r="J579" s="149"/>
      <c r="K579" s="149"/>
      <c r="L579" s="149"/>
      <c r="M579" s="149" t="str">
        <f>Translations!$B$1266</f>
        <v>Analyse biomass fraction</v>
      </c>
      <c r="N579" s="149" t="s">
        <v>1761</v>
      </c>
      <c r="O579" s="150"/>
      <c r="P579" s="103">
        <v>3</v>
      </c>
      <c r="Q579" s="147" t="str">
        <f t="shared" si="88"/>
        <v>Iron &amp; steel: Process (method A): non-carbonate</v>
      </c>
      <c r="R579" s="17"/>
      <c r="S579" s="17" t="str">
        <f t="shared" si="86"/>
        <v>BioC_Iron &amp; steel: Process (method A): non-carbonate</v>
      </c>
      <c r="W579" s="226"/>
      <c r="X579" s="69"/>
      <c r="Z579" s="21" t="b">
        <f t="shared" si="87"/>
        <v>0</v>
      </c>
      <c r="AL579" s="624">
        <v>1</v>
      </c>
      <c r="AM579" s="624" t="str">
        <f>Translations!$B$510</f>
        <v>Type II biomass fraction</v>
      </c>
      <c r="AN579" s="624" t="s">
        <v>992</v>
      </c>
      <c r="AO579" s="624" t="s">
        <v>992</v>
      </c>
      <c r="AP579" s="624"/>
      <c r="AQ579" s="624">
        <v>2</v>
      </c>
      <c r="AR579" s="624">
        <v>3</v>
      </c>
    </row>
    <row r="580" spans="1:44" ht="12.75" customHeight="1" outlineLevel="1" x14ac:dyDescent="0.2">
      <c r="A580" s="21">
        <v>28</v>
      </c>
      <c r="B580" s="611" t="str">
        <f t="shared" si="89"/>
        <v>Production of iron or steel</v>
      </c>
      <c r="C580" s="17" t="str">
        <f t="shared" si="89"/>
        <v>Iron &amp; steel</v>
      </c>
      <c r="D580" s="17" t="str">
        <f t="shared" si="89"/>
        <v>Process (method B): oxide output</v>
      </c>
      <c r="E580" s="602"/>
      <c r="F580" s="151" t="str">
        <f t="shared" si="85"/>
        <v>Standard method: Process, Article 24(2)</v>
      </c>
      <c r="G580" s="103" t="str">
        <f>EUconst_NA</f>
        <v>n.a.</v>
      </c>
      <c r="H580" s="149"/>
      <c r="I580" s="149"/>
      <c r="J580" s="151"/>
      <c r="K580" s="151"/>
      <c r="L580" s="149"/>
      <c r="M580" s="149"/>
      <c r="N580" s="149"/>
      <c r="O580" s="150"/>
      <c r="P580" s="103" t="str">
        <f>IF(G580=EUconst_NA,EUconst_NA,IF(ISBLANK(J580),COUNTA(H580:O580),COUNTA(H580,J580,L580)))</f>
        <v>n.a.</v>
      </c>
      <c r="Q580" s="147" t="str">
        <f t="shared" si="88"/>
        <v>Iron &amp; steel: Process (method B): oxide output</v>
      </c>
      <c r="R580" s="17"/>
      <c r="S580" s="17" t="str">
        <f t="shared" si="86"/>
        <v>BioC_Iron &amp; steel: Process (method B): oxide output</v>
      </c>
      <c r="W580" s="226"/>
      <c r="X580" s="69"/>
      <c r="Z580" s="21" t="b">
        <f t="shared" si="87"/>
        <v>1</v>
      </c>
      <c r="AL580" s="624" t="s">
        <v>992</v>
      </c>
      <c r="AM580" s="624" t="s">
        <v>992</v>
      </c>
      <c r="AN580" s="624" t="s">
        <v>992</v>
      </c>
      <c r="AO580" s="624" t="s">
        <v>992</v>
      </c>
      <c r="AP580" s="624"/>
      <c r="AQ580" s="624" t="s">
        <v>992</v>
      </c>
      <c r="AR580" s="624"/>
    </row>
    <row r="581" spans="1:44" ht="12.75" customHeight="1" outlineLevel="1" x14ac:dyDescent="0.2">
      <c r="A581" s="21">
        <v>29</v>
      </c>
      <c r="B581" s="611" t="str">
        <f t="shared" si="89"/>
        <v>Production of iron or steel</v>
      </c>
      <c r="C581" s="17" t="str">
        <f t="shared" si="89"/>
        <v>Iron &amp; steel</v>
      </c>
      <c r="D581" s="17" t="str">
        <f t="shared" si="89"/>
        <v>Mass balance</v>
      </c>
      <c r="E581" s="17"/>
      <c r="F581" s="151" t="str">
        <f t="shared" si="85"/>
        <v>Mass balance method, Article 25</v>
      </c>
      <c r="G581" s="103">
        <v>1</v>
      </c>
      <c r="H581" s="149" t="str">
        <f>Translations!$B$505</f>
        <v>Type I biomass fraction</v>
      </c>
      <c r="I581" s="149" t="str">
        <f>Translations!$B$510</f>
        <v>Type II biomass fraction</v>
      </c>
      <c r="J581" s="149"/>
      <c r="K581" s="149"/>
      <c r="L581" s="149"/>
      <c r="M581" s="149" t="str">
        <f>Translations!$B$1266</f>
        <v>Analyse biomass fraction</v>
      </c>
      <c r="N581" s="149" t="s">
        <v>1761</v>
      </c>
      <c r="O581" s="150"/>
      <c r="P581" s="103">
        <v>3</v>
      </c>
      <c r="Q581" s="147" t="str">
        <f t="shared" si="88"/>
        <v>Iron &amp; steel: Mass balance</v>
      </c>
      <c r="R581" s="17"/>
      <c r="S581" s="17" t="str">
        <f t="shared" si="86"/>
        <v>BioC_Iron &amp; steel: Mass balance</v>
      </c>
      <c r="X581" s="69"/>
      <c r="Z581" s="21" t="b">
        <f t="shared" si="87"/>
        <v>0</v>
      </c>
      <c r="AL581" s="624">
        <v>1</v>
      </c>
      <c r="AM581" s="624" t="str">
        <f>Translations!$B$510</f>
        <v>Type II biomass fraction</v>
      </c>
      <c r="AN581" s="624" t="s">
        <v>992</v>
      </c>
      <c r="AO581" s="624" t="s">
        <v>992</v>
      </c>
      <c r="AP581" s="624"/>
      <c r="AQ581" s="624">
        <v>2</v>
      </c>
      <c r="AR581" s="624">
        <v>3</v>
      </c>
    </row>
    <row r="582" spans="1:44" ht="12.75" customHeight="1" outlineLevel="1" x14ac:dyDescent="0.2">
      <c r="A582" s="21">
        <v>30</v>
      </c>
      <c r="B582" s="611" t="str">
        <f t="shared" si="89"/>
        <v>Production of cement clinker</v>
      </c>
      <c r="C582" s="17" t="str">
        <f t="shared" si="89"/>
        <v>Cement clinker</v>
      </c>
      <c r="D582" s="17" t="str">
        <f t="shared" si="89"/>
        <v>Kiln input based (Method A)</v>
      </c>
      <c r="E582" s="17"/>
      <c r="F582" s="151" t="str">
        <f t="shared" si="85"/>
        <v>Standard method: Process, Article 24(2)</v>
      </c>
      <c r="G582" s="103" t="str">
        <f>EUconst_NA</f>
        <v>n.a.</v>
      </c>
      <c r="H582" s="149"/>
      <c r="I582" s="149"/>
      <c r="J582" s="151"/>
      <c r="K582" s="151"/>
      <c r="L582" s="149"/>
      <c r="M582" s="149"/>
      <c r="N582" s="149"/>
      <c r="O582" s="150"/>
      <c r="P582" s="103" t="str">
        <f>IF(G582=EUconst_NA,EUconst_NA,IF(ISBLANK(J582),COUNTA(H582:O582),COUNTA(H582,J582,L582)))</f>
        <v>n.a.</v>
      </c>
      <c r="Q582" s="147" t="str">
        <f t="shared" si="88"/>
        <v>Cement clinker: Kiln input based (Method A)</v>
      </c>
      <c r="R582" s="17"/>
      <c r="S582" s="17" t="str">
        <f t="shared" si="86"/>
        <v>BioC_Cement clinker: Kiln input based (Method A)</v>
      </c>
      <c r="X582" s="69"/>
      <c r="Z582" s="21" t="b">
        <f t="shared" si="87"/>
        <v>1</v>
      </c>
      <c r="AL582" s="624" t="s">
        <v>992</v>
      </c>
      <c r="AM582" s="624" t="s">
        <v>992</v>
      </c>
      <c r="AN582" s="624" t="s">
        <v>992</v>
      </c>
      <c r="AO582" s="624" t="s">
        <v>992</v>
      </c>
      <c r="AP582" s="624"/>
      <c r="AQ582" s="624" t="s">
        <v>992</v>
      </c>
      <c r="AR582" s="624"/>
    </row>
    <row r="583" spans="1:44" ht="12.75" customHeight="1" outlineLevel="1" x14ac:dyDescent="0.2">
      <c r="A583" s="21">
        <v>31</v>
      </c>
      <c r="B583" s="611" t="str">
        <f t="shared" si="89"/>
        <v>Production of cement clinker</v>
      </c>
      <c r="C583" s="17" t="str">
        <f t="shared" si="89"/>
        <v>Cement clinker</v>
      </c>
      <c r="D583" s="17" t="str">
        <f t="shared" si="89"/>
        <v>Clinker output (Method B)</v>
      </c>
      <c r="E583" s="17"/>
      <c r="F583" s="151" t="str">
        <f t="shared" si="85"/>
        <v>Standard method: Process, Article 24(2)</v>
      </c>
      <c r="G583" s="103" t="str">
        <f>EUconst_NA</f>
        <v>n.a.</v>
      </c>
      <c r="H583" s="149"/>
      <c r="I583" s="149"/>
      <c r="J583" s="151"/>
      <c r="K583" s="151"/>
      <c r="L583" s="149"/>
      <c r="M583" s="149"/>
      <c r="N583" s="149"/>
      <c r="O583" s="150"/>
      <c r="P583" s="103" t="str">
        <f>IF(G583=EUconst_NA,EUconst_NA,IF(ISBLANK(J583),COUNTA(H583:O583),COUNTA(H583,J583,L583)))</f>
        <v>n.a.</v>
      </c>
      <c r="Q583" s="147" t="str">
        <f t="shared" si="88"/>
        <v>Cement clinker: Clinker output (Method B)</v>
      </c>
      <c r="R583" s="17"/>
      <c r="S583" s="17" t="str">
        <f t="shared" si="86"/>
        <v>BioC_Cement clinker: Clinker output (Method B)</v>
      </c>
      <c r="X583" s="69"/>
      <c r="Z583" s="21" t="b">
        <f t="shared" si="87"/>
        <v>1</v>
      </c>
      <c r="AL583" s="624" t="s">
        <v>992</v>
      </c>
      <c r="AM583" s="624" t="s">
        <v>992</v>
      </c>
      <c r="AN583" s="624" t="s">
        <v>992</v>
      </c>
      <c r="AO583" s="624" t="s">
        <v>992</v>
      </c>
      <c r="AP583" s="624"/>
      <c r="AQ583" s="624" t="s">
        <v>992</v>
      </c>
      <c r="AR583" s="624"/>
    </row>
    <row r="584" spans="1:44" ht="12.75" customHeight="1" outlineLevel="1" x14ac:dyDescent="0.2">
      <c r="A584" s="21">
        <v>32</v>
      </c>
      <c r="B584" s="611" t="str">
        <f t="shared" si="89"/>
        <v>Production of cement clinker</v>
      </c>
      <c r="C584" s="17" t="str">
        <f t="shared" si="89"/>
        <v>Cement clinker</v>
      </c>
      <c r="D584" s="17" t="str">
        <f t="shared" si="89"/>
        <v>CKD</v>
      </c>
      <c r="E584" s="17"/>
      <c r="F584" s="151" t="str">
        <f t="shared" si="85"/>
        <v>Standard method: Process, Article 24(2)</v>
      </c>
      <c r="G584" s="103" t="str">
        <f>EUconst_NA</f>
        <v>n.a.</v>
      </c>
      <c r="H584" s="149"/>
      <c r="I584" s="149"/>
      <c r="J584" s="151"/>
      <c r="K584" s="151"/>
      <c r="L584" s="149"/>
      <c r="M584" s="149"/>
      <c r="N584" s="149"/>
      <c r="O584" s="150"/>
      <c r="P584" s="103" t="str">
        <f>IF(G584=EUconst_NA,EUconst_NA,IF(ISBLANK(J584),COUNTA(H584:O584),COUNTA(H584,J584,L584)))</f>
        <v>n.a.</v>
      </c>
      <c r="Q584" s="147" t="str">
        <f t="shared" si="88"/>
        <v>Cement clinker: CKD</v>
      </c>
      <c r="R584" s="17"/>
      <c r="S584" s="17" t="str">
        <f t="shared" si="86"/>
        <v>BioC_Cement clinker: CKD</v>
      </c>
      <c r="X584" s="69"/>
      <c r="Z584" s="21" t="b">
        <f t="shared" si="87"/>
        <v>1</v>
      </c>
      <c r="AL584" s="624" t="s">
        <v>992</v>
      </c>
      <c r="AM584" s="624" t="s">
        <v>992</v>
      </c>
      <c r="AN584" s="624" t="s">
        <v>992</v>
      </c>
      <c r="AO584" s="624" t="s">
        <v>992</v>
      </c>
      <c r="AP584" s="624"/>
      <c r="AQ584" s="624" t="s">
        <v>992</v>
      </c>
      <c r="AR584" s="624"/>
    </row>
    <row r="585" spans="1:44" ht="12.75" customHeight="1" outlineLevel="1" x14ac:dyDescent="0.2">
      <c r="A585" s="21">
        <v>33</v>
      </c>
      <c r="B585" s="611" t="str">
        <f t="shared" si="89"/>
        <v>Production of cement clinker</v>
      </c>
      <c r="C585" s="17" t="str">
        <f t="shared" si="89"/>
        <v>Cement clinker</v>
      </c>
      <c r="D585" s="17" t="str">
        <f t="shared" si="89"/>
        <v>Non-carbonate carbon</v>
      </c>
      <c r="E585" s="17"/>
      <c r="F585" s="151" t="str">
        <f t="shared" ref="F585:F613" si="90">F513</f>
        <v>Standard method: Process, Article 24(2)</v>
      </c>
      <c r="G585" s="103">
        <v>1</v>
      </c>
      <c r="H585" s="149" t="str">
        <f>Translations!$B$505</f>
        <v>Type I biomass fraction</v>
      </c>
      <c r="I585" s="149" t="str">
        <f>Translations!$B$510</f>
        <v>Type II biomass fraction</v>
      </c>
      <c r="J585" s="149"/>
      <c r="K585" s="149"/>
      <c r="L585" s="149"/>
      <c r="M585" s="149" t="str">
        <f>Translations!$B$1266</f>
        <v>Analyse biomass fraction</v>
      </c>
      <c r="N585" s="149" t="s">
        <v>1761</v>
      </c>
      <c r="O585" s="150"/>
      <c r="P585" s="103">
        <v>3</v>
      </c>
      <c r="Q585" s="147" t="str">
        <f t="shared" si="88"/>
        <v>Cement clinker: Non-carbonate carbon</v>
      </c>
      <c r="R585" s="17"/>
      <c r="S585" s="17" t="str">
        <f t="shared" si="86"/>
        <v>BioC_Cement clinker: Non-carbonate carbon</v>
      </c>
      <c r="Z585" s="21" t="b">
        <f t="shared" si="87"/>
        <v>0</v>
      </c>
      <c r="AL585" s="624">
        <v>1</v>
      </c>
      <c r="AM585" s="624" t="str">
        <f>Translations!$B$510</f>
        <v>Type II biomass fraction</v>
      </c>
      <c r="AN585" s="624" t="s">
        <v>992</v>
      </c>
      <c r="AO585" s="624" t="s">
        <v>992</v>
      </c>
      <c r="AP585" s="624"/>
      <c r="AQ585" s="624">
        <v>2</v>
      </c>
      <c r="AR585" s="624">
        <v>3</v>
      </c>
    </row>
    <row r="586" spans="1:44" ht="12.75" customHeight="1" outlineLevel="1" x14ac:dyDescent="0.2">
      <c r="A586" s="21">
        <v>34</v>
      </c>
      <c r="B586" s="611" t="str">
        <f t="shared" si="89"/>
        <v>Production of lime, or calcination of dolomite/magnesite</v>
      </c>
      <c r="C586" s="17" t="str">
        <f t="shared" si="89"/>
        <v>Lime / dolomite / magnesite</v>
      </c>
      <c r="D586" s="17" t="str">
        <f t="shared" si="89"/>
        <v>Process (method A): carbonate only</v>
      </c>
      <c r="E586" s="602"/>
      <c r="F586" s="151" t="str">
        <f t="shared" si="90"/>
        <v>Standard method: Process, Article 24(2)</v>
      </c>
      <c r="G586" s="103" t="str">
        <f>EUconst_NA</f>
        <v>n.a.</v>
      </c>
      <c r="H586" s="149"/>
      <c r="I586" s="149"/>
      <c r="J586" s="151"/>
      <c r="K586" s="151"/>
      <c r="L586" s="149"/>
      <c r="M586" s="149"/>
      <c r="N586" s="149"/>
      <c r="O586" s="150"/>
      <c r="P586" s="103" t="str">
        <f>IF(G586=EUconst_NA,EUconst_NA,IF(ISBLANK(J586),COUNTA(H586:O586),COUNTA(H586,J586,L586)))</f>
        <v>n.a.</v>
      </c>
      <c r="Q586" s="147" t="str">
        <f t="shared" si="88"/>
        <v>Lime / dolomite / magnesite: Process (method A): carbonate only</v>
      </c>
      <c r="R586" s="17"/>
      <c r="S586" s="17" t="str">
        <f t="shared" ref="S586:S613" si="91">EUconst_CNTR_BiomassContent&amp;Q586</f>
        <v>BioC_Lime / dolomite / magnesite: Process (method A): carbonate only</v>
      </c>
      <c r="Z586" s="21" t="b">
        <f t="shared" si="87"/>
        <v>1</v>
      </c>
      <c r="AL586" s="624" t="s">
        <v>992</v>
      </c>
      <c r="AM586" s="624" t="s">
        <v>992</v>
      </c>
      <c r="AN586" s="624" t="s">
        <v>992</v>
      </c>
      <c r="AO586" s="624" t="s">
        <v>992</v>
      </c>
      <c r="AP586" s="624"/>
      <c r="AQ586" s="624" t="s">
        <v>992</v>
      </c>
      <c r="AR586" s="624"/>
    </row>
    <row r="587" spans="1:44" ht="12.75" customHeight="1" outlineLevel="1" x14ac:dyDescent="0.2">
      <c r="A587" s="21">
        <v>35</v>
      </c>
      <c r="B587" s="611" t="str">
        <f t="shared" si="89"/>
        <v>Production of lime, or calcination of dolomite/magnesite</v>
      </c>
      <c r="C587" s="17" t="str">
        <f t="shared" si="89"/>
        <v>Lime / dolomite / magnesite</v>
      </c>
      <c r="D587" s="17" t="str">
        <f t="shared" si="89"/>
        <v>Process (method A): mixed (carbonate + non-carbonate)</v>
      </c>
      <c r="E587" s="602"/>
      <c r="F587" s="151" t="str">
        <f t="shared" si="90"/>
        <v>Standard method: Process, Article 24(2)</v>
      </c>
      <c r="G587" s="103">
        <v>1</v>
      </c>
      <c r="H587" s="149" t="str">
        <f>Translations!$B$505</f>
        <v>Type I biomass fraction</v>
      </c>
      <c r="I587" s="149" t="str">
        <f>Translations!$B$510</f>
        <v>Type II biomass fraction</v>
      </c>
      <c r="J587" s="149"/>
      <c r="K587" s="149"/>
      <c r="L587" s="149"/>
      <c r="M587" s="149" t="str">
        <f>Translations!$B$1266</f>
        <v>Analyse biomass fraction</v>
      </c>
      <c r="N587" s="149" t="s">
        <v>1761</v>
      </c>
      <c r="O587" s="150"/>
      <c r="P587" s="103">
        <v>3</v>
      </c>
      <c r="Q587" s="147" t="str">
        <f t="shared" si="88"/>
        <v>Lime / dolomite / magnesite: Process (method A): mixed (carbonate + non-carbonate)</v>
      </c>
      <c r="R587" s="17"/>
      <c r="S587" s="17" t="str">
        <f t="shared" si="91"/>
        <v>BioC_Lime / dolomite / magnesite: Process (method A): mixed (carbonate + non-carbonate)</v>
      </c>
      <c r="Z587" s="21" t="b">
        <f t="shared" si="87"/>
        <v>0</v>
      </c>
      <c r="AL587" s="624">
        <v>1</v>
      </c>
      <c r="AM587" s="624" t="str">
        <f>Translations!$B$510</f>
        <v>Type II biomass fraction</v>
      </c>
      <c r="AN587" s="624" t="s">
        <v>992</v>
      </c>
      <c r="AO587" s="624" t="s">
        <v>992</v>
      </c>
      <c r="AP587" s="624"/>
      <c r="AQ587" s="624">
        <v>2</v>
      </c>
      <c r="AR587" s="624">
        <v>3</v>
      </c>
    </row>
    <row r="588" spans="1:44" ht="12.75" customHeight="1" outlineLevel="1" x14ac:dyDescent="0.2">
      <c r="A588" s="21">
        <v>36</v>
      </c>
      <c r="B588" s="611" t="str">
        <f t="shared" si="89"/>
        <v>Production of lime, or calcination of dolomite/magnesite</v>
      </c>
      <c r="C588" s="17" t="str">
        <f t="shared" si="89"/>
        <v>Lime / dolomite / magnesite</v>
      </c>
      <c r="D588" s="17" t="str">
        <f t="shared" si="89"/>
        <v>Process (method A): non-carbonate</v>
      </c>
      <c r="E588" s="602"/>
      <c r="F588" s="151" t="str">
        <f t="shared" si="90"/>
        <v>Standard method: Process, Article 24(2)</v>
      </c>
      <c r="G588" s="103">
        <v>1</v>
      </c>
      <c r="H588" s="149" t="str">
        <f>Translations!$B$505</f>
        <v>Type I biomass fraction</v>
      </c>
      <c r="I588" s="149" t="str">
        <f>Translations!$B$510</f>
        <v>Type II biomass fraction</v>
      </c>
      <c r="J588" s="149"/>
      <c r="K588" s="149"/>
      <c r="L588" s="149"/>
      <c r="M588" s="149" t="str">
        <f>Translations!$B$1266</f>
        <v>Analyse biomass fraction</v>
      </c>
      <c r="N588" s="149" t="s">
        <v>1761</v>
      </c>
      <c r="O588" s="150"/>
      <c r="P588" s="103">
        <v>3</v>
      </c>
      <c r="Q588" s="147" t="str">
        <f t="shared" si="88"/>
        <v>Lime / dolomite / magnesite: Process (method A): non-carbonate</v>
      </c>
      <c r="R588" s="17"/>
      <c r="S588" s="17" t="str">
        <f t="shared" si="91"/>
        <v>BioC_Lime / dolomite / magnesite: Process (method A): non-carbonate</v>
      </c>
      <c r="Z588" s="21" t="b">
        <f t="shared" si="87"/>
        <v>0</v>
      </c>
      <c r="AL588" s="624">
        <v>1</v>
      </c>
      <c r="AM588" s="624" t="str">
        <f>Translations!$B$510</f>
        <v>Type II biomass fraction</v>
      </c>
      <c r="AN588" s="624" t="s">
        <v>992</v>
      </c>
      <c r="AO588" s="624" t="s">
        <v>992</v>
      </c>
      <c r="AP588" s="624"/>
      <c r="AQ588" s="624">
        <v>2</v>
      </c>
      <c r="AR588" s="624">
        <v>3</v>
      </c>
    </row>
    <row r="589" spans="1:44" ht="12.75" customHeight="1" outlineLevel="1" x14ac:dyDescent="0.2">
      <c r="A589" s="21">
        <v>37</v>
      </c>
      <c r="B589" s="611" t="str">
        <f t="shared" si="89"/>
        <v>Production of lime, or calcination of dolomite/magnesite</v>
      </c>
      <c r="C589" s="17" t="str">
        <f t="shared" si="89"/>
        <v>Lime / dolomite / magnesite</v>
      </c>
      <c r="D589" s="17" t="str">
        <f t="shared" si="89"/>
        <v>Process (method B): oxide output</v>
      </c>
      <c r="E589" s="602"/>
      <c r="F589" s="151" t="str">
        <f t="shared" si="90"/>
        <v>Standard method: Process, Article 24(2)</v>
      </c>
      <c r="G589" s="103" t="str">
        <f>EUconst_NA</f>
        <v>n.a.</v>
      </c>
      <c r="H589" s="149"/>
      <c r="I589" s="149"/>
      <c r="J589" s="151"/>
      <c r="K589" s="151"/>
      <c r="L589" s="149"/>
      <c r="M589" s="149"/>
      <c r="N589" s="149"/>
      <c r="O589" s="150"/>
      <c r="P589" s="103" t="str">
        <f>IF(G589=EUconst_NA,EUconst_NA,IF(ISBLANK(J589),COUNTA(H589:O589),COUNTA(H589,J589,L589)))</f>
        <v>n.a.</v>
      </c>
      <c r="Q589" s="147" t="str">
        <f t="shared" si="88"/>
        <v>Lime / dolomite / magnesite: Process (method B): oxide output</v>
      </c>
      <c r="R589" s="17"/>
      <c r="S589" s="17" t="str">
        <f t="shared" si="91"/>
        <v>BioC_Lime / dolomite / magnesite: Process (method B): oxide output</v>
      </c>
      <c r="Z589" s="21" t="b">
        <f t="shared" si="87"/>
        <v>1</v>
      </c>
      <c r="AL589" s="624" t="s">
        <v>992</v>
      </c>
      <c r="AM589" s="624" t="s">
        <v>992</v>
      </c>
      <c r="AN589" s="624" t="s">
        <v>992</v>
      </c>
      <c r="AO589" s="624" t="s">
        <v>992</v>
      </c>
      <c r="AP589" s="624"/>
      <c r="AQ589" s="624" t="s">
        <v>992</v>
      </c>
      <c r="AR589" s="624"/>
    </row>
    <row r="590" spans="1:44" ht="12.75" customHeight="1" outlineLevel="1" x14ac:dyDescent="0.2">
      <c r="A590" s="21">
        <v>38</v>
      </c>
      <c r="B590" s="611" t="str">
        <f t="shared" si="89"/>
        <v>Production of lime, or calcination of dolomite/magnesite</v>
      </c>
      <c r="C590" s="17" t="str">
        <f t="shared" si="89"/>
        <v>Lime / dolomite / magnesite</v>
      </c>
      <c r="D590" s="17" t="str">
        <f t="shared" si="89"/>
        <v>Kiln dust (Method B)</v>
      </c>
      <c r="E590" s="17"/>
      <c r="F590" s="151" t="str">
        <f t="shared" si="90"/>
        <v>Standard method: Process, Article 24(2)</v>
      </c>
      <c r="G590" s="103" t="str">
        <f>EUconst_NA</f>
        <v>n.a.</v>
      </c>
      <c r="H590" s="149"/>
      <c r="I590" s="149"/>
      <c r="J590" s="151"/>
      <c r="K590" s="151"/>
      <c r="L590" s="149"/>
      <c r="M590" s="149"/>
      <c r="N590" s="149"/>
      <c r="O590" s="150"/>
      <c r="P590" s="103" t="str">
        <f>IF(G590=EUconst_NA,EUconst_NA,IF(ISBLANK(J590),COUNTA(H590:O590),COUNTA(H590,J590,L590)))</f>
        <v>n.a.</v>
      </c>
      <c r="Q590" s="147" t="str">
        <f t="shared" si="88"/>
        <v>Lime / dolomite / magnesite: Kiln dust (Method B)</v>
      </c>
      <c r="R590" s="17"/>
      <c r="S590" s="17" t="str">
        <f t="shared" si="91"/>
        <v>BioC_Lime / dolomite / magnesite: Kiln dust (Method B)</v>
      </c>
      <c r="Z590" s="21" t="b">
        <f t="shared" si="87"/>
        <v>1</v>
      </c>
      <c r="AL590" s="624" t="s">
        <v>992</v>
      </c>
      <c r="AM590" s="624" t="s">
        <v>992</v>
      </c>
      <c r="AN590" s="624" t="s">
        <v>992</v>
      </c>
      <c r="AO590" s="624" t="s">
        <v>992</v>
      </c>
      <c r="AP590" s="624"/>
      <c r="AQ590" s="624" t="s">
        <v>992</v>
      </c>
      <c r="AR590" s="624"/>
    </row>
    <row r="591" spans="1:44" ht="12.75" customHeight="1" outlineLevel="1" x14ac:dyDescent="0.2">
      <c r="A591" s="21">
        <v>39</v>
      </c>
      <c r="B591" s="611" t="str">
        <f t="shared" si="89"/>
        <v>Manufacture of glass</v>
      </c>
      <c r="C591" s="17" t="str">
        <f t="shared" si="89"/>
        <v>Glass and mineral wool</v>
      </c>
      <c r="D591" s="17" t="str">
        <f t="shared" si="89"/>
        <v>Process (method A): carbonate only</v>
      </c>
      <c r="E591" s="602"/>
      <c r="F591" s="151" t="str">
        <f t="shared" si="90"/>
        <v>Standard method: Process, Article 24(2)</v>
      </c>
      <c r="G591" s="103" t="str">
        <f>EUconst_NA</f>
        <v>n.a.</v>
      </c>
      <c r="H591" s="149"/>
      <c r="I591" s="149"/>
      <c r="J591" s="151"/>
      <c r="K591" s="151"/>
      <c r="L591" s="149"/>
      <c r="M591" s="149"/>
      <c r="N591" s="149"/>
      <c r="O591" s="150"/>
      <c r="P591" s="103" t="str">
        <f>IF(G591=EUconst_NA,EUconst_NA,IF(ISBLANK(J591),COUNTA(H591:O591),COUNTA(H591,J591,L591)))</f>
        <v>n.a.</v>
      </c>
      <c r="Q591" s="147" t="str">
        <f t="shared" si="88"/>
        <v>Glass and mineral wool: Process (method A): carbonate only</v>
      </c>
      <c r="R591" s="17"/>
      <c r="S591" s="17" t="str">
        <f t="shared" si="91"/>
        <v>BioC_Glass and mineral wool: Process (method A): carbonate only</v>
      </c>
      <c r="Z591" s="21" t="b">
        <f t="shared" si="87"/>
        <v>1</v>
      </c>
      <c r="AL591" s="624" t="s">
        <v>992</v>
      </c>
      <c r="AM591" s="624" t="s">
        <v>992</v>
      </c>
      <c r="AN591" s="624" t="s">
        <v>992</v>
      </c>
      <c r="AO591" s="624" t="s">
        <v>992</v>
      </c>
      <c r="AP591" s="624"/>
      <c r="AQ591" s="624" t="s">
        <v>992</v>
      </c>
      <c r="AR591" s="624"/>
    </row>
    <row r="592" spans="1:44" ht="12.75" customHeight="1" outlineLevel="1" x14ac:dyDescent="0.2">
      <c r="A592" s="21">
        <v>40</v>
      </c>
      <c r="B592" s="611" t="str">
        <f t="shared" si="89"/>
        <v>Manufacture of glass</v>
      </c>
      <c r="C592" s="17" t="str">
        <f t="shared" si="89"/>
        <v>Glass and mineral wool</v>
      </c>
      <c r="D592" s="17" t="str">
        <f t="shared" si="89"/>
        <v>Process (method A): mixed (carbonate + non-carbonate)</v>
      </c>
      <c r="E592" s="602"/>
      <c r="F592" s="151" t="str">
        <f t="shared" si="90"/>
        <v>Standard method: Process, Article 24(2)</v>
      </c>
      <c r="G592" s="103">
        <v>1</v>
      </c>
      <c r="H592" s="149" t="str">
        <f>Translations!$B$505</f>
        <v>Type I biomass fraction</v>
      </c>
      <c r="I592" s="149" t="str">
        <f>Translations!$B$510</f>
        <v>Type II biomass fraction</v>
      </c>
      <c r="J592" s="149"/>
      <c r="K592" s="149"/>
      <c r="L592" s="149"/>
      <c r="M592" s="149" t="str">
        <f>Translations!$B$1266</f>
        <v>Analyse biomass fraction</v>
      </c>
      <c r="N592" s="149" t="s">
        <v>1761</v>
      </c>
      <c r="O592" s="150"/>
      <c r="P592" s="103">
        <v>3</v>
      </c>
      <c r="Q592" s="147" t="str">
        <f t="shared" si="88"/>
        <v>Glass and mineral wool: Process (method A): mixed (carbonate + non-carbonate)</v>
      </c>
      <c r="R592" s="17"/>
      <c r="S592" s="17" t="str">
        <f t="shared" si="91"/>
        <v>BioC_Glass and mineral wool: Process (method A): mixed (carbonate + non-carbonate)</v>
      </c>
      <c r="Z592" s="21" t="b">
        <f t="shared" si="87"/>
        <v>0</v>
      </c>
      <c r="AL592" s="624">
        <v>1</v>
      </c>
      <c r="AM592" s="624" t="str">
        <f>Translations!$B$510</f>
        <v>Type II biomass fraction</v>
      </c>
      <c r="AN592" s="624" t="s">
        <v>992</v>
      </c>
      <c r="AO592" s="624" t="s">
        <v>992</v>
      </c>
      <c r="AP592" s="624"/>
      <c r="AQ592" s="624">
        <v>2</v>
      </c>
      <c r="AR592" s="624">
        <v>3</v>
      </c>
    </row>
    <row r="593" spans="1:44" ht="12.75" customHeight="1" outlineLevel="1" x14ac:dyDescent="0.2">
      <c r="A593" s="21">
        <v>41</v>
      </c>
      <c r="B593" s="611" t="str">
        <f t="shared" ref="B593:D612" si="92">B521</f>
        <v>Manufacture of glass</v>
      </c>
      <c r="C593" s="17" t="str">
        <f t="shared" si="92"/>
        <v>Glass and mineral wool</v>
      </c>
      <c r="D593" s="17" t="str">
        <f t="shared" si="92"/>
        <v>Process (method A): non-carbonate</v>
      </c>
      <c r="E593" s="602"/>
      <c r="F593" s="151" t="str">
        <f t="shared" si="90"/>
        <v>Standard method: Process, Article 24(2)</v>
      </c>
      <c r="G593" s="103">
        <v>1</v>
      </c>
      <c r="H593" s="149" t="str">
        <f>Translations!$B$505</f>
        <v>Type I biomass fraction</v>
      </c>
      <c r="I593" s="149" t="str">
        <f>Translations!$B$510</f>
        <v>Type II biomass fraction</v>
      </c>
      <c r="J593" s="149"/>
      <c r="K593" s="149"/>
      <c r="L593" s="149"/>
      <c r="M593" s="149" t="str">
        <f>Translations!$B$1266</f>
        <v>Analyse biomass fraction</v>
      </c>
      <c r="N593" s="149" t="s">
        <v>1761</v>
      </c>
      <c r="O593" s="150"/>
      <c r="P593" s="103">
        <v>3</v>
      </c>
      <c r="Q593" s="147" t="str">
        <f t="shared" si="88"/>
        <v>Glass and mineral wool: Process (method A): non-carbonate</v>
      </c>
      <c r="R593" s="17"/>
      <c r="S593" s="17" t="str">
        <f t="shared" si="91"/>
        <v>BioC_Glass and mineral wool: Process (method A): non-carbonate</v>
      </c>
      <c r="Z593" s="21" t="b">
        <f t="shared" si="87"/>
        <v>0</v>
      </c>
      <c r="AL593" s="624">
        <v>1</v>
      </c>
      <c r="AM593" s="624" t="str">
        <f>Translations!$B$510</f>
        <v>Type II biomass fraction</v>
      </c>
      <c r="AN593" s="624" t="s">
        <v>992</v>
      </c>
      <c r="AO593" s="624" t="s">
        <v>992</v>
      </c>
      <c r="AP593" s="624"/>
      <c r="AQ593" s="624">
        <v>2</v>
      </c>
      <c r="AR593" s="624">
        <v>3</v>
      </c>
    </row>
    <row r="594" spans="1:44" ht="12.75" customHeight="1" outlineLevel="1" x14ac:dyDescent="0.2">
      <c r="A594" s="21">
        <v>42</v>
      </c>
      <c r="B594" s="611" t="str">
        <f t="shared" si="92"/>
        <v>Manufacture of ceramics</v>
      </c>
      <c r="C594" s="17" t="str">
        <f t="shared" si="92"/>
        <v>Ceramics</v>
      </c>
      <c r="D594" s="17" t="str">
        <f t="shared" si="92"/>
        <v>Process (method A): carbonate only</v>
      </c>
      <c r="E594" s="602"/>
      <c r="F594" s="151" t="str">
        <f t="shared" si="90"/>
        <v>Standard method: Process, Article 24(2)</v>
      </c>
      <c r="G594" s="103" t="str">
        <f>EUconst_NA</f>
        <v>n.a.</v>
      </c>
      <c r="H594" s="149"/>
      <c r="I594" s="149"/>
      <c r="J594" s="151"/>
      <c r="K594" s="151"/>
      <c r="L594" s="149"/>
      <c r="M594" s="149"/>
      <c r="N594" s="149"/>
      <c r="O594" s="150"/>
      <c r="P594" s="103" t="str">
        <f>IF(G594=EUconst_NA,EUconst_NA,IF(ISBLANK(J594),COUNTA(H594:O594),COUNTA(H594,J594,L594)))</f>
        <v>n.a.</v>
      </c>
      <c r="Q594" s="147" t="str">
        <f t="shared" si="88"/>
        <v>Ceramics: Process (method A): carbonate only</v>
      </c>
      <c r="R594" s="17"/>
      <c r="S594" s="17" t="str">
        <f t="shared" si="91"/>
        <v>BioC_Ceramics: Process (method A): carbonate only</v>
      </c>
      <c r="Z594" s="21" t="b">
        <f t="shared" si="87"/>
        <v>1</v>
      </c>
      <c r="AL594" s="624" t="s">
        <v>992</v>
      </c>
      <c r="AM594" s="624" t="s">
        <v>992</v>
      </c>
      <c r="AN594" s="624" t="s">
        <v>992</v>
      </c>
      <c r="AO594" s="624" t="s">
        <v>992</v>
      </c>
      <c r="AP594" s="624"/>
      <c r="AQ594" s="624" t="s">
        <v>992</v>
      </c>
      <c r="AR594" s="624"/>
    </row>
    <row r="595" spans="1:44" ht="12.75" customHeight="1" outlineLevel="1" x14ac:dyDescent="0.2">
      <c r="A595" s="21">
        <v>43</v>
      </c>
      <c r="B595" s="611" t="str">
        <f t="shared" si="92"/>
        <v>Manufacture of ceramics</v>
      </c>
      <c r="C595" s="17" t="str">
        <f t="shared" si="92"/>
        <v>Ceramics</v>
      </c>
      <c r="D595" s="17" t="str">
        <f t="shared" si="92"/>
        <v>Process (method A): mixed (carbonate + non-carbonate)</v>
      </c>
      <c r="E595" s="602"/>
      <c r="F595" s="151" t="str">
        <f t="shared" si="90"/>
        <v>Standard method: Process, Article 24(2)</v>
      </c>
      <c r="G595" s="103">
        <v>1</v>
      </c>
      <c r="H595" s="149" t="str">
        <f>Translations!$B$505</f>
        <v>Type I biomass fraction</v>
      </c>
      <c r="I595" s="149" t="str">
        <f>Translations!$B$510</f>
        <v>Type II biomass fraction</v>
      </c>
      <c r="J595" s="149"/>
      <c r="K595" s="149"/>
      <c r="L595" s="149"/>
      <c r="M595" s="149" t="str">
        <f>Translations!$B$1266</f>
        <v>Analyse biomass fraction</v>
      </c>
      <c r="N595" s="149" t="s">
        <v>1761</v>
      </c>
      <c r="O595" s="150"/>
      <c r="P595" s="103">
        <v>3</v>
      </c>
      <c r="Q595" s="147" t="str">
        <f t="shared" si="88"/>
        <v>Ceramics: Process (method A): mixed (carbonate + non-carbonate)</v>
      </c>
      <c r="R595" s="17"/>
      <c r="S595" s="17" t="str">
        <f t="shared" si="91"/>
        <v>BioC_Ceramics: Process (method A): mixed (carbonate + non-carbonate)</v>
      </c>
      <c r="W595" s="226"/>
      <c r="X595" s="69"/>
      <c r="Z595" s="21" t="b">
        <f t="shared" si="87"/>
        <v>0</v>
      </c>
      <c r="AL595" s="624">
        <v>1</v>
      </c>
      <c r="AM595" s="624" t="str">
        <f>Translations!$B$510</f>
        <v>Type II biomass fraction</v>
      </c>
      <c r="AN595" s="624" t="s">
        <v>992</v>
      </c>
      <c r="AO595" s="624" t="s">
        <v>992</v>
      </c>
      <c r="AP595" s="624"/>
      <c r="AQ595" s="624">
        <v>2</v>
      </c>
      <c r="AR595" s="624">
        <v>3</v>
      </c>
    </row>
    <row r="596" spans="1:44" ht="12.75" customHeight="1" outlineLevel="1" x14ac:dyDescent="0.2">
      <c r="A596" s="21">
        <v>44</v>
      </c>
      <c r="B596" s="611" t="str">
        <f t="shared" si="92"/>
        <v>Manufacture of ceramics</v>
      </c>
      <c r="C596" s="17" t="str">
        <f t="shared" si="92"/>
        <v>Ceramics</v>
      </c>
      <c r="D596" s="17" t="str">
        <f t="shared" si="92"/>
        <v>Process (method A): non-carbonate</v>
      </c>
      <c r="E596" s="602"/>
      <c r="F596" s="151" t="str">
        <f t="shared" si="90"/>
        <v>Standard method: Process, Article 24(2)</v>
      </c>
      <c r="G596" s="103">
        <v>1</v>
      </c>
      <c r="H596" s="149" t="str">
        <f>Translations!$B$505</f>
        <v>Type I biomass fraction</v>
      </c>
      <c r="I596" s="149" t="str">
        <f>Translations!$B$510</f>
        <v>Type II biomass fraction</v>
      </c>
      <c r="J596" s="149"/>
      <c r="K596" s="149"/>
      <c r="L596" s="149"/>
      <c r="M596" s="149" t="str">
        <f>Translations!$B$1266</f>
        <v>Analyse biomass fraction</v>
      </c>
      <c r="N596" s="149" t="s">
        <v>1761</v>
      </c>
      <c r="O596" s="150"/>
      <c r="P596" s="103">
        <v>3</v>
      </c>
      <c r="Q596" s="147" t="str">
        <f t="shared" si="88"/>
        <v>Ceramics: Process (method A): non-carbonate</v>
      </c>
      <c r="R596" s="17"/>
      <c r="S596" s="17" t="str">
        <f t="shared" si="91"/>
        <v>BioC_Ceramics: Process (method A): non-carbonate</v>
      </c>
      <c r="W596" s="226"/>
      <c r="X596" s="69"/>
      <c r="Z596" s="21" t="b">
        <f t="shared" si="87"/>
        <v>0</v>
      </c>
      <c r="AL596" s="624">
        <v>1</v>
      </c>
      <c r="AM596" s="624" t="str">
        <f>Translations!$B$510</f>
        <v>Type II biomass fraction</v>
      </c>
      <c r="AN596" s="624" t="s">
        <v>992</v>
      </c>
      <c r="AO596" s="624" t="s">
        <v>992</v>
      </c>
      <c r="AP596" s="624"/>
      <c r="AQ596" s="624">
        <v>2</v>
      </c>
      <c r="AR596" s="624">
        <v>3</v>
      </c>
    </row>
    <row r="597" spans="1:44" ht="12.75" customHeight="1" outlineLevel="1" x14ac:dyDescent="0.2">
      <c r="A597" s="21">
        <v>45</v>
      </c>
      <c r="B597" s="611" t="str">
        <f t="shared" si="92"/>
        <v>Manufacture of ceramics</v>
      </c>
      <c r="C597" s="17" t="str">
        <f t="shared" si="92"/>
        <v>Ceramics</v>
      </c>
      <c r="D597" s="17" t="str">
        <f t="shared" si="92"/>
        <v>Process (method B): oxide output</v>
      </c>
      <c r="E597" s="17"/>
      <c r="F597" s="151" t="str">
        <f t="shared" si="90"/>
        <v>Standard method: Process, Article 24(2)</v>
      </c>
      <c r="G597" s="103" t="str">
        <f>EUconst_NA</f>
        <v>n.a.</v>
      </c>
      <c r="H597" s="149"/>
      <c r="I597" s="149"/>
      <c r="J597" s="151"/>
      <c r="K597" s="151"/>
      <c r="L597" s="149"/>
      <c r="M597" s="149"/>
      <c r="N597" s="149"/>
      <c r="O597" s="150"/>
      <c r="P597" s="103" t="str">
        <f>IF(G597=EUconst_NA,EUconst_NA,IF(ISBLANK(J597),COUNTA(H597:O597),COUNTA(H597,J597,L597)))</f>
        <v>n.a.</v>
      </c>
      <c r="Q597" s="147" t="str">
        <f t="shared" si="88"/>
        <v>Ceramics: Process (method B): oxide output</v>
      </c>
      <c r="R597" s="17"/>
      <c r="S597" s="17" t="str">
        <f t="shared" si="91"/>
        <v>BioC_Ceramics: Process (method B): oxide output</v>
      </c>
      <c r="Z597" s="21" t="b">
        <f t="shared" si="87"/>
        <v>1</v>
      </c>
      <c r="AL597" s="624" t="s">
        <v>992</v>
      </c>
      <c r="AM597" s="624" t="s">
        <v>992</v>
      </c>
      <c r="AN597" s="624" t="s">
        <v>992</v>
      </c>
      <c r="AO597" s="624" t="s">
        <v>992</v>
      </c>
      <c r="AP597" s="624"/>
      <c r="AQ597" s="624" t="s">
        <v>992</v>
      </c>
      <c r="AR597" s="624"/>
    </row>
    <row r="598" spans="1:44" ht="12.75" customHeight="1" outlineLevel="1" x14ac:dyDescent="0.2">
      <c r="A598" s="21">
        <v>46</v>
      </c>
      <c r="B598" s="611" t="str">
        <f t="shared" si="92"/>
        <v>Manufacture of ceramics</v>
      </c>
      <c r="C598" s="17" t="str">
        <f t="shared" si="92"/>
        <v>Ceramics</v>
      </c>
      <c r="D598" s="17" t="str">
        <f t="shared" si="92"/>
        <v>Scrubbing</v>
      </c>
      <c r="E598" s="17"/>
      <c r="F598" s="151" t="str">
        <f t="shared" si="90"/>
        <v>Standard method: Process, Article 24(2)</v>
      </c>
      <c r="G598" s="103" t="str">
        <f>EUconst_NA</f>
        <v>n.a.</v>
      </c>
      <c r="H598" s="149"/>
      <c r="I598" s="149"/>
      <c r="J598" s="151"/>
      <c r="K598" s="151"/>
      <c r="L598" s="149"/>
      <c r="M598" s="149"/>
      <c r="N598" s="149"/>
      <c r="O598" s="150"/>
      <c r="P598" s="103" t="str">
        <f>IF(G598=EUconst_NA,EUconst_NA,IF(ISBLANK(J598),COUNTA(H598:O598),COUNTA(H598,J598,L598)))</f>
        <v>n.a.</v>
      </c>
      <c r="Q598" s="147" t="str">
        <f t="shared" si="88"/>
        <v>Ceramics: Scrubbing</v>
      </c>
      <c r="R598" s="17"/>
      <c r="S598" s="17" t="str">
        <f t="shared" si="91"/>
        <v>BioC_Ceramics: Scrubbing</v>
      </c>
      <c r="Z598" s="21" t="b">
        <f t="shared" si="87"/>
        <v>1</v>
      </c>
      <c r="AL598" s="624" t="s">
        <v>992</v>
      </c>
      <c r="AM598" s="624" t="s">
        <v>992</v>
      </c>
      <c r="AN598" s="624" t="s">
        <v>992</v>
      </c>
      <c r="AO598" s="624" t="s">
        <v>992</v>
      </c>
      <c r="AP598" s="624"/>
      <c r="AQ598" s="624" t="s">
        <v>992</v>
      </c>
      <c r="AR598" s="624"/>
    </row>
    <row r="599" spans="1:44" ht="12.75" customHeight="1" outlineLevel="1" x14ac:dyDescent="0.2">
      <c r="A599" s="21">
        <v>47</v>
      </c>
      <c r="B599" s="611" t="str">
        <f t="shared" si="92"/>
        <v>Production of pulp</v>
      </c>
      <c r="C599" s="17" t="str">
        <f t="shared" si="92"/>
        <v>Pulp &amp; paper</v>
      </c>
      <c r="D599" s="17" t="str">
        <f t="shared" si="92"/>
        <v>Make up chemicals</v>
      </c>
      <c r="E599" s="17"/>
      <c r="F599" s="151" t="str">
        <f t="shared" si="90"/>
        <v>Standard method: Process, Article 24(2)</v>
      </c>
      <c r="G599" s="103" t="str">
        <f>EUconst_NA</f>
        <v>n.a.</v>
      </c>
      <c r="H599" s="149"/>
      <c r="I599" s="149"/>
      <c r="J599" s="151"/>
      <c r="K599" s="151"/>
      <c r="L599" s="149"/>
      <c r="M599" s="149"/>
      <c r="N599" s="149"/>
      <c r="O599" s="150"/>
      <c r="P599" s="103" t="str">
        <f>IF(G599=EUconst_NA,EUconst_NA,IF(ISBLANK(J599),COUNTA(H599:O599),COUNTA(H599,J599,L599)))</f>
        <v>n.a.</v>
      </c>
      <c r="Q599" s="147" t="str">
        <f t="shared" si="88"/>
        <v>Pulp &amp; paper: Make up chemicals</v>
      </c>
      <c r="R599" s="17"/>
      <c r="S599" s="17" t="str">
        <f t="shared" si="91"/>
        <v>BioC_Pulp &amp; paper: Make up chemicals</v>
      </c>
      <c r="Z599" s="21" t="b">
        <f t="shared" si="87"/>
        <v>1</v>
      </c>
      <c r="AL599" s="624" t="s">
        <v>992</v>
      </c>
      <c r="AM599" s="624" t="s">
        <v>992</v>
      </c>
      <c r="AN599" s="624" t="s">
        <v>992</v>
      </c>
      <c r="AO599" s="624" t="s">
        <v>992</v>
      </c>
      <c r="AP599" s="624"/>
      <c r="AQ599" s="624" t="s">
        <v>992</v>
      </c>
      <c r="AR599" s="624"/>
    </row>
    <row r="600" spans="1:44" ht="12.75" customHeight="1" outlineLevel="1" x14ac:dyDescent="0.2">
      <c r="A600" s="21">
        <v>48</v>
      </c>
      <c r="B600" s="611" t="str">
        <f t="shared" si="92"/>
        <v>Production of carbon black</v>
      </c>
      <c r="C600" s="17" t="str">
        <f t="shared" si="92"/>
        <v>Carbon black</v>
      </c>
      <c r="D600" s="17" t="str">
        <f t="shared" si="92"/>
        <v>Mass balance methodology</v>
      </c>
      <c r="E600" s="17"/>
      <c r="F600" s="151" t="str">
        <f t="shared" si="90"/>
        <v>Mass balance method, Article 25</v>
      </c>
      <c r="G600" s="103">
        <v>1</v>
      </c>
      <c r="H600" s="149" t="str">
        <f>Translations!$B$505</f>
        <v>Type I biomass fraction</v>
      </c>
      <c r="I600" s="149" t="str">
        <f>Translations!$B$510</f>
        <v>Type II biomass fraction</v>
      </c>
      <c r="J600" s="149"/>
      <c r="K600" s="149"/>
      <c r="L600" s="149"/>
      <c r="M600" s="149" t="str">
        <f>Translations!$B$1266</f>
        <v>Analyse biomass fraction</v>
      </c>
      <c r="N600" s="149" t="s">
        <v>1761</v>
      </c>
      <c r="O600" s="150"/>
      <c r="P600" s="103">
        <v>3</v>
      </c>
      <c r="Q600" s="147" t="str">
        <f t="shared" si="88"/>
        <v>Carbon black: Mass balance methodology</v>
      </c>
      <c r="R600" s="17"/>
      <c r="S600" s="17" t="str">
        <f t="shared" si="91"/>
        <v>BioC_Carbon black: Mass balance methodology</v>
      </c>
      <c r="Z600" s="21" t="b">
        <f t="shared" si="87"/>
        <v>0</v>
      </c>
      <c r="AL600" s="624">
        <v>1</v>
      </c>
      <c r="AM600" s="624" t="str">
        <f>Translations!$B$510</f>
        <v>Type II biomass fraction</v>
      </c>
      <c r="AN600" s="624" t="s">
        <v>992</v>
      </c>
      <c r="AO600" s="624" t="s">
        <v>992</v>
      </c>
      <c r="AP600" s="624"/>
      <c r="AQ600" s="624">
        <v>2</v>
      </c>
      <c r="AR600" s="624">
        <v>3</v>
      </c>
    </row>
    <row r="601" spans="1:44" ht="12.75" customHeight="1" outlineLevel="1" x14ac:dyDescent="0.2">
      <c r="A601" s="21">
        <v>49</v>
      </c>
      <c r="B601" s="611" t="str">
        <f t="shared" si="92"/>
        <v>Production of ammonia</v>
      </c>
      <c r="C601" s="17" t="str">
        <f t="shared" si="92"/>
        <v>Ammonia</v>
      </c>
      <c r="D601" s="17" t="str">
        <f t="shared" si="92"/>
        <v>Fuel as process input</v>
      </c>
      <c r="E601" s="17"/>
      <c r="F601" s="151" t="str">
        <f t="shared" si="90"/>
        <v>Standard method: Fuel, Article 24(1)</v>
      </c>
      <c r="G601" s="103">
        <v>1</v>
      </c>
      <c r="H601" s="149" t="str">
        <f>Translations!$B$505</f>
        <v>Type I biomass fraction</v>
      </c>
      <c r="I601" s="149" t="str">
        <f>Translations!$B$510</f>
        <v>Type II biomass fraction</v>
      </c>
      <c r="J601" s="149"/>
      <c r="K601" s="149"/>
      <c r="L601" s="149"/>
      <c r="M601" s="149" t="str">
        <f>Translations!$B$1266</f>
        <v>Analyse biomass fraction</v>
      </c>
      <c r="N601" s="149" t="s">
        <v>1761</v>
      </c>
      <c r="O601" s="150"/>
      <c r="P601" s="103">
        <v>3</v>
      </c>
      <c r="Q601" s="147" t="str">
        <f t="shared" si="88"/>
        <v>Ammonia: Fuel as process input</v>
      </c>
      <c r="R601" s="17"/>
      <c r="S601" s="17" t="str">
        <f t="shared" si="91"/>
        <v>BioC_Ammonia: Fuel as process input</v>
      </c>
      <c r="Z601" s="21" t="b">
        <f t="shared" si="87"/>
        <v>0</v>
      </c>
      <c r="AL601" s="624">
        <v>1</v>
      </c>
      <c r="AM601" s="624" t="str">
        <f>Translations!$B$510</f>
        <v>Type II biomass fraction</v>
      </c>
      <c r="AN601" s="624" t="s">
        <v>992</v>
      </c>
      <c r="AO601" s="624" t="s">
        <v>992</v>
      </c>
      <c r="AP601" s="624"/>
      <c r="AQ601" s="624">
        <v>2</v>
      </c>
      <c r="AR601" s="624">
        <v>3</v>
      </c>
    </row>
    <row r="602" spans="1:44" ht="12.75" customHeight="1" outlineLevel="1" x14ac:dyDescent="0.2">
      <c r="A602" s="21">
        <v>50</v>
      </c>
      <c r="B602" s="611" t="str">
        <f t="shared" si="92"/>
        <v>Production of hydrogen and synthesis gas</v>
      </c>
      <c r="C602" s="17" t="str">
        <f t="shared" si="92"/>
        <v>Hydrogen and synthesis gas</v>
      </c>
      <c r="D602" s="17" t="str">
        <f t="shared" si="92"/>
        <v>Fuel as process input</v>
      </c>
      <c r="E602" s="17"/>
      <c r="F602" s="151" t="str">
        <f t="shared" si="90"/>
        <v>Standard method: Fuel, Article 24(1)</v>
      </c>
      <c r="G602" s="103">
        <v>1</v>
      </c>
      <c r="H602" s="149" t="str">
        <f>Translations!$B$505</f>
        <v>Type I biomass fraction</v>
      </c>
      <c r="I602" s="149" t="str">
        <f>Translations!$B$510</f>
        <v>Type II biomass fraction</v>
      </c>
      <c r="J602" s="149"/>
      <c r="K602" s="149"/>
      <c r="L602" s="149"/>
      <c r="M602" s="149" t="str">
        <f>Translations!$B$1266</f>
        <v>Analyse biomass fraction</v>
      </c>
      <c r="N602" s="149" t="s">
        <v>1761</v>
      </c>
      <c r="O602" s="150"/>
      <c r="P602" s="103">
        <v>3</v>
      </c>
      <c r="Q602" s="147" t="str">
        <f t="shared" si="88"/>
        <v>Hydrogen and synthesis gas: Fuel as process input</v>
      </c>
      <c r="R602" s="17"/>
      <c r="S602" s="17" t="str">
        <f t="shared" si="91"/>
        <v>BioC_Hydrogen and synthesis gas: Fuel as process input</v>
      </c>
      <c r="Z602" s="21" t="b">
        <f t="shared" si="87"/>
        <v>0</v>
      </c>
      <c r="AL602" s="624">
        <v>1</v>
      </c>
      <c r="AM602" s="624" t="str">
        <f>Translations!$B$510</f>
        <v>Type II biomass fraction</v>
      </c>
      <c r="AN602" s="624" t="s">
        <v>992</v>
      </c>
      <c r="AO602" s="624" t="s">
        <v>992</v>
      </c>
      <c r="AP602" s="624"/>
      <c r="AQ602" s="624">
        <v>2</v>
      </c>
      <c r="AR602" s="624">
        <v>3</v>
      </c>
    </row>
    <row r="603" spans="1:44" ht="12.75" customHeight="1" outlineLevel="1" x14ac:dyDescent="0.2">
      <c r="A603" s="21">
        <v>51</v>
      </c>
      <c r="B603" s="611" t="str">
        <f t="shared" si="92"/>
        <v>Production of hydrogen and synthesis gas</v>
      </c>
      <c r="C603" s="17" t="str">
        <f t="shared" si="92"/>
        <v>Hydrogen and synthesis gas</v>
      </c>
      <c r="D603" s="17" t="str">
        <f t="shared" si="92"/>
        <v>Mass balance methodology</v>
      </c>
      <c r="E603" s="17"/>
      <c r="F603" s="151" t="str">
        <f t="shared" si="90"/>
        <v>Mass balance method, Article 25</v>
      </c>
      <c r="G603" s="103">
        <v>1</v>
      </c>
      <c r="H603" s="149" t="str">
        <f>Translations!$B$505</f>
        <v>Type I biomass fraction</v>
      </c>
      <c r="I603" s="149" t="str">
        <f>Translations!$B$510</f>
        <v>Type II biomass fraction</v>
      </c>
      <c r="J603" s="149"/>
      <c r="K603" s="149"/>
      <c r="L603" s="149"/>
      <c r="M603" s="149" t="str">
        <f>Translations!$B$1266</f>
        <v>Analyse biomass fraction</v>
      </c>
      <c r="N603" s="149" t="s">
        <v>1761</v>
      </c>
      <c r="O603" s="150"/>
      <c r="P603" s="103">
        <v>3</v>
      </c>
      <c r="Q603" s="147" t="str">
        <f t="shared" si="88"/>
        <v>Hydrogen and synthesis gas: Mass balance methodology</v>
      </c>
      <c r="R603" s="17"/>
      <c r="S603" s="17" t="str">
        <f t="shared" si="91"/>
        <v>BioC_Hydrogen and synthesis gas: Mass balance methodology</v>
      </c>
      <c r="Z603" s="21" t="b">
        <f t="shared" si="87"/>
        <v>0</v>
      </c>
      <c r="AL603" s="624">
        <v>1</v>
      </c>
      <c r="AM603" s="624" t="str">
        <f>Translations!$B$510</f>
        <v>Type II biomass fraction</v>
      </c>
      <c r="AN603" s="624" t="s">
        <v>992</v>
      </c>
      <c r="AO603" s="624" t="s">
        <v>992</v>
      </c>
      <c r="AP603" s="624"/>
      <c r="AQ603" s="624">
        <v>2</v>
      </c>
      <c r="AR603" s="624">
        <v>3</v>
      </c>
    </row>
    <row r="604" spans="1:44" ht="12.75" customHeight="1" outlineLevel="1" x14ac:dyDescent="0.2">
      <c r="A604" s="21">
        <v>52</v>
      </c>
      <c r="B604" s="611" t="str">
        <f t="shared" si="92"/>
        <v>Production of bulk chemicals</v>
      </c>
      <c r="C604" s="17" t="str">
        <f t="shared" si="92"/>
        <v>Bulk organic chemicals</v>
      </c>
      <c r="D604" s="17" t="str">
        <f t="shared" si="92"/>
        <v>Mass balance methodology</v>
      </c>
      <c r="E604" s="17"/>
      <c r="F604" s="151" t="str">
        <f t="shared" si="90"/>
        <v>Mass balance method, Article 25</v>
      </c>
      <c r="G604" s="103">
        <v>1</v>
      </c>
      <c r="H604" s="149" t="str">
        <f>Translations!$B$505</f>
        <v>Type I biomass fraction</v>
      </c>
      <c r="I604" s="149" t="str">
        <f>Translations!$B$510</f>
        <v>Type II biomass fraction</v>
      </c>
      <c r="J604" s="149"/>
      <c r="K604" s="149"/>
      <c r="L604" s="149"/>
      <c r="M604" s="149" t="str">
        <f>Translations!$B$1266</f>
        <v>Analyse biomass fraction</v>
      </c>
      <c r="N604" s="149" t="s">
        <v>1761</v>
      </c>
      <c r="O604" s="150"/>
      <c r="P604" s="103">
        <v>3</v>
      </c>
      <c r="Q604" s="147" t="str">
        <f t="shared" si="88"/>
        <v>Bulk organic chemicals: Mass balance methodology</v>
      </c>
      <c r="R604" s="17"/>
      <c r="S604" s="17" t="str">
        <f t="shared" si="91"/>
        <v>BioC_Bulk organic chemicals: Mass balance methodology</v>
      </c>
      <c r="Z604" s="21" t="b">
        <f t="shared" si="87"/>
        <v>0</v>
      </c>
      <c r="AL604" s="624">
        <v>1</v>
      </c>
      <c r="AM604" s="624" t="str">
        <f>Translations!$B$510</f>
        <v>Type II biomass fraction</v>
      </c>
      <c r="AN604" s="624" t="s">
        <v>992</v>
      </c>
      <c r="AO604" s="624" t="s">
        <v>992</v>
      </c>
      <c r="AP604" s="624"/>
      <c r="AQ604" s="624">
        <v>2</v>
      </c>
      <c r="AR604" s="624">
        <v>3</v>
      </c>
    </row>
    <row r="605" spans="1:44" ht="12.75" customHeight="1" outlineLevel="1" x14ac:dyDescent="0.2">
      <c r="A605" s="21">
        <v>53</v>
      </c>
      <c r="B605" s="611" t="str">
        <f t="shared" si="92"/>
        <v>Production or processing of ferrous metals</v>
      </c>
      <c r="C605" s="17" t="str">
        <f t="shared" si="92"/>
        <v>(Non) ferrous, sec. aluminium</v>
      </c>
      <c r="D605" s="17" t="str">
        <f t="shared" si="92"/>
        <v>Process (method A): carbonate only</v>
      </c>
      <c r="E605" s="602"/>
      <c r="F605" s="151" t="str">
        <f t="shared" si="90"/>
        <v>Standard method: Process, Article 24(2)</v>
      </c>
      <c r="G605" s="103" t="str">
        <f>EUconst_NA</f>
        <v>n.a.</v>
      </c>
      <c r="H605" s="149"/>
      <c r="I605" s="149"/>
      <c r="J605" s="151"/>
      <c r="K605" s="151"/>
      <c r="L605" s="149"/>
      <c r="M605" s="149"/>
      <c r="N605" s="149"/>
      <c r="O605" s="150"/>
      <c r="P605" s="103" t="str">
        <f>IF(G605=EUconst_NA,EUconst_NA,IF(ISBLANK(J605),COUNTA(H605:O605),COUNTA(H605,J605,L605)))</f>
        <v>n.a.</v>
      </c>
      <c r="Q605" s="147" t="str">
        <f t="shared" si="88"/>
        <v>(Non) ferrous, sec. aluminium: Process (method A): carbonate only</v>
      </c>
      <c r="R605" s="17"/>
      <c r="S605" s="17" t="str">
        <f t="shared" si="91"/>
        <v>BioC_(Non) ferrous, sec. aluminium: Process (method A): carbonate only</v>
      </c>
      <c r="Z605" s="21" t="b">
        <f t="shared" si="87"/>
        <v>1</v>
      </c>
      <c r="AL605" s="624" t="s">
        <v>992</v>
      </c>
      <c r="AM605" s="624" t="s">
        <v>992</v>
      </c>
      <c r="AN605" s="624" t="s">
        <v>992</v>
      </c>
      <c r="AO605" s="624" t="s">
        <v>992</v>
      </c>
      <c r="AP605" s="624"/>
      <c r="AQ605" s="624" t="s">
        <v>992</v>
      </c>
      <c r="AR605" s="624"/>
    </row>
    <row r="606" spans="1:44" ht="12.75" customHeight="1" outlineLevel="1" x14ac:dyDescent="0.2">
      <c r="A606" s="21">
        <v>54</v>
      </c>
      <c r="B606" s="611" t="str">
        <f t="shared" si="92"/>
        <v>Production or processing of ferrous metals</v>
      </c>
      <c r="C606" s="17" t="str">
        <f t="shared" si="92"/>
        <v>(Non) ferrous, sec. aluminium</v>
      </c>
      <c r="D606" s="17" t="str">
        <f t="shared" si="92"/>
        <v>Process (method A): mixed (carbonate + non-carbonate)</v>
      </c>
      <c r="E606" s="602"/>
      <c r="F606" s="151" t="str">
        <f t="shared" si="90"/>
        <v>Standard method: Process, Article 24(2)</v>
      </c>
      <c r="G606" s="103">
        <v>1</v>
      </c>
      <c r="H606" s="149" t="str">
        <f>Translations!$B$505</f>
        <v>Type I biomass fraction</v>
      </c>
      <c r="I606" s="149" t="str">
        <f>Translations!$B$510</f>
        <v>Type II biomass fraction</v>
      </c>
      <c r="J606" s="149"/>
      <c r="K606" s="149"/>
      <c r="L606" s="149"/>
      <c r="M606" s="149" t="str">
        <f>Translations!$B$1266</f>
        <v>Analyse biomass fraction</v>
      </c>
      <c r="N606" s="149" t="s">
        <v>1761</v>
      </c>
      <c r="O606" s="150"/>
      <c r="P606" s="103">
        <v>3</v>
      </c>
      <c r="Q606" s="147" t="str">
        <f t="shared" si="88"/>
        <v>(Non) ferrous, sec. aluminium: Process (method A): mixed (carbonate + non-carbonate)</v>
      </c>
      <c r="R606" s="17"/>
      <c r="S606" s="17" t="str">
        <f t="shared" si="91"/>
        <v>BioC_(Non) ferrous, sec. aluminium: Process (method A): mixed (carbonate + non-carbonate)</v>
      </c>
      <c r="Z606" s="21" t="b">
        <f t="shared" si="87"/>
        <v>0</v>
      </c>
      <c r="AL606" s="624">
        <v>1</v>
      </c>
      <c r="AM606" s="624" t="str">
        <f>Translations!$B$510</f>
        <v>Type II biomass fraction</v>
      </c>
      <c r="AN606" s="624" t="s">
        <v>992</v>
      </c>
      <c r="AO606" s="624" t="s">
        <v>992</v>
      </c>
      <c r="AP606" s="624"/>
      <c r="AQ606" s="624">
        <v>2</v>
      </c>
      <c r="AR606" s="624">
        <v>3</v>
      </c>
    </row>
    <row r="607" spans="1:44" ht="12.75" customHeight="1" outlineLevel="1" x14ac:dyDescent="0.2">
      <c r="A607" s="21">
        <v>55</v>
      </c>
      <c r="B607" s="611" t="str">
        <f t="shared" si="92"/>
        <v>Production or processing of ferrous metals</v>
      </c>
      <c r="C607" s="17" t="str">
        <f t="shared" si="92"/>
        <v>(Non) ferrous, sec. aluminium</v>
      </c>
      <c r="D607" s="17" t="str">
        <f t="shared" si="92"/>
        <v>Process (method A): non-carbonate</v>
      </c>
      <c r="E607" s="602"/>
      <c r="F607" s="151" t="str">
        <f t="shared" si="90"/>
        <v>Standard method: Process, Article 24(2)</v>
      </c>
      <c r="G607" s="103">
        <v>1</v>
      </c>
      <c r="H607" s="149" t="str">
        <f>Translations!$B$505</f>
        <v>Type I biomass fraction</v>
      </c>
      <c r="I607" s="149" t="str">
        <f>Translations!$B$510</f>
        <v>Type II biomass fraction</v>
      </c>
      <c r="J607" s="149"/>
      <c r="K607" s="149"/>
      <c r="L607" s="149"/>
      <c r="M607" s="149" t="str">
        <f>Translations!$B$1266</f>
        <v>Analyse biomass fraction</v>
      </c>
      <c r="N607" s="149" t="s">
        <v>1761</v>
      </c>
      <c r="O607" s="150"/>
      <c r="P607" s="103">
        <v>3</v>
      </c>
      <c r="Q607" s="147" t="str">
        <f t="shared" si="88"/>
        <v>(Non) ferrous, sec. aluminium: Process (method A): non-carbonate</v>
      </c>
      <c r="R607" s="17"/>
      <c r="S607" s="17" t="str">
        <f t="shared" si="91"/>
        <v>BioC_(Non) ferrous, sec. aluminium: Process (method A): non-carbonate</v>
      </c>
      <c r="Z607" s="21" t="b">
        <f t="shared" si="87"/>
        <v>0</v>
      </c>
      <c r="AL607" s="624">
        <v>1</v>
      </c>
      <c r="AM607" s="624" t="str">
        <f>Translations!$B$510</f>
        <v>Type II biomass fraction</v>
      </c>
      <c r="AN607" s="624" t="s">
        <v>992</v>
      </c>
      <c r="AO607" s="624" t="s">
        <v>992</v>
      </c>
      <c r="AP607" s="624"/>
      <c r="AQ607" s="624">
        <v>2</v>
      </c>
      <c r="AR607" s="624">
        <v>3</v>
      </c>
    </row>
    <row r="608" spans="1:44" ht="12.75" customHeight="1" outlineLevel="1" x14ac:dyDescent="0.2">
      <c r="A608" s="21">
        <v>56</v>
      </c>
      <c r="B608" s="611" t="str">
        <f t="shared" si="92"/>
        <v>Production or processing of ferrous metals</v>
      </c>
      <c r="C608" s="17" t="str">
        <f t="shared" si="92"/>
        <v>(Non) ferrous, sec. aluminium</v>
      </c>
      <c r="D608" s="17" t="str">
        <f t="shared" si="92"/>
        <v>Process (method B): oxide output</v>
      </c>
      <c r="E608" s="602"/>
      <c r="F608" s="151" t="str">
        <f t="shared" si="90"/>
        <v>Standard method: Process, Article 24(2)</v>
      </c>
      <c r="G608" s="103" t="str">
        <f>EUconst_NA</f>
        <v>n.a.</v>
      </c>
      <c r="H608" s="149"/>
      <c r="I608" s="149"/>
      <c r="J608" s="151"/>
      <c r="K608" s="151"/>
      <c r="L608" s="149"/>
      <c r="M608" s="149"/>
      <c r="N608" s="149"/>
      <c r="O608" s="150"/>
      <c r="P608" s="103" t="str">
        <f>IF(G608=EUconst_NA,EUconst_NA,IF(ISBLANK(J608),COUNTA(H608:O608),COUNTA(H608,J608,L608)))</f>
        <v>n.a.</v>
      </c>
      <c r="Q608" s="147" t="str">
        <f t="shared" si="88"/>
        <v>(Non) ferrous, sec. aluminium: Process (method B): oxide output</v>
      </c>
      <c r="R608" s="17"/>
      <c r="S608" s="17" t="str">
        <f t="shared" si="91"/>
        <v>BioC_(Non) ferrous, sec. aluminium: Process (method B): oxide output</v>
      </c>
      <c r="Z608" s="21" t="b">
        <f t="shared" si="87"/>
        <v>1</v>
      </c>
      <c r="AL608" s="624" t="s">
        <v>992</v>
      </c>
      <c r="AM608" s="624" t="s">
        <v>992</v>
      </c>
      <c r="AN608" s="624" t="s">
        <v>992</v>
      </c>
      <c r="AO608" s="624" t="s">
        <v>992</v>
      </c>
      <c r="AP608" s="624"/>
      <c r="AQ608" s="624" t="s">
        <v>992</v>
      </c>
      <c r="AR608" s="624"/>
    </row>
    <row r="609" spans="1:44" ht="12.75" customHeight="1" outlineLevel="1" x14ac:dyDescent="0.2">
      <c r="A609" s="21">
        <v>57</v>
      </c>
      <c r="B609" s="611" t="str">
        <f t="shared" si="92"/>
        <v>Production or processing of ferrous metals</v>
      </c>
      <c r="C609" s="17" t="str">
        <f t="shared" si="92"/>
        <v>(Non) ferrous, sec. aluminium</v>
      </c>
      <c r="D609" s="17" t="str">
        <f t="shared" si="92"/>
        <v>Mass balance methodology</v>
      </c>
      <c r="E609" s="17"/>
      <c r="F609" s="151" t="str">
        <f t="shared" si="90"/>
        <v>Mass balance method, Article 25</v>
      </c>
      <c r="G609" s="103">
        <v>1</v>
      </c>
      <c r="H609" s="149" t="str">
        <f>Translations!$B$505</f>
        <v>Type I biomass fraction</v>
      </c>
      <c r="I609" s="149" t="str">
        <f>Translations!$B$510</f>
        <v>Type II biomass fraction</v>
      </c>
      <c r="J609" s="149"/>
      <c r="K609" s="149"/>
      <c r="L609" s="149"/>
      <c r="M609" s="149" t="str">
        <f>Translations!$B$1266</f>
        <v>Analyse biomass fraction</v>
      </c>
      <c r="N609" s="149" t="s">
        <v>1761</v>
      </c>
      <c r="O609" s="150"/>
      <c r="P609" s="103">
        <v>3</v>
      </c>
      <c r="Q609" s="147" t="str">
        <f t="shared" si="88"/>
        <v>(Non) ferrous, sec. aluminium: Mass balance methodology</v>
      </c>
      <c r="R609" s="17"/>
      <c r="S609" s="17" t="str">
        <f t="shared" si="91"/>
        <v>BioC_(Non) ferrous, sec. aluminium: Mass balance methodology</v>
      </c>
      <c r="Z609" s="21" t="b">
        <f t="shared" si="87"/>
        <v>0</v>
      </c>
      <c r="AL609" s="624">
        <v>1</v>
      </c>
      <c r="AM609" s="624" t="str">
        <f>Translations!$B$510</f>
        <v>Type II biomass fraction</v>
      </c>
      <c r="AN609" s="624" t="s">
        <v>992</v>
      </c>
      <c r="AO609" s="624" t="s">
        <v>992</v>
      </c>
      <c r="AP609" s="624"/>
      <c r="AQ609" s="624">
        <v>2</v>
      </c>
      <c r="AR609" s="624">
        <v>3</v>
      </c>
    </row>
    <row r="610" spans="1:44" ht="12.75" customHeight="1" outlineLevel="1" x14ac:dyDescent="0.2">
      <c r="A610" s="21">
        <v>58</v>
      </c>
      <c r="B610" s="611" t="str">
        <f t="shared" si="92"/>
        <v>Production of soda ash and sodium bicarbonate</v>
      </c>
      <c r="C610" s="17" t="str">
        <f t="shared" si="92"/>
        <v>Soda ash / sodium bicarbonate</v>
      </c>
      <c r="D610" s="17" t="str">
        <f t="shared" si="92"/>
        <v>Mass balance methodology</v>
      </c>
      <c r="E610" s="17"/>
      <c r="F610" s="151" t="str">
        <f t="shared" si="90"/>
        <v>Mass balance method, Article 25</v>
      </c>
      <c r="G610" s="103">
        <v>1</v>
      </c>
      <c r="H610" s="149" t="str">
        <f>Translations!$B$505</f>
        <v>Type I biomass fraction</v>
      </c>
      <c r="I610" s="149" t="str">
        <f>Translations!$B$510</f>
        <v>Type II biomass fraction</v>
      </c>
      <c r="J610" s="149"/>
      <c r="K610" s="149"/>
      <c r="L610" s="149"/>
      <c r="M610" s="149" t="str">
        <f>Translations!$B$1266</f>
        <v>Analyse biomass fraction</v>
      </c>
      <c r="N610" s="149" t="s">
        <v>1761</v>
      </c>
      <c r="O610" s="150"/>
      <c r="P610" s="103">
        <v>3</v>
      </c>
      <c r="Q610" s="147" t="str">
        <f t="shared" si="88"/>
        <v>Soda ash / sodium bicarbonate: Mass balance methodology</v>
      </c>
      <c r="R610" s="17"/>
      <c r="S610" s="17" t="str">
        <f t="shared" si="91"/>
        <v>BioC_Soda ash / sodium bicarbonate: Mass balance methodology</v>
      </c>
      <c r="W610" s="226"/>
      <c r="Z610" s="21" t="b">
        <f t="shared" si="87"/>
        <v>0</v>
      </c>
      <c r="AL610" s="624">
        <v>1</v>
      </c>
      <c r="AM610" s="624" t="str">
        <f>Translations!$B$510</f>
        <v>Type II biomass fraction</v>
      </c>
      <c r="AN610" s="624" t="s">
        <v>992</v>
      </c>
      <c r="AO610" s="624" t="s">
        <v>992</v>
      </c>
      <c r="AP610" s="624"/>
      <c r="AQ610" s="624">
        <v>2</v>
      </c>
      <c r="AR610" s="624">
        <v>3</v>
      </c>
    </row>
    <row r="611" spans="1:44" ht="12.75" customHeight="1" outlineLevel="1" x14ac:dyDescent="0.2">
      <c r="A611" s="21">
        <v>59</v>
      </c>
      <c r="B611" s="611" t="str">
        <f t="shared" si="92"/>
        <v>Production of primary aluminium</v>
      </c>
      <c r="C611" s="17" t="str">
        <f t="shared" si="92"/>
        <v>Primary aluminium</v>
      </c>
      <c r="D611" s="17" t="str">
        <f t="shared" si="92"/>
        <v>Mass balance methodology</v>
      </c>
      <c r="E611" s="17"/>
      <c r="F611" s="151" t="str">
        <f t="shared" si="90"/>
        <v>Mass balance method, Article 25</v>
      </c>
      <c r="G611" s="103">
        <v>1</v>
      </c>
      <c r="H611" s="149" t="str">
        <f>Translations!$B$505</f>
        <v>Type I biomass fraction</v>
      </c>
      <c r="I611" s="149" t="str">
        <f>Translations!$B$510</f>
        <v>Type II biomass fraction</v>
      </c>
      <c r="J611" s="149"/>
      <c r="K611" s="149"/>
      <c r="L611" s="149"/>
      <c r="M611" s="149" t="str">
        <f>Translations!$B$1266</f>
        <v>Analyse biomass fraction</v>
      </c>
      <c r="N611" s="149" t="s">
        <v>1761</v>
      </c>
      <c r="O611" s="150"/>
      <c r="P611" s="103">
        <v>3</v>
      </c>
      <c r="Q611" s="147" t="str">
        <f t="shared" si="88"/>
        <v>Primary aluminium: Mass balance methodology</v>
      </c>
      <c r="R611" s="17"/>
      <c r="S611" s="17" t="str">
        <f t="shared" si="91"/>
        <v>BioC_Primary aluminium: Mass balance methodology</v>
      </c>
      <c r="Z611" s="21" t="b">
        <f t="shared" si="87"/>
        <v>0</v>
      </c>
      <c r="AL611" s="624">
        <v>1</v>
      </c>
      <c r="AM611" s="624" t="str">
        <f>Translations!$B$510</f>
        <v>Type II biomass fraction</v>
      </c>
      <c r="AN611" s="624" t="s">
        <v>992</v>
      </c>
      <c r="AO611" s="624" t="s">
        <v>992</v>
      </c>
      <c r="AP611" s="624"/>
      <c r="AQ611" s="624">
        <v>2</v>
      </c>
      <c r="AR611" s="624">
        <v>3</v>
      </c>
    </row>
    <row r="612" spans="1:44" ht="12.75" customHeight="1" outlineLevel="1" x14ac:dyDescent="0.2">
      <c r="A612" s="21">
        <v>60</v>
      </c>
      <c r="B612" s="611" t="str">
        <f t="shared" si="92"/>
        <v>Production of primary aluminium</v>
      </c>
      <c r="C612" s="17" t="str">
        <f t="shared" si="92"/>
        <v>Primary aluminium</v>
      </c>
      <c r="D612" s="17" t="str">
        <f t="shared" si="92"/>
        <v>PFC emissions (slope method)</v>
      </c>
      <c r="E612" s="17"/>
      <c r="F612" s="151" t="str">
        <f t="shared" si="90"/>
        <v>Calculation with special provisions for PFC (Annex IV section 8)</v>
      </c>
      <c r="G612" s="103" t="str">
        <f>EUconst_NA</f>
        <v>n.a.</v>
      </c>
      <c r="H612" s="149"/>
      <c r="I612" s="149"/>
      <c r="J612" s="151"/>
      <c r="K612" s="151"/>
      <c r="L612" s="149"/>
      <c r="M612" s="149"/>
      <c r="N612" s="149"/>
      <c r="O612" s="150"/>
      <c r="P612" s="103" t="str">
        <f>IF(G612=EUconst_NA,EUconst_NA,IF(ISBLANK(J612),COUNTA(H612:O612),COUNTA(H612,J612,L612)))</f>
        <v>n.a.</v>
      </c>
      <c r="Q612" s="147" t="str">
        <f t="shared" si="88"/>
        <v>Primary aluminium: PFC emissions (slope method)</v>
      </c>
      <c r="R612" s="17"/>
      <c r="S612" s="17" t="str">
        <f t="shared" si="91"/>
        <v>BioC_Primary aluminium: PFC emissions (slope method)</v>
      </c>
      <c r="Z612" s="21" t="b">
        <f t="shared" si="87"/>
        <v>1</v>
      </c>
      <c r="AL612" s="624" t="s">
        <v>992</v>
      </c>
      <c r="AM612" s="624" t="s">
        <v>992</v>
      </c>
      <c r="AN612" s="624" t="s">
        <v>992</v>
      </c>
      <c r="AO612" s="624" t="s">
        <v>992</v>
      </c>
      <c r="AP612" s="624"/>
      <c r="AQ612" s="624" t="s">
        <v>992</v>
      </c>
      <c r="AR612" s="624"/>
    </row>
    <row r="613" spans="1:44" ht="12.75" customHeight="1" outlineLevel="1" x14ac:dyDescent="0.2">
      <c r="A613" s="21">
        <v>61</v>
      </c>
      <c r="B613" s="611" t="str">
        <f t="shared" ref="B613:D622" si="93">B541</f>
        <v>Production of primary aluminium</v>
      </c>
      <c r="C613" s="17" t="str">
        <f t="shared" si="93"/>
        <v>Primary aluminium</v>
      </c>
      <c r="D613" s="17" t="str">
        <f t="shared" si="93"/>
        <v>PFC emissions (overvoltage method)</v>
      </c>
      <c r="E613" s="17"/>
      <c r="F613" s="151" t="str">
        <f t="shared" si="90"/>
        <v>Calculation with special provisions for PFC (Annex IV section 8)</v>
      </c>
      <c r="G613" s="103" t="str">
        <f>EUconst_NA</f>
        <v>n.a.</v>
      </c>
      <c r="H613" s="149"/>
      <c r="I613" s="149"/>
      <c r="J613" s="151"/>
      <c r="K613" s="151"/>
      <c r="L613" s="149"/>
      <c r="M613" s="149"/>
      <c r="N613" s="149"/>
      <c r="O613" s="150"/>
      <c r="P613" s="103" t="str">
        <f>IF(G613=EUconst_NA,EUconst_NA,IF(ISBLANK(J613),COUNTA(H613:O613),COUNTA(H613,J613,L613)))</f>
        <v>n.a.</v>
      </c>
      <c r="Q613" s="147" t="str">
        <f t="shared" si="88"/>
        <v>Primary aluminium: PFC emissions (overvoltage method)</v>
      </c>
      <c r="R613" s="17"/>
      <c r="S613" s="17" t="str">
        <f t="shared" si="91"/>
        <v>BioC_Primary aluminium: PFC emissions (overvoltage method)</v>
      </c>
      <c r="Z613" s="21" t="b">
        <f t="shared" si="87"/>
        <v>1</v>
      </c>
      <c r="AL613" s="624" t="s">
        <v>992</v>
      </c>
      <c r="AM613" s="624" t="s">
        <v>992</v>
      </c>
      <c r="AN613" s="624" t="s">
        <v>992</v>
      </c>
      <c r="AO613" s="624" t="s">
        <v>992</v>
      </c>
      <c r="AP613" s="624"/>
      <c r="AQ613" s="624" t="s">
        <v>992</v>
      </c>
      <c r="AR613" s="624"/>
    </row>
    <row r="614" spans="1:44" ht="12.75" customHeight="1" outlineLevel="1" x14ac:dyDescent="0.2">
      <c r="A614" s="21">
        <v>62</v>
      </c>
      <c r="B614" s="611" t="str">
        <f t="shared" si="93"/>
        <v>Capture of greenhouse gases under Directive 2009/31/EC</v>
      </c>
      <c r="C614" s="17" t="str">
        <f t="shared" si="93"/>
        <v>CCS: Capture</v>
      </c>
      <c r="D614" s="17" t="str">
        <f t="shared" si="93"/>
        <v>CO2 transferred</v>
      </c>
      <c r="E614" s="17"/>
      <c r="F614" s="151" t="str">
        <f t="shared" ref="F614:F622" si="94">F542</f>
        <v>Mass balance method, Article 25</v>
      </c>
      <c r="G614" s="103">
        <v>1</v>
      </c>
      <c r="H614" s="149" t="str">
        <f>Translations!$B$505</f>
        <v>Type I biomass fraction</v>
      </c>
      <c r="I614" s="149" t="str">
        <f>Translations!$B$510</f>
        <v>Type II biomass fraction</v>
      </c>
      <c r="J614" s="149"/>
      <c r="K614" s="149"/>
      <c r="L614" s="149"/>
      <c r="M614" s="149" t="str">
        <f>Translations!$B$1266</f>
        <v>Analyse biomass fraction</v>
      </c>
      <c r="N614" s="149" t="s">
        <v>1761</v>
      </c>
      <c r="O614" s="150"/>
      <c r="P614" s="103">
        <v>3</v>
      </c>
      <c r="Q614" s="147" t="str">
        <f t="shared" ref="Q614:Q622" si="95">C614 &amp; ": " &amp;D614</f>
        <v>CCS: Capture: CO2 transferred</v>
      </c>
      <c r="R614" s="17"/>
      <c r="S614" s="17" t="str">
        <f t="shared" ref="S614:S622" si="96">EUconst_CNTR_BiomassContent&amp;Q614</f>
        <v>BioC_CCS: Capture: CO2 transferred</v>
      </c>
      <c r="Z614" s="21" t="b">
        <f t="shared" ref="Z614:Z622" si="97">IF(G614=EUconst_NA,TRUE,FALSE)</f>
        <v>0</v>
      </c>
      <c r="AL614" s="624">
        <v>1</v>
      </c>
      <c r="AM614" s="624" t="str">
        <f>Translations!$B$510</f>
        <v>Type II biomass fraction</v>
      </c>
      <c r="AN614" s="624" t="s">
        <v>992</v>
      </c>
      <c r="AO614" s="624" t="s">
        <v>992</v>
      </c>
      <c r="AP614" s="624"/>
      <c r="AQ614" s="624">
        <v>2</v>
      </c>
      <c r="AR614" s="624">
        <v>3</v>
      </c>
    </row>
    <row r="615" spans="1:44" ht="12.75" customHeight="1" outlineLevel="1" x14ac:dyDescent="0.2">
      <c r="A615" s="21">
        <v>63</v>
      </c>
      <c r="B615" s="611" t="str">
        <f t="shared" si="93"/>
        <v>Transport of greenhouse gases under Directive 2009/31/EC</v>
      </c>
      <c r="C615" s="17" t="str">
        <f t="shared" si="93"/>
        <v>CCS: Transport</v>
      </c>
      <c r="D615" s="17" t="str">
        <f t="shared" si="93"/>
        <v>CO2 transferred</v>
      </c>
      <c r="E615" s="17"/>
      <c r="F615" s="151" t="str">
        <f t="shared" si="94"/>
        <v>Mass balance method, Article 25</v>
      </c>
      <c r="G615" s="103" t="str">
        <f t="shared" ref="G615:G622" si="98">EUconst_NA</f>
        <v>n.a.</v>
      </c>
      <c r="H615" s="149"/>
      <c r="I615" s="149"/>
      <c r="J615" s="151"/>
      <c r="K615" s="151"/>
      <c r="L615" s="149"/>
      <c r="M615" s="149"/>
      <c r="N615" s="149"/>
      <c r="O615" s="150"/>
      <c r="P615" s="103" t="str">
        <f t="shared" ref="P615:P622" si="99">IF(G615=EUconst_NA,EUconst_NA,IF(ISBLANK(J615),COUNTA(H615:O615),COUNTA(H615,J615,L615)))</f>
        <v>n.a.</v>
      </c>
      <c r="Q615" s="147" t="str">
        <f t="shared" si="95"/>
        <v>CCS: Transport: CO2 transferred</v>
      </c>
      <c r="R615" s="17"/>
      <c r="S615" s="17" t="str">
        <f t="shared" si="96"/>
        <v>BioC_CCS: Transport: CO2 transferred</v>
      </c>
      <c r="Z615" s="21" t="b">
        <f t="shared" si="97"/>
        <v>1</v>
      </c>
      <c r="AL615" s="624"/>
      <c r="AM615" s="624"/>
      <c r="AN615" s="624"/>
      <c r="AO615" s="624"/>
      <c r="AP615" s="624"/>
      <c r="AQ615" s="624"/>
      <c r="AR615" s="624"/>
    </row>
    <row r="616" spans="1:44" ht="12.75" customHeight="1" outlineLevel="1" x14ac:dyDescent="0.2">
      <c r="A616" s="21">
        <v>64</v>
      </c>
      <c r="B616" s="611" t="str">
        <f t="shared" si="93"/>
        <v>Transport of greenhouse gases under Directive 2009/31/EC</v>
      </c>
      <c r="C616" s="17" t="str">
        <f t="shared" si="93"/>
        <v>CCS: Transport</v>
      </c>
      <c r="D616" s="17" t="str">
        <f t="shared" si="93"/>
        <v>CO2 vented</v>
      </c>
      <c r="E616" s="17"/>
      <c r="F616" s="151" t="str">
        <f t="shared" si="94"/>
        <v>Standard method: Process, Article 24(2)</v>
      </c>
      <c r="G616" s="103" t="str">
        <f t="shared" si="98"/>
        <v>n.a.</v>
      </c>
      <c r="H616" s="149"/>
      <c r="I616" s="149"/>
      <c r="J616" s="151"/>
      <c r="K616" s="151"/>
      <c r="L616" s="149"/>
      <c r="M616" s="149"/>
      <c r="N616" s="149"/>
      <c r="O616" s="150"/>
      <c r="P616" s="103" t="str">
        <f t="shared" si="99"/>
        <v>n.a.</v>
      </c>
      <c r="Q616" s="147" t="str">
        <f t="shared" si="95"/>
        <v>CCS: Transport: CO2 vented</v>
      </c>
      <c r="R616" s="17"/>
      <c r="S616" s="17" t="str">
        <f t="shared" si="96"/>
        <v>BioC_CCS: Transport: CO2 vented</v>
      </c>
      <c r="Z616" s="21" t="b">
        <f t="shared" si="97"/>
        <v>1</v>
      </c>
      <c r="AL616" s="624"/>
      <c r="AM616" s="624"/>
      <c r="AN616" s="624"/>
      <c r="AO616" s="624"/>
      <c r="AP616" s="624"/>
      <c r="AQ616" s="624"/>
      <c r="AR616" s="624"/>
    </row>
    <row r="617" spans="1:44" ht="12.75" customHeight="1" outlineLevel="1" x14ac:dyDescent="0.2">
      <c r="A617" s="21">
        <v>65</v>
      </c>
      <c r="B617" s="611" t="str">
        <f t="shared" si="93"/>
        <v>Transport of greenhouse gases under Directive 2009/31/EC</v>
      </c>
      <c r="C617" s="17" t="str">
        <f t="shared" si="93"/>
        <v>CCS: Transport</v>
      </c>
      <c r="D617" s="17" t="str">
        <f t="shared" si="93"/>
        <v>CO2 leaked</v>
      </c>
      <c r="E617" s="17"/>
      <c r="F617" s="151" t="str">
        <f t="shared" si="94"/>
        <v>Standard method: Process, Article 24(2)</v>
      </c>
      <c r="G617" s="103" t="str">
        <f t="shared" si="98"/>
        <v>n.a.</v>
      </c>
      <c r="H617" s="149"/>
      <c r="I617" s="149"/>
      <c r="J617" s="151"/>
      <c r="K617" s="151"/>
      <c r="L617" s="149"/>
      <c r="M617" s="149"/>
      <c r="N617" s="149"/>
      <c r="O617" s="150"/>
      <c r="P617" s="103" t="str">
        <f t="shared" si="99"/>
        <v>n.a.</v>
      </c>
      <c r="Q617" s="147" t="str">
        <f t="shared" si="95"/>
        <v>CCS: Transport: CO2 leaked</v>
      </c>
      <c r="R617" s="17"/>
      <c r="S617" s="17" t="str">
        <f t="shared" si="96"/>
        <v>BioC_CCS: Transport: CO2 leaked</v>
      </c>
      <c r="Z617" s="21" t="b">
        <f t="shared" si="97"/>
        <v>1</v>
      </c>
      <c r="AL617" s="624"/>
      <c r="AM617" s="624"/>
      <c r="AN617" s="624"/>
      <c r="AO617" s="624"/>
      <c r="AP617" s="624"/>
      <c r="AQ617" s="624"/>
      <c r="AR617" s="624"/>
    </row>
    <row r="618" spans="1:44" ht="12.75" customHeight="1" outlineLevel="1" x14ac:dyDescent="0.2">
      <c r="A618" s="21">
        <v>66</v>
      </c>
      <c r="B618" s="611" t="str">
        <f t="shared" si="93"/>
        <v>Transport of greenhouse gases under Directive 2009/31/EC</v>
      </c>
      <c r="C618" s="17" t="str">
        <f t="shared" si="93"/>
        <v>CCS: Transport</v>
      </c>
      <c r="D618" s="17" t="str">
        <f t="shared" si="93"/>
        <v>CO2 fugitive</v>
      </c>
      <c r="E618" s="17"/>
      <c r="F618" s="151" t="str">
        <f t="shared" si="94"/>
        <v>Standard method: Process, Article 24(2)</v>
      </c>
      <c r="G618" s="103" t="str">
        <f t="shared" si="98"/>
        <v>n.a.</v>
      </c>
      <c r="H618" s="149"/>
      <c r="I618" s="149"/>
      <c r="J618" s="151"/>
      <c r="K618" s="151"/>
      <c r="L618" s="149"/>
      <c r="M618" s="149"/>
      <c r="N618" s="149"/>
      <c r="O618" s="150"/>
      <c r="P618" s="103" t="str">
        <f t="shared" si="99"/>
        <v>n.a.</v>
      </c>
      <c r="Q618" s="147" t="str">
        <f t="shared" si="95"/>
        <v>CCS: Transport: CO2 fugitive</v>
      </c>
      <c r="R618" s="17"/>
      <c r="S618" s="17" t="str">
        <f t="shared" si="96"/>
        <v>BioC_CCS: Transport: CO2 fugitive</v>
      </c>
      <c r="Z618" s="21" t="b">
        <f t="shared" si="97"/>
        <v>1</v>
      </c>
      <c r="AL618" s="624"/>
      <c r="AM618" s="624"/>
      <c r="AN618" s="624"/>
      <c r="AO618" s="624"/>
      <c r="AP618" s="624"/>
      <c r="AQ618" s="624"/>
      <c r="AR618" s="624"/>
    </row>
    <row r="619" spans="1:44" ht="12.75" customHeight="1" outlineLevel="1" x14ac:dyDescent="0.2">
      <c r="A619" s="21">
        <v>67</v>
      </c>
      <c r="B619" s="611" t="str">
        <f t="shared" si="93"/>
        <v>Storage of greenhouse gases under Directive 2009/31/EC</v>
      </c>
      <c r="C619" s="17" t="str">
        <f t="shared" si="93"/>
        <v>CCS: Storage</v>
      </c>
      <c r="D619" s="17" t="str">
        <f t="shared" si="93"/>
        <v>CO2 transferred</v>
      </c>
      <c r="E619" s="17"/>
      <c r="F619" s="151" t="str">
        <f t="shared" si="94"/>
        <v>Mass balance method, Article 25</v>
      </c>
      <c r="G619" s="103" t="str">
        <f t="shared" si="98"/>
        <v>n.a.</v>
      </c>
      <c r="H619" s="149"/>
      <c r="I619" s="149"/>
      <c r="J619" s="151"/>
      <c r="K619" s="151"/>
      <c r="L619" s="149"/>
      <c r="M619" s="149"/>
      <c r="N619" s="149"/>
      <c r="O619" s="150"/>
      <c r="P619" s="103" t="str">
        <f t="shared" si="99"/>
        <v>n.a.</v>
      </c>
      <c r="Q619" s="147" t="str">
        <f t="shared" si="95"/>
        <v>CCS: Storage: CO2 transferred</v>
      </c>
      <c r="R619" s="17"/>
      <c r="S619" s="17" t="str">
        <f t="shared" si="96"/>
        <v>BioC_CCS: Storage: CO2 transferred</v>
      </c>
      <c r="Z619" s="21" t="b">
        <f t="shared" si="97"/>
        <v>1</v>
      </c>
      <c r="AL619" s="624"/>
      <c r="AM619" s="624"/>
      <c r="AN619" s="624"/>
      <c r="AO619" s="624"/>
      <c r="AP619" s="624"/>
      <c r="AQ619" s="624"/>
      <c r="AR619" s="624"/>
    </row>
    <row r="620" spans="1:44" ht="12.75" customHeight="1" outlineLevel="1" x14ac:dyDescent="0.2">
      <c r="A620" s="21">
        <v>68</v>
      </c>
      <c r="B620" s="611" t="str">
        <f t="shared" si="93"/>
        <v>Storage of greenhouse gases under Directive 2009/31/EC</v>
      </c>
      <c r="C620" s="17" t="str">
        <f t="shared" si="93"/>
        <v>CCS: Storage</v>
      </c>
      <c r="D620" s="17" t="str">
        <f t="shared" si="93"/>
        <v>CO2 vented</v>
      </c>
      <c r="E620" s="17"/>
      <c r="F620" s="151" t="str">
        <f t="shared" si="94"/>
        <v>Standard method: Process, Article 24(2)</v>
      </c>
      <c r="G620" s="103" t="str">
        <f t="shared" si="98"/>
        <v>n.a.</v>
      </c>
      <c r="H620" s="149"/>
      <c r="I620" s="149"/>
      <c r="J620" s="151"/>
      <c r="K620" s="151"/>
      <c r="L620" s="149"/>
      <c r="M620" s="149"/>
      <c r="N620" s="149"/>
      <c r="O620" s="150"/>
      <c r="P620" s="103" t="str">
        <f t="shared" si="99"/>
        <v>n.a.</v>
      </c>
      <c r="Q620" s="147" t="str">
        <f t="shared" si="95"/>
        <v>CCS: Storage: CO2 vented</v>
      </c>
      <c r="R620" s="17"/>
      <c r="S620" s="17" t="str">
        <f t="shared" si="96"/>
        <v>BioC_CCS: Storage: CO2 vented</v>
      </c>
      <c r="Z620" s="21" t="b">
        <f t="shared" si="97"/>
        <v>1</v>
      </c>
      <c r="AL620" s="624"/>
      <c r="AM620" s="624"/>
      <c r="AN620" s="624"/>
      <c r="AO620" s="624"/>
      <c r="AP620" s="624"/>
      <c r="AQ620" s="624"/>
      <c r="AR620" s="624"/>
    </row>
    <row r="621" spans="1:44" ht="12.75" customHeight="1" outlineLevel="1" x14ac:dyDescent="0.2">
      <c r="A621" s="21">
        <v>69</v>
      </c>
      <c r="B621" s="611" t="str">
        <f t="shared" si="93"/>
        <v>Storage of greenhouse gases under Directive 2009/31/EC</v>
      </c>
      <c r="C621" s="17" t="str">
        <f t="shared" si="93"/>
        <v>CCS: Storage</v>
      </c>
      <c r="D621" s="17" t="str">
        <f t="shared" si="93"/>
        <v>CO2 leaked</v>
      </c>
      <c r="E621" s="17"/>
      <c r="F621" s="151" t="str">
        <f t="shared" si="94"/>
        <v>Standard method: Process, Article 24(2)</v>
      </c>
      <c r="G621" s="103" t="str">
        <f t="shared" si="98"/>
        <v>n.a.</v>
      </c>
      <c r="H621" s="149"/>
      <c r="I621" s="149"/>
      <c r="J621" s="151"/>
      <c r="K621" s="151"/>
      <c r="L621" s="149"/>
      <c r="M621" s="149"/>
      <c r="N621" s="149"/>
      <c r="O621" s="150"/>
      <c r="P621" s="103" t="str">
        <f t="shared" si="99"/>
        <v>n.a.</v>
      </c>
      <c r="Q621" s="147" t="str">
        <f t="shared" si="95"/>
        <v>CCS: Storage: CO2 leaked</v>
      </c>
      <c r="R621" s="17"/>
      <c r="S621" s="17" t="str">
        <f t="shared" si="96"/>
        <v>BioC_CCS: Storage: CO2 leaked</v>
      </c>
      <c r="Z621" s="21" t="b">
        <f t="shared" si="97"/>
        <v>1</v>
      </c>
      <c r="AL621" s="624"/>
      <c r="AM621" s="624"/>
      <c r="AN621" s="624"/>
      <c r="AO621" s="624"/>
      <c r="AP621" s="624"/>
      <c r="AQ621" s="624"/>
      <c r="AR621" s="624"/>
    </row>
    <row r="622" spans="1:44" ht="12.75" customHeight="1" outlineLevel="1" x14ac:dyDescent="0.2">
      <c r="A622" s="21">
        <v>70</v>
      </c>
      <c r="B622" s="611" t="str">
        <f t="shared" si="93"/>
        <v>Storage of greenhouse gases under Directive 2009/31/EC</v>
      </c>
      <c r="C622" s="17" t="str">
        <f t="shared" si="93"/>
        <v>CCS: Storage</v>
      </c>
      <c r="D622" s="17" t="str">
        <f t="shared" si="93"/>
        <v>CO2 fugitive</v>
      </c>
      <c r="E622" s="17"/>
      <c r="F622" s="151" t="str">
        <f t="shared" si="94"/>
        <v>Standard method: Process, Article 24(2)</v>
      </c>
      <c r="G622" s="103" t="str">
        <f t="shared" si="98"/>
        <v>n.a.</v>
      </c>
      <c r="H622" s="149"/>
      <c r="I622" s="149"/>
      <c r="J622" s="151"/>
      <c r="K622" s="151"/>
      <c r="L622" s="149"/>
      <c r="M622" s="149"/>
      <c r="N622" s="149"/>
      <c r="O622" s="150"/>
      <c r="P622" s="103" t="str">
        <f t="shared" si="99"/>
        <v>n.a.</v>
      </c>
      <c r="Q622" s="147" t="str">
        <f t="shared" si="95"/>
        <v>CCS: Storage: CO2 fugitive</v>
      </c>
      <c r="R622" s="17"/>
      <c r="S622" s="17" t="str">
        <f t="shared" si="96"/>
        <v>BioC_CCS: Storage: CO2 fugitive</v>
      </c>
      <c r="Z622" s="21" t="b">
        <f t="shared" si="97"/>
        <v>1</v>
      </c>
      <c r="AL622" s="624"/>
      <c r="AM622" s="624"/>
      <c r="AN622" s="624"/>
      <c r="AO622" s="624"/>
      <c r="AP622" s="624"/>
      <c r="AQ622" s="624"/>
      <c r="AR622" s="624"/>
    </row>
    <row r="623" spans="1:44" ht="12.75" customHeight="1" outlineLevel="1" x14ac:dyDescent="0.2">
      <c r="B623" s="17"/>
      <c r="C623" s="17"/>
      <c r="D623" s="17"/>
      <c r="E623" s="17"/>
      <c r="F623" s="17"/>
      <c r="G623" s="17"/>
      <c r="H623" s="88"/>
      <c r="I623" s="88"/>
      <c r="J623" s="17"/>
      <c r="K623" s="17"/>
      <c r="L623" s="88"/>
      <c r="M623" s="88"/>
      <c r="N623" s="88"/>
      <c r="O623" s="88"/>
      <c r="P623" s="103"/>
      <c r="Q623" s="17"/>
      <c r="R623" s="17"/>
      <c r="S623" s="17"/>
      <c r="Z623" s="21" t="b">
        <f>IF(G623=EUconst_NA,TRUE,FALSE)</f>
        <v>0</v>
      </c>
    </row>
    <row r="624" spans="1:44" s="142" customFormat="1" ht="12.75" customHeight="1" outlineLevel="1" x14ac:dyDescent="0.2">
      <c r="A624" s="142" t="s">
        <v>1610</v>
      </c>
      <c r="B624" s="143" t="str">
        <f>Translations!$B$522</f>
        <v>Oxidation factor</v>
      </c>
      <c r="C624" s="143" t="str">
        <f>Translations!$B$957</f>
        <v>Short name</v>
      </c>
      <c r="D624" s="143" t="str">
        <f>Translations!$B$958</f>
        <v>Sub-activity</v>
      </c>
      <c r="E624" s="143" t="str">
        <f>Translations!$B$389</f>
        <v>Parameter</v>
      </c>
      <c r="F624" s="143" t="str">
        <f>Translations!$B$959</f>
        <v>Source type</v>
      </c>
      <c r="G624" s="144" t="str">
        <f>Translations!$B$960</f>
        <v>Minimum</v>
      </c>
      <c r="H624" s="144">
        <v>1</v>
      </c>
      <c r="I624" s="144">
        <v>2</v>
      </c>
      <c r="J624" s="144" t="s">
        <v>1325</v>
      </c>
      <c r="K624" s="144" t="str">
        <f>Translations!$B$928</f>
        <v>2b</v>
      </c>
      <c r="L624" s="144">
        <v>3</v>
      </c>
      <c r="M624" s="144" t="s">
        <v>1759</v>
      </c>
      <c r="N624" s="144" t="s">
        <v>1760</v>
      </c>
      <c r="O624" s="144">
        <v>4</v>
      </c>
      <c r="P624" s="144" t="str">
        <f>Translations!$B$961</f>
        <v>Highest</v>
      </c>
      <c r="Q624" s="145"/>
      <c r="Z624" s="142" t="str">
        <f>Translations!$B$962</f>
        <v>make grey?</v>
      </c>
      <c r="AK624" s="142" t="s">
        <v>1651</v>
      </c>
      <c r="AL624" s="206">
        <v>1</v>
      </c>
      <c r="AM624" s="206">
        <v>2</v>
      </c>
      <c r="AN624" s="206" t="s">
        <v>1325</v>
      </c>
      <c r="AO624" s="206" t="str">
        <f>Translations!$B$928</f>
        <v>2b</v>
      </c>
      <c r="AP624" s="206">
        <v>3</v>
      </c>
    </row>
    <row r="625" spans="1:42" ht="12.75" customHeight="1" outlineLevel="1" x14ac:dyDescent="0.2">
      <c r="A625" s="21">
        <v>1</v>
      </c>
      <c r="B625" s="611" t="str">
        <f t="shared" ref="B625:D644" si="100">B553</f>
        <v>Combustion of fuels</v>
      </c>
      <c r="C625" s="17" t="str">
        <f t="shared" si="100"/>
        <v>Combustion</v>
      </c>
      <c r="D625" s="17" t="str">
        <f t="shared" si="100"/>
        <v>Commercial standard fuels</v>
      </c>
      <c r="E625" s="17"/>
      <c r="F625" s="151" t="str">
        <f t="shared" ref="F625:F656" si="101">F553</f>
        <v>Standard method: Fuel, Article 24(1)</v>
      </c>
      <c r="G625" s="103">
        <v>1</v>
      </c>
      <c r="H625" s="149" t="str">
        <f>Translations!$B$529</f>
        <v xml:space="preserve">Default value OF=1 </v>
      </c>
      <c r="I625" s="149" t="str">
        <f>Translations!$B$528</f>
        <v>Type II default values</v>
      </c>
      <c r="J625" s="149"/>
      <c r="K625" s="149"/>
      <c r="L625" s="149" t="str">
        <f>Translations!$B$527</f>
        <v>Laboratory analyses</v>
      </c>
      <c r="M625" s="149"/>
      <c r="N625" s="149"/>
      <c r="O625" s="150"/>
      <c r="P625" s="103">
        <f>G625</f>
        <v>1</v>
      </c>
      <c r="Q625" s="147" t="str">
        <f>C625 &amp; ": " &amp;D625</f>
        <v>Combustion: Commercial standard fuels</v>
      </c>
      <c r="R625" s="17"/>
      <c r="S625" s="17" t="str">
        <f t="shared" ref="S625:S657" si="102">EUconst_CNTR_OxidationFactor&amp;Q625</f>
        <v>OxF_Combustion: Commercial standard fuels</v>
      </c>
      <c r="Z625" s="21" t="b">
        <f t="shared" ref="Z625:Z685" si="103">IF(G625=EUconst_NA,TRUE,FALSE)</f>
        <v>0</v>
      </c>
      <c r="AL625" s="624">
        <v>1</v>
      </c>
      <c r="AM625" s="624">
        <v>1</v>
      </c>
      <c r="AN625" s="624" t="s">
        <v>992</v>
      </c>
      <c r="AO625" s="624" t="s">
        <v>992</v>
      </c>
      <c r="AP625" s="624">
        <v>2</v>
      </c>
    </row>
    <row r="626" spans="1:42" ht="12.75" customHeight="1" outlineLevel="1" x14ac:dyDescent="0.2">
      <c r="A626" s="21">
        <v>2</v>
      </c>
      <c r="B626" s="611" t="str">
        <f t="shared" si="100"/>
        <v>Combustion of fuels</v>
      </c>
      <c r="C626" s="17" t="str">
        <f t="shared" si="100"/>
        <v>Combustion</v>
      </c>
      <c r="D626" s="17" t="str">
        <f t="shared" si="100"/>
        <v>Other gaseous &amp; liquid fuels</v>
      </c>
      <c r="E626" s="17"/>
      <c r="F626" s="151" t="str">
        <f t="shared" si="101"/>
        <v>Standard method: Fuel, Article 24(1)</v>
      </c>
      <c r="G626" s="103">
        <v>1</v>
      </c>
      <c r="H626" s="149" t="str">
        <f>Translations!$B$529</f>
        <v xml:space="preserve">Default value OF=1 </v>
      </c>
      <c r="I626" s="149" t="str">
        <f>Translations!$B$528</f>
        <v>Type II default values</v>
      </c>
      <c r="J626" s="149"/>
      <c r="K626" s="149"/>
      <c r="L626" s="149" t="str">
        <f>Translations!$B$527</f>
        <v>Laboratory analyses</v>
      </c>
      <c r="M626" s="149"/>
      <c r="N626" s="149"/>
      <c r="O626" s="150"/>
      <c r="P626" s="103">
        <f>G626</f>
        <v>1</v>
      </c>
      <c r="Q626" s="147" t="str">
        <f>C626 &amp; ": " &amp;D626</f>
        <v>Combustion: Other gaseous &amp; liquid fuels</v>
      </c>
      <c r="R626" s="17"/>
      <c r="S626" s="17" t="str">
        <f t="shared" si="102"/>
        <v>OxF_Combustion: Other gaseous &amp; liquid fuels</v>
      </c>
      <c r="Z626" s="21" t="b">
        <f t="shared" si="103"/>
        <v>0</v>
      </c>
      <c r="AL626" s="624">
        <v>1</v>
      </c>
      <c r="AM626" s="624">
        <v>1</v>
      </c>
      <c r="AN626" s="624" t="s">
        <v>992</v>
      </c>
      <c r="AO626" s="624" t="s">
        <v>992</v>
      </c>
      <c r="AP626" s="624">
        <v>2</v>
      </c>
    </row>
    <row r="627" spans="1:42" ht="12.75" customHeight="1" outlineLevel="1" x14ac:dyDescent="0.2">
      <c r="A627" s="21">
        <v>3</v>
      </c>
      <c r="B627" s="611" t="str">
        <f t="shared" si="100"/>
        <v>Combustion of fuels</v>
      </c>
      <c r="C627" s="17" t="str">
        <f t="shared" si="100"/>
        <v>Combustion</v>
      </c>
      <c r="D627" s="17" t="str">
        <f t="shared" si="100"/>
        <v>Solid fuels, excluding waste</v>
      </c>
      <c r="E627" s="17"/>
      <c r="F627" s="151" t="str">
        <f t="shared" si="101"/>
        <v>Standard method: Fuel, Article 24(1)</v>
      </c>
      <c r="G627" s="103">
        <v>1</v>
      </c>
      <c r="H627" s="149" t="str">
        <f>Translations!$B$529</f>
        <v xml:space="preserve">Default value OF=1 </v>
      </c>
      <c r="I627" s="149" t="str">
        <f>Translations!$B$528</f>
        <v>Type II default values</v>
      </c>
      <c r="J627" s="149"/>
      <c r="K627" s="149"/>
      <c r="L627" s="149" t="str">
        <f>Translations!$B$527</f>
        <v>Laboratory analyses</v>
      </c>
      <c r="M627" s="149"/>
      <c r="N627" s="149"/>
      <c r="O627" s="150"/>
      <c r="P627" s="103">
        <f>G627</f>
        <v>1</v>
      </c>
      <c r="Q627" s="147" t="str">
        <f t="shared" ref="Q627:Q685" si="104">C627 &amp; ": " &amp;D627</f>
        <v>Combustion: Solid fuels, excluding waste</v>
      </c>
      <c r="R627" s="17"/>
      <c r="S627" s="17" t="str">
        <f t="shared" si="102"/>
        <v>OxF_Combustion: Solid fuels, excluding waste</v>
      </c>
      <c r="Z627" s="21" t="b">
        <f t="shared" si="103"/>
        <v>0</v>
      </c>
      <c r="AL627" s="624">
        <v>1</v>
      </c>
      <c r="AM627" s="624">
        <v>1</v>
      </c>
      <c r="AN627" s="624" t="s">
        <v>992</v>
      </c>
      <c r="AO627" s="624" t="s">
        <v>992</v>
      </c>
      <c r="AP627" s="624">
        <v>2</v>
      </c>
    </row>
    <row r="628" spans="1:42" ht="12.75" customHeight="1" outlineLevel="1" x14ac:dyDescent="0.2">
      <c r="A628" s="21">
        <v>4</v>
      </c>
      <c r="B628" s="611" t="str">
        <f t="shared" si="100"/>
        <v>Combustion of fuels</v>
      </c>
      <c r="C628" s="17" t="str">
        <f t="shared" si="100"/>
        <v>Combustion</v>
      </c>
      <c r="D628" s="17" t="str">
        <f t="shared" si="100"/>
        <v>Waste</v>
      </c>
      <c r="E628" s="17"/>
      <c r="F628" s="151" t="str">
        <f t="shared" si="101"/>
        <v>Standard method: Fuel, Article 24(1)</v>
      </c>
      <c r="G628" s="103">
        <v>1</v>
      </c>
      <c r="H628" s="149" t="str">
        <f>Translations!$B$529</f>
        <v xml:space="preserve">Default value OF=1 </v>
      </c>
      <c r="I628" s="149" t="str">
        <f>Translations!$B$528</f>
        <v>Type II default values</v>
      </c>
      <c r="J628" s="149"/>
      <c r="K628" s="149"/>
      <c r="L628" s="149" t="str">
        <f>Translations!$B$527</f>
        <v>Laboratory analyses</v>
      </c>
      <c r="M628" s="149"/>
      <c r="N628" s="149"/>
      <c r="O628" s="150"/>
      <c r="P628" s="103">
        <f>G628</f>
        <v>1</v>
      </c>
      <c r="Q628" s="147" t="str">
        <f>C628 &amp; ": " &amp;D628</f>
        <v>Combustion: Waste</v>
      </c>
      <c r="R628" s="17"/>
      <c r="S628" s="17" t="str">
        <f>EUconst_CNTR_OxidationFactor&amp;Q628</f>
        <v>OxF_Combustion: Waste</v>
      </c>
      <c r="Z628" s="21" t="b">
        <f>IF(G628=EUconst_NA,TRUE,FALSE)</f>
        <v>0</v>
      </c>
      <c r="AL628" s="624">
        <v>1</v>
      </c>
      <c r="AM628" s="624">
        <v>1</v>
      </c>
      <c r="AN628" s="624" t="s">
        <v>992</v>
      </c>
      <c r="AO628" s="624" t="s">
        <v>992</v>
      </c>
      <c r="AP628" s="624">
        <v>2</v>
      </c>
    </row>
    <row r="629" spans="1:42" ht="12.75" customHeight="1" outlineLevel="1" x14ac:dyDescent="0.2">
      <c r="A629" s="21">
        <v>5</v>
      </c>
      <c r="B629" s="611" t="str">
        <f t="shared" si="100"/>
        <v>Combustion of fuels</v>
      </c>
      <c r="C629" s="17" t="str">
        <f t="shared" si="100"/>
        <v>Combustion</v>
      </c>
      <c r="D629" s="17" t="str">
        <f t="shared" si="100"/>
        <v>Gas Processing Terminals</v>
      </c>
      <c r="E629" s="17"/>
      <c r="F629" s="151" t="str">
        <f t="shared" si="101"/>
        <v>Mass balance method, Article 25</v>
      </c>
      <c r="G629" s="103" t="str">
        <f>EUconst_NA</f>
        <v>n.a.</v>
      </c>
      <c r="H629" s="149"/>
      <c r="I629" s="149"/>
      <c r="J629" s="151"/>
      <c r="K629" s="151"/>
      <c r="L629" s="149"/>
      <c r="M629" s="149"/>
      <c r="N629" s="149"/>
      <c r="O629" s="150"/>
      <c r="P629" s="103" t="str">
        <f t="shared" ref="P629:P685" si="105">G629</f>
        <v>n.a.</v>
      </c>
      <c r="Q629" s="147" t="str">
        <f t="shared" si="104"/>
        <v>Combustion: Gas Processing Terminals</v>
      </c>
      <c r="R629" s="17"/>
      <c r="S629" s="17" t="str">
        <f t="shared" si="102"/>
        <v>OxF_Combustion: Gas Processing Terminals</v>
      </c>
      <c r="W629" s="226"/>
      <c r="Z629" s="21" t="b">
        <f t="shared" si="103"/>
        <v>1</v>
      </c>
      <c r="AL629" s="624" t="s">
        <v>992</v>
      </c>
      <c r="AM629" s="624" t="s">
        <v>992</v>
      </c>
      <c r="AN629" s="624" t="s">
        <v>992</v>
      </c>
      <c r="AO629" s="624" t="s">
        <v>992</v>
      </c>
      <c r="AP629" s="624" t="s">
        <v>992</v>
      </c>
    </row>
    <row r="630" spans="1:42" ht="12.75" customHeight="1" outlineLevel="1" x14ac:dyDescent="0.2">
      <c r="A630" s="21">
        <v>6</v>
      </c>
      <c r="B630" s="611" t="str">
        <f t="shared" si="100"/>
        <v>Combustion of fuels</v>
      </c>
      <c r="C630" s="17" t="str">
        <f t="shared" si="100"/>
        <v>Combustion</v>
      </c>
      <c r="D630" s="17" t="str">
        <f t="shared" si="100"/>
        <v>Flares</v>
      </c>
      <c r="E630" s="17"/>
      <c r="F630" s="151" t="str">
        <f t="shared" si="101"/>
        <v>Standard method: Fuel, Article 24(1)</v>
      </c>
      <c r="G630" s="103">
        <v>1</v>
      </c>
      <c r="H630" s="149" t="str">
        <f>Translations!$B$529</f>
        <v xml:space="preserve">Default value OF=1 </v>
      </c>
      <c r="I630" s="149" t="str">
        <f>Translations!$B$528</f>
        <v>Type II default values</v>
      </c>
      <c r="J630" s="149"/>
      <c r="K630" s="149"/>
      <c r="L630" s="149"/>
      <c r="M630" s="149"/>
      <c r="N630" s="149"/>
      <c r="O630" s="150"/>
      <c r="P630" s="103">
        <f t="shared" si="105"/>
        <v>1</v>
      </c>
      <c r="Q630" s="147" t="str">
        <f t="shared" si="104"/>
        <v>Combustion: Flares</v>
      </c>
      <c r="R630" s="17"/>
      <c r="S630" s="17" t="str">
        <f t="shared" si="102"/>
        <v>OxF_Combustion: Flares</v>
      </c>
      <c r="Z630" s="21" t="b">
        <f t="shared" si="103"/>
        <v>0</v>
      </c>
      <c r="AL630" s="624">
        <v>1</v>
      </c>
      <c r="AM630" s="624">
        <v>1</v>
      </c>
      <c r="AN630" s="624" t="s">
        <v>992</v>
      </c>
      <c r="AO630" s="624" t="s">
        <v>992</v>
      </c>
      <c r="AP630" s="624"/>
    </row>
    <row r="631" spans="1:42" ht="12.75" customHeight="1" outlineLevel="1" x14ac:dyDescent="0.2">
      <c r="A631" s="21">
        <v>7</v>
      </c>
      <c r="B631" s="611" t="str">
        <f t="shared" si="100"/>
        <v>Combustion of fuels</v>
      </c>
      <c r="C631" s="17" t="str">
        <f t="shared" si="100"/>
        <v>Combustion</v>
      </c>
      <c r="D631" s="17" t="str">
        <f t="shared" si="100"/>
        <v>Scrubbing (carbonate)</v>
      </c>
      <c r="E631" s="17"/>
      <c r="F631" s="151" t="str">
        <f t="shared" si="101"/>
        <v>Standard method: Process, Article 24(2)</v>
      </c>
      <c r="G631" s="103" t="str">
        <f t="shared" ref="G631:G662" si="106">EUconst_NA</f>
        <v>n.a.</v>
      </c>
      <c r="H631" s="149"/>
      <c r="I631" s="149"/>
      <c r="J631" s="151"/>
      <c r="K631" s="151"/>
      <c r="L631" s="149"/>
      <c r="M631" s="149"/>
      <c r="N631" s="149"/>
      <c r="O631" s="150"/>
      <c r="P631" s="103" t="str">
        <f t="shared" si="105"/>
        <v>n.a.</v>
      </c>
      <c r="Q631" s="147" t="str">
        <f t="shared" si="104"/>
        <v>Combustion: Scrubbing (carbonate)</v>
      </c>
      <c r="R631" s="17"/>
      <c r="S631" s="17" t="str">
        <f t="shared" si="102"/>
        <v>OxF_Combustion: Scrubbing (carbonate)</v>
      </c>
      <c r="Z631" s="21" t="b">
        <f t="shared" si="103"/>
        <v>1</v>
      </c>
      <c r="AL631" s="624" t="s">
        <v>992</v>
      </c>
      <c r="AM631" s="624" t="s">
        <v>992</v>
      </c>
      <c r="AN631" s="624" t="s">
        <v>992</v>
      </c>
      <c r="AO631" s="624" t="s">
        <v>992</v>
      </c>
      <c r="AP631" s="624" t="s">
        <v>992</v>
      </c>
    </row>
    <row r="632" spans="1:42" ht="12.75" customHeight="1" outlineLevel="1" x14ac:dyDescent="0.2">
      <c r="A632" s="21">
        <v>8</v>
      </c>
      <c r="B632" s="611" t="str">
        <f t="shared" si="100"/>
        <v>Combustion of fuels</v>
      </c>
      <c r="C632" s="17" t="str">
        <f t="shared" si="100"/>
        <v>Combustion</v>
      </c>
      <c r="D632" s="17" t="str">
        <f t="shared" si="100"/>
        <v>Scrubbing (gypsum)</v>
      </c>
      <c r="E632" s="17"/>
      <c r="F632" s="151" t="str">
        <f t="shared" si="101"/>
        <v>Standard method: Process, Article 24(2)</v>
      </c>
      <c r="G632" s="103" t="str">
        <f t="shared" si="106"/>
        <v>n.a.</v>
      </c>
      <c r="H632" s="149"/>
      <c r="I632" s="149"/>
      <c r="J632" s="151"/>
      <c r="K632" s="151"/>
      <c r="L632" s="149"/>
      <c r="M632" s="149"/>
      <c r="N632" s="149"/>
      <c r="O632" s="150"/>
      <c r="P632" s="103" t="str">
        <f t="shared" si="105"/>
        <v>n.a.</v>
      </c>
      <c r="Q632" s="147" t="str">
        <f t="shared" si="104"/>
        <v>Combustion: Scrubbing (gypsum)</v>
      </c>
      <c r="R632" s="17"/>
      <c r="S632" s="17" t="str">
        <f t="shared" si="102"/>
        <v>OxF_Combustion: Scrubbing (gypsum)</v>
      </c>
      <c r="Z632" s="21" t="b">
        <f t="shared" si="103"/>
        <v>1</v>
      </c>
      <c r="AL632" s="624" t="s">
        <v>992</v>
      </c>
      <c r="AM632" s="624" t="s">
        <v>992</v>
      </c>
      <c r="AN632" s="624" t="s">
        <v>992</v>
      </c>
      <c r="AO632" s="624" t="s">
        <v>992</v>
      </c>
      <c r="AP632" s="624" t="s">
        <v>992</v>
      </c>
    </row>
    <row r="633" spans="1:42" ht="12.75" customHeight="1" outlineLevel="1" x14ac:dyDescent="0.2">
      <c r="A633" s="21">
        <v>9</v>
      </c>
      <c r="B633" s="611" t="str">
        <f t="shared" si="100"/>
        <v>Combustion of fuels</v>
      </c>
      <c r="C633" s="17" t="str">
        <f t="shared" si="100"/>
        <v>Combustion</v>
      </c>
      <c r="D633" s="17" t="str">
        <f t="shared" si="100"/>
        <v>Scrubbing (urea)</v>
      </c>
      <c r="E633" s="17"/>
      <c r="F633" s="151" t="str">
        <f t="shared" si="101"/>
        <v>Standard method: Process, Article 24(2)</v>
      </c>
      <c r="G633" s="103" t="str">
        <f t="shared" si="106"/>
        <v>n.a.</v>
      </c>
      <c r="H633" s="149"/>
      <c r="I633" s="149"/>
      <c r="J633" s="151"/>
      <c r="K633" s="151"/>
      <c r="L633" s="149"/>
      <c r="M633" s="149"/>
      <c r="N633" s="149"/>
      <c r="O633" s="150"/>
      <c r="P633" s="103" t="str">
        <f t="shared" si="105"/>
        <v>n.a.</v>
      </c>
      <c r="Q633" s="147" t="str">
        <f t="shared" si="104"/>
        <v>Combustion: Scrubbing (urea)</v>
      </c>
      <c r="R633" s="17"/>
      <c r="S633" s="17" t="str">
        <f t="shared" si="102"/>
        <v>OxF_Combustion: Scrubbing (urea)</v>
      </c>
      <c r="Z633" s="21" t="b">
        <f t="shared" si="103"/>
        <v>1</v>
      </c>
      <c r="AL633" s="624" t="s">
        <v>992</v>
      </c>
      <c r="AM633" s="624" t="s">
        <v>992</v>
      </c>
      <c r="AN633" s="624" t="s">
        <v>992</v>
      </c>
      <c r="AO633" s="624" t="s">
        <v>992</v>
      </c>
      <c r="AP633" s="624" t="s">
        <v>992</v>
      </c>
    </row>
    <row r="634" spans="1:42" ht="12.75" customHeight="1" outlineLevel="1" x14ac:dyDescent="0.2">
      <c r="A634" s="21">
        <v>10</v>
      </c>
      <c r="B634" s="611" t="str">
        <f t="shared" si="100"/>
        <v xml:space="preserve">Refining of oil </v>
      </c>
      <c r="C634" s="17" t="str">
        <f t="shared" si="100"/>
        <v>Refineries</v>
      </c>
      <c r="D634" s="17" t="str">
        <f t="shared" si="100"/>
        <v>Mass balance</v>
      </c>
      <c r="E634" s="17"/>
      <c r="F634" s="151" t="str">
        <f t="shared" si="101"/>
        <v>Mass balance method, Article 25</v>
      </c>
      <c r="G634" s="103" t="str">
        <f t="shared" si="106"/>
        <v>n.a.</v>
      </c>
      <c r="H634" s="149"/>
      <c r="I634" s="149"/>
      <c r="J634" s="151"/>
      <c r="K634" s="151"/>
      <c r="L634" s="149"/>
      <c r="M634" s="149"/>
      <c r="N634" s="149"/>
      <c r="O634" s="150"/>
      <c r="P634" s="103" t="str">
        <f t="shared" si="105"/>
        <v>n.a.</v>
      </c>
      <c r="Q634" s="147" t="str">
        <f t="shared" si="104"/>
        <v>Refineries: Mass balance</v>
      </c>
      <c r="R634" s="17"/>
      <c r="S634" s="17" t="str">
        <f t="shared" si="102"/>
        <v>OxF_Refineries: Mass balance</v>
      </c>
      <c r="W634" s="226"/>
      <c r="Z634" s="21" t="b">
        <f t="shared" si="103"/>
        <v>1</v>
      </c>
      <c r="AL634" s="624" t="s">
        <v>992</v>
      </c>
      <c r="AM634" s="624" t="s">
        <v>992</v>
      </c>
      <c r="AN634" s="624" t="s">
        <v>992</v>
      </c>
      <c r="AO634" s="624" t="s">
        <v>992</v>
      </c>
      <c r="AP634" s="624" t="s">
        <v>992</v>
      </c>
    </row>
    <row r="635" spans="1:42" ht="12.75" customHeight="1" outlineLevel="1" x14ac:dyDescent="0.2">
      <c r="A635" s="21">
        <v>11</v>
      </c>
      <c r="B635" s="611" t="str">
        <f t="shared" si="100"/>
        <v xml:space="preserve">Refining of mineral oil </v>
      </c>
      <c r="C635" s="17" t="str">
        <f t="shared" si="100"/>
        <v>Refineries</v>
      </c>
      <c r="D635" s="17" t="str">
        <f t="shared" si="100"/>
        <v>Catalytic cracker regeneration</v>
      </c>
      <c r="E635" s="17"/>
      <c r="F635" s="151" t="str">
        <f t="shared" si="101"/>
        <v>Mass balance method, Article 25</v>
      </c>
      <c r="G635" s="103" t="str">
        <f t="shared" si="106"/>
        <v>n.a.</v>
      </c>
      <c r="H635" s="149"/>
      <c r="I635" s="149"/>
      <c r="J635" s="151"/>
      <c r="K635" s="151"/>
      <c r="L635" s="149"/>
      <c r="M635" s="149"/>
      <c r="N635" s="149"/>
      <c r="O635" s="150"/>
      <c r="P635" s="103" t="str">
        <f t="shared" si="105"/>
        <v>n.a.</v>
      </c>
      <c r="Q635" s="147" t="str">
        <f t="shared" si="104"/>
        <v>Refineries: Catalytic cracker regeneration</v>
      </c>
      <c r="R635" s="17"/>
      <c r="S635" s="17" t="str">
        <f t="shared" si="102"/>
        <v>OxF_Refineries: Catalytic cracker regeneration</v>
      </c>
      <c r="Z635" s="21" t="b">
        <f t="shared" si="103"/>
        <v>1</v>
      </c>
      <c r="AL635" s="624" t="s">
        <v>992</v>
      </c>
      <c r="AM635" s="624" t="s">
        <v>992</v>
      </c>
      <c r="AN635" s="624" t="s">
        <v>992</v>
      </c>
      <c r="AO635" s="624" t="s">
        <v>992</v>
      </c>
      <c r="AP635" s="624" t="s">
        <v>992</v>
      </c>
    </row>
    <row r="636" spans="1:42" ht="12.75" customHeight="1" outlineLevel="1" x14ac:dyDescent="0.2">
      <c r="A636" s="21">
        <v>12</v>
      </c>
      <c r="B636" s="611" t="str">
        <f t="shared" si="100"/>
        <v xml:space="preserve">Refining of mineral oil </v>
      </c>
      <c r="C636" s="17" t="str">
        <f t="shared" si="100"/>
        <v>Refineries</v>
      </c>
      <c r="D636" s="17" t="str">
        <f t="shared" si="100"/>
        <v>Hydrogen production</v>
      </c>
      <c r="E636" s="610"/>
      <c r="F636" s="151" t="str">
        <f t="shared" si="101"/>
        <v>Mass balance method, Article 25</v>
      </c>
      <c r="G636" s="103" t="str">
        <f t="shared" si="106"/>
        <v>n.a.</v>
      </c>
      <c r="H636" s="149"/>
      <c r="I636" s="149"/>
      <c r="J636" s="151"/>
      <c r="K636" s="151"/>
      <c r="L636" s="149"/>
      <c r="M636" s="149"/>
      <c r="N636" s="149"/>
      <c r="O636" s="150"/>
      <c r="P636" s="103" t="str">
        <f t="shared" si="105"/>
        <v>n.a.</v>
      </c>
      <c r="Q636" s="147" t="str">
        <f t="shared" si="104"/>
        <v>Refineries: Hydrogen production</v>
      </c>
      <c r="R636" s="17"/>
      <c r="S636" s="17" t="str">
        <f t="shared" si="102"/>
        <v>OxF_Refineries: Hydrogen production</v>
      </c>
      <c r="X636" s="69"/>
      <c r="Z636" s="21" t="b">
        <f t="shared" si="103"/>
        <v>1</v>
      </c>
      <c r="AL636" s="624" t="s">
        <v>992</v>
      </c>
      <c r="AM636" s="624" t="s">
        <v>992</v>
      </c>
      <c r="AN636" s="624" t="s">
        <v>992</v>
      </c>
      <c r="AO636" s="624" t="s">
        <v>992</v>
      </c>
      <c r="AP636" s="624" t="s">
        <v>992</v>
      </c>
    </row>
    <row r="637" spans="1:42" ht="12.75" customHeight="1" outlineLevel="1" x14ac:dyDescent="0.2">
      <c r="A637" s="21">
        <v>13</v>
      </c>
      <c r="B637" s="611" t="str">
        <f t="shared" si="100"/>
        <v>Production of coke</v>
      </c>
      <c r="C637" s="17" t="str">
        <f t="shared" si="100"/>
        <v>Coke</v>
      </c>
      <c r="D637" s="17" t="str">
        <f t="shared" si="100"/>
        <v>Fuel as process input</v>
      </c>
      <c r="E637" s="17"/>
      <c r="F637" s="151" t="str">
        <f t="shared" si="101"/>
        <v>Standard method: Fuel, Article 24(1)</v>
      </c>
      <c r="G637" s="103" t="str">
        <f t="shared" si="106"/>
        <v>n.a.</v>
      </c>
      <c r="H637" s="149"/>
      <c r="I637" s="149"/>
      <c r="J637" s="151"/>
      <c r="K637" s="151"/>
      <c r="L637" s="149"/>
      <c r="M637" s="149"/>
      <c r="N637" s="149"/>
      <c r="O637" s="150"/>
      <c r="P637" s="103" t="str">
        <f t="shared" si="105"/>
        <v>n.a.</v>
      </c>
      <c r="Q637" s="147" t="str">
        <f t="shared" si="104"/>
        <v>Coke: Fuel as process input</v>
      </c>
      <c r="R637" s="17"/>
      <c r="S637" s="17" t="str">
        <f t="shared" si="102"/>
        <v>OxF_Coke: Fuel as process input</v>
      </c>
      <c r="W637" s="226"/>
      <c r="X637" s="69"/>
      <c r="Z637" s="21" t="b">
        <f t="shared" si="103"/>
        <v>1</v>
      </c>
      <c r="AL637" s="624" t="s">
        <v>992</v>
      </c>
      <c r="AM637" s="624" t="s">
        <v>992</v>
      </c>
      <c r="AN637" s="624" t="s">
        <v>992</v>
      </c>
      <c r="AO637" s="624" t="s">
        <v>992</v>
      </c>
      <c r="AP637" s="624" t="s">
        <v>992</v>
      </c>
    </row>
    <row r="638" spans="1:42" ht="12.75" customHeight="1" outlineLevel="1" x14ac:dyDescent="0.2">
      <c r="A638" s="21">
        <v>14</v>
      </c>
      <c r="B638" s="611" t="str">
        <f t="shared" si="100"/>
        <v>Production of coke</v>
      </c>
      <c r="C638" s="17" t="str">
        <f t="shared" si="100"/>
        <v>Coke</v>
      </c>
      <c r="D638" s="17" t="str">
        <f t="shared" si="100"/>
        <v>Process (method A): carbonate only</v>
      </c>
      <c r="E638" s="602"/>
      <c r="F638" s="151" t="str">
        <f t="shared" si="101"/>
        <v>Standard method: Process, Article 24(2)</v>
      </c>
      <c r="G638" s="103" t="str">
        <f t="shared" si="106"/>
        <v>n.a.</v>
      </c>
      <c r="H638" s="149"/>
      <c r="I638" s="149"/>
      <c r="J638" s="151"/>
      <c r="K638" s="151"/>
      <c r="L638" s="149"/>
      <c r="M638" s="149"/>
      <c r="N638" s="149"/>
      <c r="O638" s="150"/>
      <c r="P638" s="103" t="str">
        <f t="shared" si="105"/>
        <v>n.a.</v>
      </c>
      <c r="Q638" s="147" t="str">
        <f t="shared" si="104"/>
        <v>Coke: Process (method A): carbonate only</v>
      </c>
      <c r="R638" s="17"/>
      <c r="S638" s="17" t="str">
        <f t="shared" si="102"/>
        <v>OxF_Coke: Process (method A): carbonate only</v>
      </c>
      <c r="W638" s="226"/>
      <c r="X638" s="69"/>
      <c r="Z638" s="21" t="b">
        <f t="shared" si="103"/>
        <v>1</v>
      </c>
      <c r="AL638" s="624" t="s">
        <v>992</v>
      </c>
      <c r="AM638" s="624" t="s">
        <v>992</v>
      </c>
      <c r="AN638" s="624" t="s">
        <v>992</v>
      </c>
      <c r="AO638" s="624" t="s">
        <v>992</v>
      </c>
      <c r="AP638" s="624" t="s">
        <v>992</v>
      </c>
    </row>
    <row r="639" spans="1:42" ht="12.75" customHeight="1" outlineLevel="1" x14ac:dyDescent="0.2">
      <c r="A639" s="21">
        <v>15</v>
      </c>
      <c r="B639" s="611" t="str">
        <f t="shared" si="100"/>
        <v>Production of coke</v>
      </c>
      <c r="C639" s="17" t="str">
        <f t="shared" si="100"/>
        <v>Coke</v>
      </c>
      <c r="D639" s="17" t="str">
        <f t="shared" si="100"/>
        <v>Process (method A): mixed (carbonate + non-carbonate)</v>
      </c>
      <c r="E639" s="602"/>
      <c r="F639" s="151" t="str">
        <f t="shared" si="101"/>
        <v>Standard method: Process, Article 24(2)</v>
      </c>
      <c r="G639" s="103" t="str">
        <f t="shared" si="106"/>
        <v>n.a.</v>
      </c>
      <c r="H639" s="149"/>
      <c r="I639" s="149"/>
      <c r="J639" s="151"/>
      <c r="K639" s="151"/>
      <c r="L639" s="149"/>
      <c r="M639" s="149"/>
      <c r="N639" s="149"/>
      <c r="O639" s="150"/>
      <c r="P639" s="103" t="str">
        <f t="shared" si="105"/>
        <v>n.a.</v>
      </c>
      <c r="Q639" s="147" t="str">
        <f t="shared" si="104"/>
        <v>Coke: Process (method A): mixed (carbonate + non-carbonate)</v>
      </c>
      <c r="R639" s="17"/>
      <c r="S639" s="17" t="str">
        <f t="shared" si="102"/>
        <v>OxF_Coke: Process (method A): mixed (carbonate + non-carbonate)</v>
      </c>
      <c r="W639" s="226"/>
      <c r="X639" s="69"/>
      <c r="Z639" s="21" t="b">
        <f t="shared" si="103"/>
        <v>1</v>
      </c>
      <c r="AL639" s="624" t="s">
        <v>992</v>
      </c>
      <c r="AM639" s="624" t="s">
        <v>992</v>
      </c>
      <c r="AN639" s="624" t="s">
        <v>992</v>
      </c>
      <c r="AO639" s="624" t="s">
        <v>992</v>
      </c>
      <c r="AP639" s="624" t="s">
        <v>992</v>
      </c>
    </row>
    <row r="640" spans="1:42" ht="12.75" customHeight="1" outlineLevel="1" x14ac:dyDescent="0.2">
      <c r="A640" s="21">
        <v>16</v>
      </c>
      <c r="B640" s="611" t="str">
        <f t="shared" si="100"/>
        <v>Production of coke</v>
      </c>
      <c r="C640" s="17" t="str">
        <f t="shared" si="100"/>
        <v>Coke</v>
      </c>
      <c r="D640" s="17" t="str">
        <f t="shared" si="100"/>
        <v>Process (method A): non-carbonate</v>
      </c>
      <c r="E640" s="602"/>
      <c r="F640" s="151" t="str">
        <f t="shared" si="101"/>
        <v>Standard method: Process, Article 24(2)</v>
      </c>
      <c r="G640" s="103" t="str">
        <f t="shared" si="106"/>
        <v>n.a.</v>
      </c>
      <c r="H640" s="149"/>
      <c r="I640" s="149"/>
      <c r="J640" s="151"/>
      <c r="K640" s="151"/>
      <c r="L640" s="149"/>
      <c r="M640" s="149"/>
      <c r="N640" s="149"/>
      <c r="O640" s="150"/>
      <c r="P640" s="103" t="str">
        <f t="shared" si="105"/>
        <v>n.a.</v>
      </c>
      <c r="Q640" s="147" t="str">
        <f t="shared" si="104"/>
        <v>Coke: Process (method A): non-carbonate</v>
      </c>
      <c r="R640" s="17"/>
      <c r="S640" s="17" t="str">
        <f t="shared" si="102"/>
        <v>OxF_Coke: Process (method A): non-carbonate</v>
      </c>
      <c r="W640" s="226"/>
      <c r="X640" s="69"/>
      <c r="Z640" s="21" t="b">
        <f t="shared" si="103"/>
        <v>1</v>
      </c>
      <c r="AL640" s="624" t="s">
        <v>992</v>
      </c>
      <c r="AM640" s="624" t="s">
        <v>992</v>
      </c>
      <c r="AN640" s="624" t="s">
        <v>992</v>
      </c>
      <c r="AO640" s="624" t="s">
        <v>992</v>
      </c>
      <c r="AP640" s="624" t="s">
        <v>992</v>
      </c>
    </row>
    <row r="641" spans="1:42" ht="12.75" customHeight="1" outlineLevel="1" x14ac:dyDescent="0.2">
      <c r="A641" s="21">
        <v>17</v>
      </c>
      <c r="B641" s="611" t="str">
        <f t="shared" si="100"/>
        <v>Production of coke</v>
      </c>
      <c r="C641" s="17" t="str">
        <f t="shared" si="100"/>
        <v>Coke</v>
      </c>
      <c r="D641" s="17" t="str">
        <f t="shared" si="100"/>
        <v>Process (method B): oxide output</v>
      </c>
      <c r="E641" s="610"/>
      <c r="F641" s="151" t="str">
        <f t="shared" si="101"/>
        <v>Standard method: Process, Article 24(2)</v>
      </c>
      <c r="G641" s="103" t="str">
        <f t="shared" si="106"/>
        <v>n.a.</v>
      </c>
      <c r="H641" s="149"/>
      <c r="I641" s="149"/>
      <c r="J641" s="151"/>
      <c r="K641" s="151"/>
      <c r="L641" s="149"/>
      <c r="M641" s="149"/>
      <c r="N641" s="149"/>
      <c r="O641" s="150"/>
      <c r="P641" s="103" t="str">
        <f t="shared" si="105"/>
        <v>n.a.</v>
      </c>
      <c r="Q641" s="147" t="str">
        <f t="shared" si="104"/>
        <v>Coke: Process (method B): oxide output</v>
      </c>
      <c r="R641" s="17"/>
      <c r="S641" s="17" t="str">
        <f t="shared" si="102"/>
        <v>OxF_Coke: Process (method B): oxide output</v>
      </c>
      <c r="W641" s="226"/>
      <c r="X641" s="69"/>
      <c r="Z641" s="21" t="b">
        <f t="shared" si="103"/>
        <v>1</v>
      </c>
      <c r="AL641" s="624" t="s">
        <v>992</v>
      </c>
      <c r="AM641" s="624" t="s">
        <v>992</v>
      </c>
      <c r="AN641" s="624" t="s">
        <v>992</v>
      </c>
      <c r="AO641" s="624" t="s">
        <v>992</v>
      </c>
      <c r="AP641" s="624" t="s">
        <v>992</v>
      </c>
    </row>
    <row r="642" spans="1:42" ht="12.75" customHeight="1" outlineLevel="1" x14ac:dyDescent="0.2">
      <c r="A642" s="21">
        <v>18</v>
      </c>
      <c r="B642" s="611" t="str">
        <f t="shared" si="100"/>
        <v>Production of coke</v>
      </c>
      <c r="C642" s="17" t="str">
        <f t="shared" si="100"/>
        <v>Coke</v>
      </c>
      <c r="D642" s="17" t="str">
        <f t="shared" si="100"/>
        <v>Mass balance</v>
      </c>
      <c r="E642" s="17"/>
      <c r="F642" s="151" t="str">
        <f t="shared" si="101"/>
        <v>Mass balance method, Article 25</v>
      </c>
      <c r="G642" s="103" t="str">
        <f t="shared" si="106"/>
        <v>n.a.</v>
      </c>
      <c r="H642" s="149"/>
      <c r="I642" s="149"/>
      <c r="J642" s="151"/>
      <c r="K642" s="151"/>
      <c r="L642" s="149"/>
      <c r="M642" s="149"/>
      <c r="N642" s="149"/>
      <c r="O642" s="150"/>
      <c r="P642" s="103" t="str">
        <f t="shared" si="105"/>
        <v>n.a.</v>
      </c>
      <c r="Q642" s="147" t="str">
        <f t="shared" si="104"/>
        <v>Coke: Mass balance</v>
      </c>
      <c r="R642" s="17"/>
      <c r="S642" s="17" t="str">
        <f t="shared" si="102"/>
        <v>OxF_Coke: Mass balance</v>
      </c>
      <c r="X642" s="69"/>
      <c r="Z642" s="21" t="b">
        <f t="shared" si="103"/>
        <v>1</v>
      </c>
      <c r="AL642" s="624" t="s">
        <v>992</v>
      </c>
      <c r="AM642" s="624" t="s">
        <v>992</v>
      </c>
      <c r="AN642" s="624" t="s">
        <v>992</v>
      </c>
      <c r="AO642" s="624" t="s">
        <v>992</v>
      </c>
      <c r="AP642" s="624" t="s">
        <v>992</v>
      </c>
    </row>
    <row r="643" spans="1:42" ht="12.75" customHeight="1" outlineLevel="1" x14ac:dyDescent="0.2">
      <c r="A643" s="21">
        <v>19</v>
      </c>
      <c r="B643" s="611" t="str">
        <f t="shared" si="100"/>
        <v>Metal ore roasting or sintering</v>
      </c>
      <c r="C643" s="17" t="str">
        <f t="shared" si="100"/>
        <v>Metal ore</v>
      </c>
      <c r="D643" s="17" t="str">
        <f t="shared" si="100"/>
        <v>Process (method A): carbonate only</v>
      </c>
      <c r="E643" s="602"/>
      <c r="F643" s="151" t="str">
        <f t="shared" si="101"/>
        <v>Standard method: Process, Article 24(2)</v>
      </c>
      <c r="G643" s="103" t="str">
        <f t="shared" si="106"/>
        <v>n.a.</v>
      </c>
      <c r="H643" s="149"/>
      <c r="I643" s="149"/>
      <c r="J643" s="151"/>
      <c r="K643" s="151"/>
      <c r="L643" s="149"/>
      <c r="M643" s="149"/>
      <c r="N643" s="149"/>
      <c r="O643" s="150"/>
      <c r="P643" s="103" t="str">
        <f t="shared" si="105"/>
        <v>n.a.</v>
      </c>
      <c r="Q643" s="147" t="str">
        <f t="shared" si="104"/>
        <v>Metal ore: Process (method A): carbonate only</v>
      </c>
      <c r="R643" s="17"/>
      <c r="S643" s="17" t="str">
        <f t="shared" si="102"/>
        <v>OxF_Metal ore: Process (method A): carbonate only</v>
      </c>
      <c r="X643" s="69"/>
      <c r="Z643" s="21" t="b">
        <f t="shared" si="103"/>
        <v>1</v>
      </c>
      <c r="AL643" s="624" t="s">
        <v>992</v>
      </c>
      <c r="AM643" s="624" t="s">
        <v>992</v>
      </c>
      <c r="AN643" s="624" t="s">
        <v>992</v>
      </c>
      <c r="AO643" s="624" t="s">
        <v>992</v>
      </c>
      <c r="AP643" s="624" t="s">
        <v>992</v>
      </c>
    </row>
    <row r="644" spans="1:42" ht="12.75" customHeight="1" outlineLevel="1" x14ac:dyDescent="0.2">
      <c r="A644" s="21">
        <v>20</v>
      </c>
      <c r="B644" s="611" t="str">
        <f t="shared" si="100"/>
        <v>Metal ore roasting or sintering</v>
      </c>
      <c r="C644" s="17" t="str">
        <f t="shared" si="100"/>
        <v>Metal ore</v>
      </c>
      <c r="D644" s="17" t="str">
        <f t="shared" si="100"/>
        <v>Process (method A): mixed (carbonate + non-carbonate)</v>
      </c>
      <c r="E644" s="602"/>
      <c r="F644" s="151" t="str">
        <f t="shared" si="101"/>
        <v>Standard method: Process, Article 24(2)</v>
      </c>
      <c r="G644" s="103" t="str">
        <f t="shared" si="106"/>
        <v>n.a.</v>
      </c>
      <c r="H644" s="149"/>
      <c r="I644" s="149"/>
      <c r="J644" s="151"/>
      <c r="K644" s="151"/>
      <c r="L644" s="149"/>
      <c r="M644" s="149"/>
      <c r="N644" s="149"/>
      <c r="O644" s="150"/>
      <c r="P644" s="103" t="str">
        <f t="shared" si="105"/>
        <v>n.a.</v>
      </c>
      <c r="Q644" s="147" t="str">
        <f t="shared" si="104"/>
        <v>Metal ore: Process (method A): mixed (carbonate + non-carbonate)</v>
      </c>
      <c r="R644" s="17"/>
      <c r="S644" s="17" t="str">
        <f t="shared" si="102"/>
        <v>OxF_Metal ore: Process (method A): mixed (carbonate + non-carbonate)</v>
      </c>
      <c r="W644" s="226"/>
      <c r="X644" s="69"/>
      <c r="Z644" s="21" t="b">
        <f t="shared" si="103"/>
        <v>1</v>
      </c>
      <c r="AL644" s="624" t="s">
        <v>992</v>
      </c>
      <c r="AM644" s="624" t="s">
        <v>992</v>
      </c>
      <c r="AN644" s="624" t="s">
        <v>992</v>
      </c>
      <c r="AO644" s="624" t="s">
        <v>992</v>
      </c>
      <c r="AP644" s="624" t="s">
        <v>992</v>
      </c>
    </row>
    <row r="645" spans="1:42" ht="12.75" customHeight="1" outlineLevel="1" x14ac:dyDescent="0.2">
      <c r="A645" s="21">
        <v>21</v>
      </c>
      <c r="B645" s="611" t="str">
        <f t="shared" ref="B645:D664" si="107">B573</f>
        <v>Metal ore roasting or sintering</v>
      </c>
      <c r="C645" s="17" t="str">
        <f t="shared" si="107"/>
        <v>Metal ore</v>
      </c>
      <c r="D645" s="17" t="str">
        <f t="shared" si="107"/>
        <v>Process (method A): non-carbonate</v>
      </c>
      <c r="E645" s="602"/>
      <c r="F645" s="151" t="str">
        <f t="shared" si="101"/>
        <v>Standard method: Process, Article 24(2)</v>
      </c>
      <c r="G645" s="103" t="str">
        <f t="shared" si="106"/>
        <v>n.a.</v>
      </c>
      <c r="H645" s="149"/>
      <c r="I645" s="149"/>
      <c r="J645" s="151"/>
      <c r="K645" s="151"/>
      <c r="L645" s="149"/>
      <c r="M645" s="149"/>
      <c r="N645" s="149"/>
      <c r="O645" s="150"/>
      <c r="P645" s="103" t="str">
        <f t="shared" si="105"/>
        <v>n.a.</v>
      </c>
      <c r="Q645" s="147" t="str">
        <f t="shared" si="104"/>
        <v>Metal ore: Process (method A): non-carbonate</v>
      </c>
      <c r="R645" s="17"/>
      <c r="S645" s="17" t="str">
        <f t="shared" si="102"/>
        <v>OxF_Metal ore: Process (method A): non-carbonate</v>
      </c>
      <c r="W645" s="226"/>
      <c r="X645" s="69"/>
      <c r="Z645" s="21" t="b">
        <f t="shared" si="103"/>
        <v>1</v>
      </c>
      <c r="AL645" s="624" t="s">
        <v>992</v>
      </c>
      <c r="AM645" s="624" t="s">
        <v>992</v>
      </c>
      <c r="AN645" s="624" t="s">
        <v>992</v>
      </c>
      <c r="AO645" s="624" t="s">
        <v>992</v>
      </c>
      <c r="AP645" s="624" t="s">
        <v>992</v>
      </c>
    </row>
    <row r="646" spans="1:42" ht="12.75" customHeight="1" outlineLevel="1" x14ac:dyDescent="0.2">
      <c r="A646" s="21">
        <v>22</v>
      </c>
      <c r="B646" s="611" t="str">
        <f t="shared" si="107"/>
        <v>Metal ore roasting or sintering</v>
      </c>
      <c r="C646" s="17" t="str">
        <f t="shared" si="107"/>
        <v>Metal ore</v>
      </c>
      <c r="D646" s="17" t="str">
        <f t="shared" si="107"/>
        <v>Process (method B): oxide output</v>
      </c>
      <c r="E646" s="602"/>
      <c r="F646" s="151" t="str">
        <f t="shared" si="101"/>
        <v>Standard method: Process, Article 24(2)</v>
      </c>
      <c r="G646" s="103" t="str">
        <f t="shared" si="106"/>
        <v>n.a.</v>
      </c>
      <c r="H646" s="149"/>
      <c r="I646" s="149"/>
      <c r="J646" s="151"/>
      <c r="K646" s="151"/>
      <c r="L646" s="149"/>
      <c r="M646" s="149"/>
      <c r="N646" s="149"/>
      <c r="O646" s="150"/>
      <c r="P646" s="103" t="str">
        <f t="shared" si="105"/>
        <v>n.a.</v>
      </c>
      <c r="Q646" s="147" t="str">
        <f t="shared" si="104"/>
        <v>Metal ore: Process (method B): oxide output</v>
      </c>
      <c r="R646" s="17"/>
      <c r="S646" s="17" t="str">
        <f t="shared" si="102"/>
        <v>OxF_Metal ore: Process (method B): oxide output</v>
      </c>
      <c r="W646" s="226"/>
      <c r="X646" s="69"/>
      <c r="Z646" s="21" t="b">
        <f t="shared" si="103"/>
        <v>1</v>
      </c>
      <c r="AL646" s="624" t="s">
        <v>992</v>
      </c>
      <c r="AM646" s="624" t="s">
        <v>992</v>
      </c>
      <c r="AN646" s="624" t="s">
        <v>992</v>
      </c>
      <c r="AO646" s="624" t="s">
        <v>992</v>
      </c>
      <c r="AP646" s="624" t="s">
        <v>992</v>
      </c>
    </row>
    <row r="647" spans="1:42" ht="12.75" customHeight="1" outlineLevel="1" x14ac:dyDescent="0.2">
      <c r="A647" s="21">
        <v>23</v>
      </c>
      <c r="B647" s="611" t="str">
        <f t="shared" si="107"/>
        <v>Metal ore roasting or sintering</v>
      </c>
      <c r="C647" s="17" t="str">
        <f t="shared" si="107"/>
        <v>Metal ore</v>
      </c>
      <c r="D647" s="17" t="str">
        <f t="shared" si="107"/>
        <v>Mass balance</v>
      </c>
      <c r="E647" s="17"/>
      <c r="F647" s="151" t="str">
        <f t="shared" si="101"/>
        <v>Mass balance method, Article 25</v>
      </c>
      <c r="G647" s="103" t="str">
        <f t="shared" si="106"/>
        <v>n.a.</v>
      </c>
      <c r="H647" s="149"/>
      <c r="I647" s="149"/>
      <c r="J647" s="151"/>
      <c r="K647" s="151"/>
      <c r="L647" s="149"/>
      <c r="M647" s="149"/>
      <c r="N647" s="149"/>
      <c r="O647" s="150"/>
      <c r="P647" s="103" t="str">
        <f t="shared" si="105"/>
        <v>n.a.</v>
      </c>
      <c r="Q647" s="147" t="str">
        <f t="shared" si="104"/>
        <v>Metal ore: Mass balance</v>
      </c>
      <c r="R647" s="17"/>
      <c r="S647" s="17" t="str">
        <f t="shared" si="102"/>
        <v>OxF_Metal ore: Mass balance</v>
      </c>
      <c r="X647" s="69"/>
      <c r="Z647" s="21" t="b">
        <f t="shared" si="103"/>
        <v>1</v>
      </c>
      <c r="AL647" s="624" t="s">
        <v>992</v>
      </c>
      <c r="AM647" s="624" t="s">
        <v>992</v>
      </c>
      <c r="AN647" s="624" t="s">
        <v>992</v>
      </c>
      <c r="AO647" s="624" t="s">
        <v>992</v>
      </c>
      <c r="AP647" s="624" t="s">
        <v>992</v>
      </c>
    </row>
    <row r="648" spans="1:42" ht="12.75" customHeight="1" outlineLevel="1" x14ac:dyDescent="0.2">
      <c r="A648" s="21">
        <v>24</v>
      </c>
      <c r="B648" s="611" t="str">
        <f t="shared" si="107"/>
        <v>Production of iron or steel</v>
      </c>
      <c r="C648" s="17" t="str">
        <f t="shared" si="107"/>
        <v>Iron &amp; steel</v>
      </c>
      <c r="D648" s="17" t="str">
        <f t="shared" si="107"/>
        <v>Fuel as process input</v>
      </c>
      <c r="E648" s="17"/>
      <c r="F648" s="151" t="str">
        <f t="shared" si="101"/>
        <v>Standard method: Fuel, Article 24(1)</v>
      </c>
      <c r="G648" s="103" t="str">
        <f t="shared" si="106"/>
        <v>n.a.</v>
      </c>
      <c r="H648" s="149"/>
      <c r="I648" s="149"/>
      <c r="J648" s="151"/>
      <c r="K648" s="151"/>
      <c r="L648" s="149"/>
      <c r="M648" s="149"/>
      <c r="N648" s="149"/>
      <c r="O648" s="150"/>
      <c r="P648" s="103" t="str">
        <f t="shared" si="105"/>
        <v>n.a.</v>
      </c>
      <c r="Q648" s="147" t="str">
        <f t="shared" si="104"/>
        <v>Iron &amp; steel: Fuel as process input</v>
      </c>
      <c r="R648" s="17"/>
      <c r="S648" s="17" t="str">
        <f t="shared" si="102"/>
        <v>OxF_Iron &amp; steel: Fuel as process input</v>
      </c>
      <c r="X648" s="69"/>
      <c r="Z648" s="21" t="b">
        <f t="shared" si="103"/>
        <v>1</v>
      </c>
      <c r="AL648" s="624" t="s">
        <v>992</v>
      </c>
      <c r="AM648" s="624" t="s">
        <v>992</v>
      </c>
      <c r="AN648" s="624" t="s">
        <v>992</v>
      </c>
      <c r="AO648" s="624" t="s">
        <v>992</v>
      </c>
      <c r="AP648" s="624" t="s">
        <v>992</v>
      </c>
    </row>
    <row r="649" spans="1:42" ht="12.75" customHeight="1" outlineLevel="1" x14ac:dyDescent="0.2">
      <c r="A649" s="21">
        <v>25</v>
      </c>
      <c r="B649" s="611" t="str">
        <f t="shared" si="107"/>
        <v>Production of iron or steel</v>
      </c>
      <c r="C649" s="17" t="str">
        <f t="shared" si="107"/>
        <v>Iron &amp; steel</v>
      </c>
      <c r="D649" s="17" t="str">
        <f t="shared" si="107"/>
        <v>Process (method A): carbonate only</v>
      </c>
      <c r="E649" s="602"/>
      <c r="F649" s="151" t="str">
        <f t="shared" si="101"/>
        <v>Standard method: Process, Article 24(2)</v>
      </c>
      <c r="G649" s="103" t="str">
        <f t="shared" si="106"/>
        <v>n.a.</v>
      </c>
      <c r="H649" s="149"/>
      <c r="I649" s="149"/>
      <c r="J649" s="151"/>
      <c r="K649" s="151"/>
      <c r="L649" s="149"/>
      <c r="M649" s="149"/>
      <c r="N649" s="149"/>
      <c r="O649" s="150"/>
      <c r="P649" s="103" t="str">
        <f t="shared" si="105"/>
        <v>n.a.</v>
      </c>
      <c r="Q649" s="147" t="str">
        <f t="shared" si="104"/>
        <v>Iron &amp; steel: Process (method A): carbonate only</v>
      </c>
      <c r="R649" s="17"/>
      <c r="S649" s="17" t="str">
        <f t="shared" si="102"/>
        <v>OxF_Iron &amp; steel: Process (method A): carbonate only</v>
      </c>
      <c r="W649" s="226"/>
      <c r="X649" s="69"/>
      <c r="Z649" s="21" t="b">
        <f t="shared" si="103"/>
        <v>1</v>
      </c>
      <c r="AL649" s="624" t="s">
        <v>992</v>
      </c>
      <c r="AM649" s="624" t="s">
        <v>992</v>
      </c>
      <c r="AN649" s="624" t="s">
        <v>992</v>
      </c>
      <c r="AO649" s="624" t="s">
        <v>992</v>
      </c>
      <c r="AP649" s="624" t="s">
        <v>992</v>
      </c>
    </row>
    <row r="650" spans="1:42" ht="12.75" customHeight="1" outlineLevel="1" x14ac:dyDescent="0.2">
      <c r="A650" s="21">
        <v>26</v>
      </c>
      <c r="B650" s="611" t="str">
        <f t="shared" si="107"/>
        <v>Production of iron or steel</v>
      </c>
      <c r="C650" s="17" t="str">
        <f t="shared" si="107"/>
        <v>Iron &amp; steel</v>
      </c>
      <c r="D650" s="17" t="str">
        <f t="shared" si="107"/>
        <v>Process (method A): mixed (carbonate + non-carbonate)</v>
      </c>
      <c r="E650" s="602"/>
      <c r="F650" s="151" t="str">
        <f t="shared" si="101"/>
        <v>Standard method: Process, Article 24(2)</v>
      </c>
      <c r="G650" s="103" t="str">
        <f t="shared" si="106"/>
        <v>n.a.</v>
      </c>
      <c r="H650" s="149"/>
      <c r="I650" s="149"/>
      <c r="J650" s="151"/>
      <c r="K650" s="151"/>
      <c r="L650" s="149"/>
      <c r="M650" s="149"/>
      <c r="N650" s="149"/>
      <c r="O650" s="150"/>
      <c r="P650" s="103" t="str">
        <f t="shared" si="105"/>
        <v>n.a.</v>
      </c>
      <c r="Q650" s="147" t="str">
        <f t="shared" si="104"/>
        <v>Iron &amp; steel: Process (method A): mixed (carbonate + non-carbonate)</v>
      </c>
      <c r="R650" s="17"/>
      <c r="S650" s="17" t="str">
        <f t="shared" si="102"/>
        <v>OxF_Iron &amp; steel: Process (method A): mixed (carbonate + non-carbonate)</v>
      </c>
      <c r="W650" s="226"/>
      <c r="X650" s="69"/>
      <c r="Z650" s="21" t="b">
        <f t="shared" si="103"/>
        <v>1</v>
      </c>
      <c r="AL650" s="624" t="s">
        <v>992</v>
      </c>
      <c r="AM650" s="624" t="s">
        <v>992</v>
      </c>
      <c r="AN650" s="624" t="s">
        <v>992</v>
      </c>
      <c r="AO650" s="624" t="s">
        <v>992</v>
      </c>
      <c r="AP650" s="624" t="s">
        <v>992</v>
      </c>
    </row>
    <row r="651" spans="1:42" ht="12.75" customHeight="1" outlineLevel="1" x14ac:dyDescent="0.2">
      <c r="A651" s="21">
        <v>27</v>
      </c>
      <c r="B651" s="611" t="str">
        <f t="shared" si="107"/>
        <v>Production of iron or steel</v>
      </c>
      <c r="C651" s="17" t="str">
        <f t="shared" si="107"/>
        <v>Iron &amp; steel</v>
      </c>
      <c r="D651" s="17" t="str">
        <f t="shared" si="107"/>
        <v>Process (method A): non-carbonate</v>
      </c>
      <c r="E651" s="602"/>
      <c r="F651" s="151" t="str">
        <f t="shared" si="101"/>
        <v>Standard method: Process, Article 24(2)</v>
      </c>
      <c r="G651" s="103" t="str">
        <f t="shared" si="106"/>
        <v>n.a.</v>
      </c>
      <c r="H651" s="149"/>
      <c r="I651" s="149"/>
      <c r="J651" s="151"/>
      <c r="K651" s="151"/>
      <c r="L651" s="149"/>
      <c r="M651" s="149"/>
      <c r="N651" s="149"/>
      <c r="O651" s="150"/>
      <c r="P651" s="103" t="str">
        <f t="shared" si="105"/>
        <v>n.a.</v>
      </c>
      <c r="Q651" s="147" t="str">
        <f t="shared" si="104"/>
        <v>Iron &amp; steel: Process (method A): non-carbonate</v>
      </c>
      <c r="R651" s="17"/>
      <c r="S651" s="17" t="str">
        <f t="shared" si="102"/>
        <v>OxF_Iron &amp; steel: Process (method A): non-carbonate</v>
      </c>
      <c r="W651" s="226"/>
      <c r="X651" s="69"/>
      <c r="Z651" s="21" t="b">
        <f t="shared" si="103"/>
        <v>1</v>
      </c>
      <c r="AL651" s="624" t="s">
        <v>992</v>
      </c>
      <c r="AM651" s="624" t="s">
        <v>992</v>
      </c>
      <c r="AN651" s="624" t="s">
        <v>992</v>
      </c>
      <c r="AO651" s="624" t="s">
        <v>992</v>
      </c>
      <c r="AP651" s="624" t="s">
        <v>992</v>
      </c>
    </row>
    <row r="652" spans="1:42" ht="12.75" customHeight="1" outlineLevel="1" x14ac:dyDescent="0.2">
      <c r="A652" s="21">
        <v>28</v>
      </c>
      <c r="B652" s="611" t="str">
        <f t="shared" si="107"/>
        <v>Production of iron or steel</v>
      </c>
      <c r="C652" s="17" t="str">
        <f t="shared" si="107"/>
        <v>Iron &amp; steel</v>
      </c>
      <c r="D652" s="17" t="str">
        <f t="shared" si="107"/>
        <v>Process (method B): oxide output</v>
      </c>
      <c r="E652" s="602"/>
      <c r="F652" s="151" t="str">
        <f t="shared" si="101"/>
        <v>Standard method: Process, Article 24(2)</v>
      </c>
      <c r="G652" s="103" t="str">
        <f t="shared" si="106"/>
        <v>n.a.</v>
      </c>
      <c r="H652" s="149"/>
      <c r="I652" s="149"/>
      <c r="J652" s="151"/>
      <c r="K652" s="151"/>
      <c r="L652" s="149"/>
      <c r="M652" s="149"/>
      <c r="N652" s="149"/>
      <c r="O652" s="150"/>
      <c r="P652" s="103" t="str">
        <f t="shared" si="105"/>
        <v>n.a.</v>
      </c>
      <c r="Q652" s="147" t="str">
        <f t="shared" si="104"/>
        <v>Iron &amp; steel: Process (method B): oxide output</v>
      </c>
      <c r="R652" s="17"/>
      <c r="S652" s="17" t="str">
        <f t="shared" si="102"/>
        <v>OxF_Iron &amp; steel: Process (method B): oxide output</v>
      </c>
      <c r="W652" s="226"/>
      <c r="X652" s="69"/>
      <c r="Z652" s="21" t="b">
        <f t="shared" si="103"/>
        <v>1</v>
      </c>
      <c r="AL652" s="624" t="s">
        <v>992</v>
      </c>
      <c r="AM652" s="624" t="s">
        <v>992</v>
      </c>
      <c r="AN652" s="624" t="s">
        <v>992</v>
      </c>
      <c r="AO652" s="624" t="s">
        <v>992</v>
      </c>
      <c r="AP652" s="624" t="s">
        <v>992</v>
      </c>
    </row>
    <row r="653" spans="1:42" ht="12.75" customHeight="1" outlineLevel="1" x14ac:dyDescent="0.2">
      <c r="A653" s="21">
        <v>29</v>
      </c>
      <c r="B653" s="611" t="str">
        <f t="shared" si="107"/>
        <v>Production of iron or steel</v>
      </c>
      <c r="C653" s="17" t="str">
        <f t="shared" si="107"/>
        <v>Iron &amp; steel</v>
      </c>
      <c r="D653" s="17" t="str">
        <f t="shared" si="107"/>
        <v>Mass balance</v>
      </c>
      <c r="E653" s="17"/>
      <c r="F653" s="151" t="str">
        <f t="shared" si="101"/>
        <v>Mass balance method, Article 25</v>
      </c>
      <c r="G653" s="103" t="str">
        <f t="shared" si="106"/>
        <v>n.a.</v>
      </c>
      <c r="H653" s="149"/>
      <c r="I653" s="149"/>
      <c r="J653" s="151"/>
      <c r="K653" s="151"/>
      <c r="L653" s="149"/>
      <c r="M653" s="149"/>
      <c r="N653" s="149"/>
      <c r="O653" s="150"/>
      <c r="P653" s="103" t="str">
        <f t="shared" si="105"/>
        <v>n.a.</v>
      </c>
      <c r="Q653" s="147" t="str">
        <f t="shared" si="104"/>
        <v>Iron &amp; steel: Mass balance</v>
      </c>
      <c r="R653" s="17"/>
      <c r="S653" s="17" t="str">
        <f t="shared" si="102"/>
        <v>OxF_Iron &amp; steel: Mass balance</v>
      </c>
      <c r="X653" s="69"/>
      <c r="Z653" s="21" t="b">
        <f t="shared" si="103"/>
        <v>1</v>
      </c>
      <c r="AL653" s="624" t="s">
        <v>992</v>
      </c>
      <c r="AM653" s="624" t="s">
        <v>992</v>
      </c>
      <c r="AN653" s="624" t="s">
        <v>992</v>
      </c>
      <c r="AO653" s="624" t="s">
        <v>992</v>
      </c>
      <c r="AP653" s="624" t="s">
        <v>992</v>
      </c>
    </row>
    <row r="654" spans="1:42" ht="12.75" customHeight="1" outlineLevel="1" x14ac:dyDescent="0.2">
      <c r="A654" s="21">
        <v>30</v>
      </c>
      <c r="B654" s="611" t="str">
        <f t="shared" si="107"/>
        <v>Production of cement clinker</v>
      </c>
      <c r="C654" s="17" t="str">
        <f t="shared" si="107"/>
        <v>Cement clinker</v>
      </c>
      <c r="D654" s="17" t="str">
        <f t="shared" si="107"/>
        <v>Kiln input based (Method A)</v>
      </c>
      <c r="E654" s="17"/>
      <c r="F654" s="151" t="str">
        <f t="shared" si="101"/>
        <v>Standard method: Process, Article 24(2)</v>
      </c>
      <c r="G654" s="103" t="str">
        <f t="shared" si="106"/>
        <v>n.a.</v>
      </c>
      <c r="H654" s="149"/>
      <c r="I654" s="149"/>
      <c r="J654" s="151"/>
      <c r="K654" s="151"/>
      <c r="L654" s="149"/>
      <c r="M654" s="149"/>
      <c r="N654" s="149"/>
      <c r="O654" s="150"/>
      <c r="P654" s="103" t="str">
        <f t="shared" si="105"/>
        <v>n.a.</v>
      </c>
      <c r="Q654" s="147" t="str">
        <f t="shared" si="104"/>
        <v>Cement clinker: Kiln input based (Method A)</v>
      </c>
      <c r="R654" s="17"/>
      <c r="S654" s="17" t="str">
        <f t="shared" si="102"/>
        <v>OxF_Cement clinker: Kiln input based (Method A)</v>
      </c>
      <c r="X654" s="69"/>
      <c r="Z654" s="21" t="b">
        <f t="shared" si="103"/>
        <v>1</v>
      </c>
      <c r="AL654" s="624" t="s">
        <v>992</v>
      </c>
      <c r="AM654" s="624" t="s">
        <v>992</v>
      </c>
      <c r="AN654" s="624" t="s">
        <v>992</v>
      </c>
      <c r="AO654" s="624" t="s">
        <v>992</v>
      </c>
      <c r="AP654" s="624" t="s">
        <v>992</v>
      </c>
    </row>
    <row r="655" spans="1:42" ht="12.75" customHeight="1" outlineLevel="1" x14ac:dyDescent="0.2">
      <c r="A655" s="21">
        <v>31</v>
      </c>
      <c r="B655" s="611" t="str">
        <f t="shared" si="107"/>
        <v>Production of cement clinker</v>
      </c>
      <c r="C655" s="17" t="str">
        <f t="shared" si="107"/>
        <v>Cement clinker</v>
      </c>
      <c r="D655" s="17" t="str">
        <f t="shared" si="107"/>
        <v>Clinker output (Method B)</v>
      </c>
      <c r="E655" s="17"/>
      <c r="F655" s="151" t="str">
        <f t="shared" si="101"/>
        <v>Standard method: Process, Article 24(2)</v>
      </c>
      <c r="G655" s="103" t="str">
        <f t="shared" si="106"/>
        <v>n.a.</v>
      </c>
      <c r="H655" s="149"/>
      <c r="I655" s="149"/>
      <c r="J655" s="151"/>
      <c r="K655" s="151"/>
      <c r="L655" s="149"/>
      <c r="M655" s="149"/>
      <c r="N655" s="149"/>
      <c r="O655" s="150"/>
      <c r="P655" s="103" t="str">
        <f t="shared" si="105"/>
        <v>n.a.</v>
      </c>
      <c r="Q655" s="147" t="str">
        <f t="shared" si="104"/>
        <v>Cement clinker: Clinker output (Method B)</v>
      </c>
      <c r="R655" s="17"/>
      <c r="S655" s="17" t="str">
        <f t="shared" si="102"/>
        <v>OxF_Cement clinker: Clinker output (Method B)</v>
      </c>
      <c r="X655" s="69"/>
      <c r="Z655" s="21" t="b">
        <f t="shared" si="103"/>
        <v>1</v>
      </c>
      <c r="AL655" s="624" t="s">
        <v>992</v>
      </c>
      <c r="AM655" s="624" t="s">
        <v>992</v>
      </c>
      <c r="AN655" s="624" t="s">
        <v>992</v>
      </c>
      <c r="AO655" s="624" t="s">
        <v>992</v>
      </c>
      <c r="AP655" s="624" t="s">
        <v>992</v>
      </c>
    </row>
    <row r="656" spans="1:42" ht="12.75" customHeight="1" outlineLevel="1" x14ac:dyDescent="0.2">
      <c r="A656" s="21">
        <v>32</v>
      </c>
      <c r="B656" s="611" t="str">
        <f t="shared" si="107"/>
        <v>Production of cement clinker</v>
      </c>
      <c r="C656" s="17" t="str">
        <f t="shared" si="107"/>
        <v>Cement clinker</v>
      </c>
      <c r="D656" s="17" t="str">
        <f t="shared" si="107"/>
        <v>CKD</v>
      </c>
      <c r="E656" s="17"/>
      <c r="F656" s="151" t="str">
        <f t="shared" si="101"/>
        <v>Standard method: Process, Article 24(2)</v>
      </c>
      <c r="G656" s="103" t="str">
        <f t="shared" si="106"/>
        <v>n.a.</v>
      </c>
      <c r="H656" s="149"/>
      <c r="I656" s="149"/>
      <c r="J656" s="151"/>
      <c r="K656" s="151"/>
      <c r="L656" s="149"/>
      <c r="M656" s="149"/>
      <c r="N656" s="149"/>
      <c r="O656" s="150"/>
      <c r="P656" s="103" t="str">
        <f t="shared" si="105"/>
        <v>n.a.</v>
      </c>
      <c r="Q656" s="147" t="str">
        <f t="shared" si="104"/>
        <v>Cement clinker: CKD</v>
      </c>
      <c r="R656" s="17"/>
      <c r="S656" s="17" t="str">
        <f t="shared" si="102"/>
        <v>OxF_Cement clinker: CKD</v>
      </c>
      <c r="X656" s="69"/>
      <c r="Z656" s="21" t="b">
        <f t="shared" si="103"/>
        <v>1</v>
      </c>
      <c r="AL656" s="624" t="s">
        <v>992</v>
      </c>
      <c r="AM656" s="624" t="s">
        <v>992</v>
      </c>
      <c r="AN656" s="624" t="s">
        <v>992</v>
      </c>
      <c r="AO656" s="624" t="s">
        <v>992</v>
      </c>
      <c r="AP656" s="624" t="s">
        <v>992</v>
      </c>
    </row>
    <row r="657" spans="1:42" ht="12.75" customHeight="1" outlineLevel="1" x14ac:dyDescent="0.2">
      <c r="A657" s="21">
        <v>33</v>
      </c>
      <c r="B657" s="611" t="str">
        <f t="shared" si="107"/>
        <v>Production of cement clinker</v>
      </c>
      <c r="C657" s="17" t="str">
        <f t="shared" si="107"/>
        <v>Cement clinker</v>
      </c>
      <c r="D657" s="17" t="str">
        <f t="shared" si="107"/>
        <v>Non-carbonate carbon</v>
      </c>
      <c r="E657" s="17"/>
      <c r="F657" s="151" t="str">
        <f t="shared" ref="F657:F685" si="108">F585</f>
        <v>Standard method: Process, Article 24(2)</v>
      </c>
      <c r="G657" s="103" t="str">
        <f t="shared" si="106"/>
        <v>n.a.</v>
      </c>
      <c r="H657" s="149"/>
      <c r="I657" s="149"/>
      <c r="J657" s="151"/>
      <c r="K657" s="151"/>
      <c r="L657" s="149"/>
      <c r="M657" s="149"/>
      <c r="N657" s="149"/>
      <c r="O657" s="150"/>
      <c r="P657" s="103" t="str">
        <f t="shared" si="105"/>
        <v>n.a.</v>
      </c>
      <c r="Q657" s="147" t="str">
        <f t="shared" si="104"/>
        <v>Cement clinker: Non-carbonate carbon</v>
      </c>
      <c r="R657" s="17"/>
      <c r="S657" s="17" t="str">
        <f t="shared" si="102"/>
        <v>OxF_Cement clinker: Non-carbonate carbon</v>
      </c>
      <c r="Z657" s="21" t="b">
        <f t="shared" si="103"/>
        <v>1</v>
      </c>
      <c r="AL657" s="624" t="s">
        <v>992</v>
      </c>
      <c r="AM657" s="624" t="s">
        <v>992</v>
      </c>
      <c r="AN657" s="624" t="s">
        <v>992</v>
      </c>
      <c r="AO657" s="624" t="s">
        <v>992</v>
      </c>
      <c r="AP657" s="624" t="s">
        <v>992</v>
      </c>
    </row>
    <row r="658" spans="1:42" ht="12.75" customHeight="1" outlineLevel="1" x14ac:dyDescent="0.2">
      <c r="A658" s="21">
        <v>34</v>
      </c>
      <c r="B658" s="611" t="str">
        <f t="shared" si="107"/>
        <v>Production of lime, or calcination of dolomite/magnesite</v>
      </c>
      <c r="C658" s="17" t="str">
        <f t="shared" si="107"/>
        <v>Lime / dolomite / magnesite</v>
      </c>
      <c r="D658" s="17" t="str">
        <f t="shared" si="107"/>
        <v>Process (method A): carbonate only</v>
      </c>
      <c r="E658" s="602"/>
      <c r="F658" s="151" t="str">
        <f t="shared" si="108"/>
        <v>Standard method: Process, Article 24(2)</v>
      </c>
      <c r="G658" s="103" t="str">
        <f t="shared" si="106"/>
        <v>n.a.</v>
      </c>
      <c r="H658" s="149"/>
      <c r="I658" s="149"/>
      <c r="J658" s="151"/>
      <c r="K658" s="151"/>
      <c r="L658" s="149"/>
      <c r="M658" s="149"/>
      <c r="N658" s="149"/>
      <c r="O658" s="150"/>
      <c r="P658" s="103" t="str">
        <f t="shared" si="105"/>
        <v>n.a.</v>
      </c>
      <c r="Q658" s="147" t="str">
        <f t="shared" si="104"/>
        <v>Lime / dolomite / magnesite: Process (method A): carbonate only</v>
      </c>
      <c r="R658" s="17"/>
      <c r="S658" s="17" t="str">
        <f t="shared" ref="S658:S685" si="109">EUconst_CNTR_OxidationFactor&amp;Q658</f>
        <v>OxF_Lime / dolomite / magnesite: Process (method A): carbonate only</v>
      </c>
      <c r="Z658" s="21" t="b">
        <f t="shared" si="103"/>
        <v>1</v>
      </c>
      <c r="AL658" s="624" t="s">
        <v>992</v>
      </c>
      <c r="AM658" s="624" t="s">
        <v>992</v>
      </c>
      <c r="AN658" s="624" t="s">
        <v>992</v>
      </c>
      <c r="AO658" s="624" t="s">
        <v>992</v>
      </c>
      <c r="AP658" s="624" t="s">
        <v>992</v>
      </c>
    </row>
    <row r="659" spans="1:42" ht="12.75" customHeight="1" outlineLevel="1" x14ac:dyDescent="0.2">
      <c r="A659" s="21">
        <v>35</v>
      </c>
      <c r="B659" s="611" t="str">
        <f t="shared" si="107"/>
        <v>Production of lime, or calcination of dolomite/magnesite</v>
      </c>
      <c r="C659" s="17" t="str">
        <f t="shared" si="107"/>
        <v>Lime / dolomite / magnesite</v>
      </c>
      <c r="D659" s="17" t="str">
        <f t="shared" si="107"/>
        <v>Process (method A): mixed (carbonate + non-carbonate)</v>
      </c>
      <c r="E659" s="602"/>
      <c r="F659" s="151" t="str">
        <f t="shared" si="108"/>
        <v>Standard method: Process, Article 24(2)</v>
      </c>
      <c r="G659" s="103" t="str">
        <f t="shared" si="106"/>
        <v>n.a.</v>
      </c>
      <c r="H659" s="149"/>
      <c r="I659" s="149"/>
      <c r="J659" s="151"/>
      <c r="K659" s="151"/>
      <c r="L659" s="149"/>
      <c r="M659" s="149"/>
      <c r="N659" s="149"/>
      <c r="O659" s="150"/>
      <c r="P659" s="103" t="str">
        <f t="shared" si="105"/>
        <v>n.a.</v>
      </c>
      <c r="Q659" s="147" t="str">
        <f t="shared" si="104"/>
        <v>Lime / dolomite / magnesite: Process (method A): mixed (carbonate + non-carbonate)</v>
      </c>
      <c r="R659" s="17"/>
      <c r="S659" s="17" t="str">
        <f t="shared" si="109"/>
        <v>OxF_Lime / dolomite / magnesite: Process (method A): mixed (carbonate + non-carbonate)</v>
      </c>
      <c r="Z659" s="21" t="b">
        <f t="shared" si="103"/>
        <v>1</v>
      </c>
      <c r="AL659" s="624" t="s">
        <v>992</v>
      </c>
      <c r="AM659" s="624" t="s">
        <v>992</v>
      </c>
      <c r="AN659" s="624" t="s">
        <v>992</v>
      </c>
      <c r="AO659" s="624" t="s">
        <v>992</v>
      </c>
      <c r="AP659" s="624" t="s">
        <v>992</v>
      </c>
    </row>
    <row r="660" spans="1:42" ht="12.75" customHeight="1" outlineLevel="1" x14ac:dyDescent="0.2">
      <c r="A660" s="21">
        <v>36</v>
      </c>
      <c r="B660" s="611" t="str">
        <f t="shared" si="107"/>
        <v>Production of lime, or calcination of dolomite/magnesite</v>
      </c>
      <c r="C660" s="17" t="str">
        <f t="shared" si="107"/>
        <v>Lime / dolomite / magnesite</v>
      </c>
      <c r="D660" s="17" t="str">
        <f t="shared" si="107"/>
        <v>Process (method A): non-carbonate</v>
      </c>
      <c r="E660" s="602"/>
      <c r="F660" s="151" t="str">
        <f t="shared" si="108"/>
        <v>Standard method: Process, Article 24(2)</v>
      </c>
      <c r="G660" s="103" t="str">
        <f t="shared" si="106"/>
        <v>n.a.</v>
      </c>
      <c r="H660" s="149"/>
      <c r="I660" s="149"/>
      <c r="J660" s="151"/>
      <c r="K660" s="151"/>
      <c r="L660" s="149"/>
      <c r="M660" s="149"/>
      <c r="N660" s="149"/>
      <c r="O660" s="150"/>
      <c r="P660" s="103" t="str">
        <f t="shared" si="105"/>
        <v>n.a.</v>
      </c>
      <c r="Q660" s="147" t="str">
        <f t="shared" si="104"/>
        <v>Lime / dolomite / magnesite: Process (method A): non-carbonate</v>
      </c>
      <c r="R660" s="17"/>
      <c r="S660" s="17" t="str">
        <f t="shared" si="109"/>
        <v>OxF_Lime / dolomite / magnesite: Process (method A): non-carbonate</v>
      </c>
      <c r="Z660" s="21" t="b">
        <f t="shared" si="103"/>
        <v>1</v>
      </c>
      <c r="AL660" s="624" t="s">
        <v>992</v>
      </c>
      <c r="AM660" s="624" t="s">
        <v>992</v>
      </c>
      <c r="AN660" s="624" t="s">
        <v>992</v>
      </c>
      <c r="AO660" s="624" t="s">
        <v>992</v>
      </c>
      <c r="AP660" s="624" t="s">
        <v>992</v>
      </c>
    </row>
    <row r="661" spans="1:42" ht="12.75" customHeight="1" outlineLevel="1" x14ac:dyDescent="0.2">
      <c r="A661" s="21">
        <v>37</v>
      </c>
      <c r="B661" s="611" t="str">
        <f t="shared" si="107"/>
        <v>Production of lime, or calcination of dolomite/magnesite</v>
      </c>
      <c r="C661" s="17" t="str">
        <f t="shared" si="107"/>
        <v>Lime / dolomite / magnesite</v>
      </c>
      <c r="D661" s="17" t="str">
        <f t="shared" si="107"/>
        <v>Process (method B): oxide output</v>
      </c>
      <c r="E661" s="602"/>
      <c r="F661" s="151" t="str">
        <f t="shared" si="108"/>
        <v>Standard method: Process, Article 24(2)</v>
      </c>
      <c r="G661" s="103" t="str">
        <f t="shared" si="106"/>
        <v>n.a.</v>
      </c>
      <c r="H661" s="149"/>
      <c r="I661" s="149"/>
      <c r="J661" s="151"/>
      <c r="K661" s="151"/>
      <c r="L661" s="149"/>
      <c r="M661" s="149"/>
      <c r="N661" s="149"/>
      <c r="O661" s="150"/>
      <c r="P661" s="103" t="str">
        <f t="shared" si="105"/>
        <v>n.a.</v>
      </c>
      <c r="Q661" s="147" t="str">
        <f t="shared" si="104"/>
        <v>Lime / dolomite / magnesite: Process (method B): oxide output</v>
      </c>
      <c r="R661" s="17"/>
      <c r="S661" s="17" t="str">
        <f t="shared" si="109"/>
        <v>OxF_Lime / dolomite / magnesite: Process (method B): oxide output</v>
      </c>
      <c r="Z661" s="21" t="b">
        <f t="shared" si="103"/>
        <v>1</v>
      </c>
      <c r="AL661" s="624" t="s">
        <v>992</v>
      </c>
      <c r="AM661" s="624" t="s">
        <v>992</v>
      </c>
      <c r="AN661" s="624" t="s">
        <v>992</v>
      </c>
      <c r="AO661" s="624" t="s">
        <v>992</v>
      </c>
      <c r="AP661" s="624" t="s">
        <v>992</v>
      </c>
    </row>
    <row r="662" spans="1:42" ht="12.75" customHeight="1" outlineLevel="1" x14ac:dyDescent="0.2">
      <c r="A662" s="21">
        <v>38</v>
      </c>
      <c r="B662" s="611" t="str">
        <f t="shared" si="107"/>
        <v>Production of lime, or calcination of dolomite/magnesite</v>
      </c>
      <c r="C662" s="17" t="str">
        <f t="shared" si="107"/>
        <v>Lime / dolomite / magnesite</v>
      </c>
      <c r="D662" s="17" t="str">
        <f t="shared" si="107"/>
        <v>Kiln dust (Method B)</v>
      </c>
      <c r="E662" s="17"/>
      <c r="F662" s="151" t="str">
        <f t="shared" si="108"/>
        <v>Standard method: Process, Article 24(2)</v>
      </c>
      <c r="G662" s="103" t="str">
        <f t="shared" si="106"/>
        <v>n.a.</v>
      </c>
      <c r="H662" s="149"/>
      <c r="I662" s="149"/>
      <c r="J662" s="151"/>
      <c r="K662" s="151"/>
      <c r="L662" s="149"/>
      <c r="M662" s="149"/>
      <c r="N662" s="149"/>
      <c r="O662" s="150"/>
      <c r="P662" s="103" t="str">
        <f t="shared" si="105"/>
        <v>n.a.</v>
      </c>
      <c r="Q662" s="147" t="str">
        <f t="shared" si="104"/>
        <v>Lime / dolomite / magnesite: Kiln dust (Method B)</v>
      </c>
      <c r="R662" s="17"/>
      <c r="S662" s="17" t="str">
        <f t="shared" si="109"/>
        <v>OxF_Lime / dolomite / magnesite: Kiln dust (Method B)</v>
      </c>
      <c r="Z662" s="21" t="b">
        <f t="shared" si="103"/>
        <v>1</v>
      </c>
      <c r="AL662" s="624" t="s">
        <v>992</v>
      </c>
      <c r="AM662" s="624" t="s">
        <v>992</v>
      </c>
      <c r="AN662" s="624" t="s">
        <v>992</v>
      </c>
      <c r="AO662" s="624" t="s">
        <v>992</v>
      </c>
      <c r="AP662" s="624" t="s">
        <v>992</v>
      </c>
    </row>
    <row r="663" spans="1:42" ht="12.75" customHeight="1" outlineLevel="1" x14ac:dyDescent="0.2">
      <c r="A663" s="21">
        <v>39</v>
      </c>
      <c r="B663" s="611" t="str">
        <f t="shared" si="107"/>
        <v>Manufacture of glass</v>
      </c>
      <c r="C663" s="17" t="str">
        <f t="shared" si="107"/>
        <v>Glass and mineral wool</v>
      </c>
      <c r="D663" s="17" t="str">
        <f t="shared" si="107"/>
        <v>Process (method A): carbonate only</v>
      </c>
      <c r="E663" s="602"/>
      <c r="F663" s="151" t="str">
        <f t="shared" si="108"/>
        <v>Standard method: Process, Article 24(2)</v>
      </c>
      <c r="G663" s="103" t="str">
        <f t="shared" ref="G663:G694" si="110">EUconst_NA</f>
        <v>n.a.</v>
      </c>
      <c r="H663" s="149"/>
      <c r="I663" s="149"/>
      <c r="J663" s="151"/>
      <c r="K663" s="151"/>
      <c r="L663" s="149"/>
      <c r="M663" s="149"/>
      <c r="N663" s="149"/>
      <c r="O663" s="150"/>
      <c r="P663" s="103" t="str">
        <f t="shared" si="105"/>
        <v>n.a.</v>
      </c>
      <c r="Q663" s="147" t="str">
        <f t="shared" si="104"/>
        <v>Glass and mineral wool: Process (method A): carbonate only</v>
      </c>
      <c r="R663" s="17"/>
      <c r="S663" s="17" t="str">
        <f t="shared" si="109"/>
        <v>OxF_Glass and mineral wool: Process (method A): carbonate only</v>
      </c>
      <c r="Z663" s="21" t="b">
        <f t="shared" si="103"/>
        <v>1</v>
      </c>
      <c r="AL663" s="624" t="s">
        <v>992</v>
      </c>
      <c r="AM663" s="624" t="s">
        <v>992</v>
      </c>
      <c r="AN663" s="624" t="s">
        <v>992</v>
      </c>
      <c r="AO663" s="624" t="s">
        <v>992</v>
      </c>
      <c r="AP663" s="624" t="s">
        <v>992</v>
      </c>
    </row>
    <row r="664" spans="1:42" ht="12.75" customHeight="1" outlineLevel="1" x14ac:dyDescent="0.2">
      <c r="A664" s="21">
        <v>40</v>
      </c>
      <c r="B664" s="611" t="str">
        <f t="shared" si="107"/>
        <v>Manufacture of glass</v>
      </c>
      <c r="C664" s="17" t="str">
        <f t="shared" si="107"/>
        <v>Glass and mineral wool</v>
      </c>
      <c r="D664" s="17" t="str">
        <f t="shared" si="107"/>
        <v>Process (method A): mixed (carbonate + non-carbonate)</v>
      </c>
      <c r="E664" s="602"/>
      <c r="F664" s="151" t="str">
        <f t="shared" si="108"/>
        <v>Standard method: Process, Article 24(2)</v>
      </c>
      <c r="G664" s="103" t="str">
        <f t="shared" si="110"/>
        <v>n.a.</v>
      </c>
      <c r="H664" s="149"/>
      <c r="I664" s="149"/>
      <c r="J664" s="151"/>
      <c r="K664" s="151"/>
      <c r="L664" s="149"/>
      <c r="M664" s="149"/>
      <c r="N664" s="149"/>
      <c r="O664" s="150"/>
      <c r="P664" s="103" t="str">
        <f t="shared" si="105"/>
        <v>n.a.</v>
      </c>
      <c r="Q664" s="147" t="str">
        <f t="shared" si="104"/>
        <v>Glass and mineral wool: Process (method A): mixed (carbonate + non-carbonate)</v>
      </c>
      <c r="R664" s="17"/>
      <c r="S664" s="17" t="str">
        <f t="shared" si="109"/>
        <v>OxF_Glass and mineral wool: Process (method A): mixed (carbonate + non-carbonate)</v>
      </c>
      <c r="Z664" s="21" t="b">
        <f t="shared" si="103"/>
        <v>1</v>
      </c>
      <c r="AL664" s="624" t="s">
        <v>992</v>
      </c>
      <c r="AM664" s="624" t="s">
        <v>992</v>
      </c>
      <c r="AN664" s="624" t="s">
        <v>992</v>
      </c>
      <c r="AO664" s="624" t="s">
        <v>992</v>
      </c>
      <c r="AP664" s="624" t="s">
        <v>992</v>
      </c>
    </row>
    <row r="665" spans="1:42" ht="12.75" customHeight="1" outlineLevel="1" x14ac:dyDescent="0.2">
      <c r="A665" s="21">
        <v>41</v>
      </c>
      <c r="B665" s="611" t="str">
        <f t="shared" ref="B665:D684" si="111">B593</f>
        <v>Manufacture of glass</v>
      </c>
      <c r="C665" s="17" t="str">
        <f t="shared" si="111"/>
        <v>Glass and mineral wool</v>
      </c>
      <c r="D665" s="17" t="str">
        <f t="shared" si="111"/>
        <v>Process (method A): non-carbonate</v>
      </c>
      <c r="E665" s="602"/>
      <c r="F665" s="151" t="str">
        <f t="shared" si="108"/>
        <v>Standard method: Process, Article 24(2)</v>
      </c>
      <c r="G665" s="103" t="str">
        <f t="shared" si="110"/>
        <v>n.a.</v>
      </c>
      <c r="H665" s="149"/>
      <c r="I665" s="149"/>
      <c r="J665" s="151"/>
      <c r="K665" s="151"/>
      <c r="L665" s="149"/>
      <c r="M665" s="149"/>
      <c r="N665" s="149"/>
      <c r="O665" s="150"/>
      <c r="P665" s="103" t="str">
        <f t="shared" si="105"/>
        <v>n.a.</v>
      </c>
      <c r="Q665" s="147" t="str">
        <f t="shared" si="104"/>
        <v>Glass and mineral wool: Process (method A): non-carbonate</v>
      </c>
      <c r="R665" s="17"/>
      <c r="S665" s="17" t="str">
        <f t="shared" si="109"/>
        <v>OxF_Glass and mineral wool: Process (method A): non-carbonate</v>
      </c>
      <c r="Z665" s="21" t="b">
        <f t="shared" si="103"/>
        <v>1</v>
      </c>
      <c r="AL665" s="624" t="s">
        <v>992</v>
      </c>
      <c r="AM665" s="624" t="s">
        <v>992</v>
      </c>
      <c r="AN665" s="624" t="s">
        <v>992</v>
      </c>
      <c r="AO665" s="624" t="s">
        <v>992</v>
      </c>
      <c r="AP665" s="624" t="s">
        <v>992</v>
      </c>
    </row>
    <row r="666" spans="1:42" ht="12.75" customHeight="1" outlineLevel="1" x14ac:dyDescent="0.2">
      <c r="A666" s="21">
        <v>42</v>
      </c>
      <c r="B666" s="611" t="str">
        <f t="shared" si="111"/>
        <v>Manufacture of ceramics</v>
      </c>
      <c r="C666" s="17" t="str">
        <f t="shared" si="111"/>
        <v>Ceramics</v>
      </c>
      <c r="D666" s="17" t="str">
        <f t="shared" si="111"/>
        <v>Process (method A): carbonate only</v>
      </c>
      <c r="E666" s="602"/>
      <c r="F666" s="151" t="str">
        <f t="shared" si="108"/>
        <v>Standard method: Process, Article 24(2)</v>
      </c>
      <c r="G666" s="103" t="str">
        <f t="shared" si="110"/>
        <v>n.a.</v>
      </c>
      <c r="H666" s="149"/>
      <c r="I666" s="149"/>
      <c r="J666" s="151"/>
      <c r="K666" s="151"/>
      <c r="L666" s="149"/>
      <c r="M666" s="149"/>
      <c r="N666" s="149"/>
      <c r="O666" s="150"/>
      <c r="P666" s="103" t="str">
        <f t="shared" si="105"/>
        <v>n.a.</v>
      </c>
      <c r="Q666" s="147" t="str">
        <f t="shared" si="104"/>
        <v>Ceramics: Process (method A): carbonate only</v>
      </c>
      <c r="R666" s="17"/>
      <c r="S666" s="17" t="str">
        <f t="shared" si="109"/>
        <v>OxF_Ceramics: Process (method A): carbonate only</v>
      </c>
      <c r="Z666" s="21" t="b">
        <f t="shared" si="103"/>
        <v>1</v>
      </c>
      <c r="AL666" s="624" t="s">
        <v>992</v>
      </c>
      <c r="AM666" s="624" t="s">
        <v>992</v>
      </c>
      <c r="AN666" s="624" t="s">
        <v>992</v>
      </c>
      <c r="AO666" s="624" t="s">
        <v>992</v>
      </c>
      <c r="AP666" s="624" t="s">
        <v>992</v>
      </c>
    </row>
    <row r="667" spans="1:42" ht="12.75" customHeight="1" outlineLevel="1" x14ac:dyDescent="0.2">
      <c r="A667" s="21">
        <v>43</v>
      </c>
      <c r="B667" s="611" t="str">
        <f t="shared" si="111"/>
        <v>Manufacture of ceramics</v>
      </c>
      <c r="C667" s="17" t="str">
        <f t="shared" si="111"/>
        <v>Ceramics</v>
      </c>
      <c r="D667" s="17" t="str">
        <f t="shared" si="111"/>
        <v>Process (method A): mixed (carbonate + non-carbonate)</v>
      </c>
      <c r="E667" s="602"/>
      <c r="F667" s="151" t="str">
        <f t="shared" si="108"/>
        <v>Standard method: Process, Article 24(2)</v>
      </c>
      <c r="G667" s="103" t="str">
        <f t="shared" si="110"/>
        <v>n.a.</v>
      </c>
      <c r="H667" s="149"/>
      <c r="I667" s="149"/>
      <c r="J667" s="151"/>
      <c r="K667" s="151"/>
      <c r="L667" s="149"/>
      <c r="M667" s="149"/>
      <c r="N667" s="149"/>
      <c r="O667" s="150"/>
      <c r="P667" s="103" t="str">
        <f t="shared" si="105"/>
        <v>n.a.</v>
      </c>
      <c r="Q667" s="147" t="str">
        <f t="shared" si="104"/>
        <v>Ceramics: Process (method A): mixed (carbonate + non-carbonate)</v>
      </c>
      <c r="R667" s="17"/>
      <c r="S667" s="17" t="str">
        <f t="shared" si="109"/>
        <v>OxF_Ceramics: Process (method A): mixed (carbonate + non-carbonate)</v>
      </c>
      <c r="W667" s="226"/>
      <c r="X667" s="69"/>
      <c r="Z667" s="21" t="b">
        <f t="shared" si="103"/>
        <v>1</v>
      </c>
      <c r="AL667" s="624" t="s">
        <v>992</v>
      </c>
      <c r="AM667" s="624" t="s">
        <v>992</v>
      </c>
      <c r="AN667" s="624" t="s">
        <v>992</v>
      </c>
      <c r="AO667" s="624" t="s">
        <v>992</v>
      </c>
      <c r="AP667" s="624" t="s">
        <v>992</v>
      </c>
    </row>
    <row r="668" spans="1:42" ht="12.75" customHeight="1" outlineLevel="1" x14ac:dyDescent="0.2">
      <c r="A668" s="21">
        <v>44</v>
      </c>
      <c r="B668" s="611" t="str">
        <f t="shared" si="111"/>
        <v>Manufacture of ceramics</v>
      </c>
      <c r="C668" s="17" t="str">
        <f t="shared" si="111"/>
        <v>Ceramics</v>
      </c>
      <c r="D668" s="17" t="str">
        <f t="shared" si="111"/>
        <v>Process (method A): non-carbonate</v>
      </c>
      <c r="E668" s="602"/>
      <c r="F668" s="151" t="str">
        <f t="shared" si="108"/>
        <v>Standard method: Process, Article 24(2)</v>
      </c>
      <c r="G668" s="103" t="str">
        <f t="shared" si="110"/>
        <v>n.a.</v>
      </c>
      <c r="H668" s="149"/>
      <c r="I668" s="149"/>
      <c r="J668" s="151"/>
      <c r="K668" s="151"/>
      <c r="L668" s="149"/>
      <c r="M668" s="149"/>
      <c r="N668" s="149"/>
      <c r="O668" s="150"/>
      <c r="P668" s="103" t="str">
        <f t="shared" si="105"/>
        <v>n.a.</v>
      </c>
      <c r="Q668" s="147" t="str">
        <f t="shared" si="104"/>
        <v>Ceramics: Process (method A): non-carbonate</v>
      </c>
      <c r="R668" s="17"/>
      <c r="S668" s="17" t="str">
        <f t="shared" si="109"/>
        <v>OxF_Ceramics: Process (method A): non-carbonate</v>
      </c>
      <c r="W668" s="226"/>
      <c r="X668" s="69"/>
      <c r="Z668" s="21" t="b">
        <f t="shared" si="103"/>
        <v>1</v>
      </c>
      <c r="AL668" s="624" t="s">
        <v>992</v>
      </c>
      <c r="AM668" s="624" t="s">
        <v>992</v>
      </c>
      <c r="AN668" s="624" t="s">
        <v>992</v>
      </c>
      <c r="AO668" s="624" t="s">
        <v>992</v>
      </c>
      <c r="AP668" s="624" t="s">
        <v>992</v>
      </c>
    </row>
    <row r="669" spans="1:42" ht="12.75" customHeight="1" outlineLevel="1" x14ac:dyDescent="0.2">
      <c r="A669" s="21">
        <v>45</v>
      </c>
      <c r="B669" s="611" t="str">
        <f t="shared" si="111"/>
        <v>Manufacture of ceramics</v>
      </c>
      <c r="C669" s="17" t="str">
        <f t="shared" si="111"/>
        <v>Ceramics</v>
      </c>
      <c r="D669" s="17" t="str">
        <f t="shared" si="111"/>
        <v>Process (method B): oxide output</v>
      </c>
      <c r="E669" s="17"/>
      <c r="F669" s="151" t="str">
        <f t="shared" si="108"/>
        <v>Standard method: Process, Article 24(2)</v>
      </c>
      <c r="G669" s="103" t="str">
        <f t="shared" si="110"/>
        <v>n.a.</v>
      </c>
      <c r="H669" s="149"/>
      <c r="I669" s="149"/>
      <c r="J669" s="151"/>
      <c r="K669" s="151"/>
      <c r="L669" s="149"/>
      <c r="M669" s="149"/>
      <c r="N669" s="149"/>
      <c r="O669" s="150"/>
      <c r="P669" s="103" t="str">
        <f t="shared" si="105"/>
        <v>n.a.</v>
      </c>
      <c r="Q669" s="147" t="str">
        <f t="shared" si="104"/>
        <v>Ceramics: Process (method B): oxide output</v>
      </c>
      <c r="R669" s="17"/>
      <c r="S669" s="17" t="str">
        <f t="shared" si="109"/>
        <v>OxF_Ceramics: Process (method B): oxide output</v>
      </c>
      <c r="Z669" s="21" t="b">
        <f t="shared" si="103"/>
        <v>1</v>
      </c>
      <c r="AL669" s="624" t="s">
        <v>992</v>
      </c>
      <c r="AM669" s="624" t="s">
        <v>992</v>
      </c>
      <c r="AN669" s="624" t="s">
        <v>992</v>
      </c>
      <c r="AO669" s="624" t="s">
        <v>992</v>
      </c>
      <c r="AP669" s="624" t="s">
        <v>992</v>
      </c>
    </row>
    <row r="670" spans="1:42" ht="12.75" customHeight="1" outlineLevel="1" x14ac:dyDescent="0.2">
      <c r="A670" s="21">
        <v>46</v>
      </c>
      <c r="B670" s="611" t="str">
        <f t="shared" si="111"/>
        <v>Manufacture of ceramics</v>
      </c>
      <c r="C670" s="17" t="str">
        <f t="shared" si="111"/>
        <v>Ceramics</v>
      </c>
      <c r="D670" s="17" t="str">
        <f t="shared" si="111"/>
        <v>Scrubbing</v>
      </c>
      <c r="E670" s="17"/>
      <c r="F670" s="151" t="str">
        <f t="shared" si="108"/>
        <v>Standard method: Process, Article 24(2)</v>
      </c>
      <c r="G670" s="103" t="str">
        <f t="shared" si="110"/>
        <v>n.a.</v>
      </c>
      <c r="H670" s="149"/>
      <c r="I670" s="149"/>
      <c r="J670" s="151"/>
      <c r="K670" s="151"/>
      <c r="L670" s="149"/>
      <c r="M670" s="149"/>
      <c r="N670" s="149"/>
      <c r="O670" s="150"/>
      <c r="P670" s="103" t="str">
        <f t="shared" si="105"/>
        <v>n.a.</v>
      </c>
      <c r="Q670" s="147" t="str">
        <f t="shared" si="104"/>
        <v>Ceramics: Scrubbing</v>
      </c>
      <c r="R670" s="17"/>
      <c r="S670" s="17" t="str">
        <f t="shared" si="109"/>
        <v>OxF_Ceramics: Scrubbing</v>
      </c>
      <c r="Z670" s="21" t="b">
        <f t="shared" si="103"/>
        <v>1</v>
      </c>
      <c r="AL670" s="624" t="s">
        <v>992</v>
      </c>
      <c r="AM670" s="624" t="s">
        <v>992</v>
      </c>
      <c r="AN670" s="624" t="s">
        <v>992</v>
      </c>
      <c r="AO670" s="624" t="s">
        <v>992</v>
      </c>
      <c r="AP670" s="624" t="s">
        <v>992</v>
      </c>
    </row>
    <row r="671" spans="1:42" ht="12.75" customHeight="1" outlineLevel="1" x14ac:dyDescent="0.2">
      <c r="A671" s="21">
        <v>47</v>
      </c>
      <c r="B671" s="611" t="str">
        <f t="shared" si="111"/>
        <v>Production of pulp</v>
      </c>
      <c r="C671" s="17" t="str">
        <f t="shared" si="111"/>
        <v>Pulp &amp; paper</v>
      </c>
      <c r="D671" s="17" t="str">
        <f t="shared" si="111"/>
        <v>Make up chemicals</v>
      </c>
      <c r="E671" s="17"/>
      <c r="F671" s="151" t="str">
        <f t="shared" si="108"/>
        <v>Standard method: Process, Article 24(2)</v>
      </c>
      <c r="G671" s="103" t="str">
        <f t="shared" si="110"/>
        <v>n.a.</v>
      </c>
      <c r="H671" s="149"/>
      <c r="I671" s="149"/>
      <c r="J671" s="151"/>
      <c r="K671" s="151"/>
      <c r="L671" s="149"/>
      <c r="M671" s="149"/>
      <c r="N671" s="149"/>
      <c r="O671" s="150"/>
      <c r="P671" s="103" t="str">
        <f t="shared" si="105"/>
        <v>n.a.</v>
      </c>
      <c r="Q671" s="147" t="str">
        <f t="shared" si="104"/>
        <v>Pulp &amp; paper: Make up chemicals</v>
      </c>
      <c r="R671" s="17"/>
      <c r="S671" s="17" t="str">
        <f t="shared" si="109"/>
        <v>OxF_Pulp &amp; paper: Make up chemicals</v>
      </c>
      <c r="Z671" s="21" t="b">
        <f t="shared" si="103"/>
        <v>1</v>
      </c>
      <c r="AL671" s="624" t="s">
        <v>992</v>
      </c>
      <c r="AM671" s="624" t="s">
        <v>992</v>
      </c>
      <c r="AN671" s="624" t="s">
        <v>992</v>
      </c>
      <c r="AO671" s="624" t="s">
        <v>992</v>
      </c>
      <c r="AP671" s="624" t="s">
        <v>992</v>
      </c>
    </row>
    <row r="672" spans="1:42" ht="12.75" customHeight="1" outlineLevel="1" x14ac:dyDescent="0.2">
      <c r="A672" s="21">
        <v>48</v>
      </c>
      <c r="B672" s="611" t="str">
        <f t="shared" si="111"/>
        <v>Production of carbon black</v>
      </c>
      <c r="C672" s="17" t="str">
        <f t="shared" si="111"/>
        <v>Carbon black</v>
      </c>
      <c r="D672" s="17" t="str">
        <f t="shared" si="111"/>
        <v>Mass balance methodology</v>
      </c>
      <c r="E672" s="17"/>
      <c r="F672" s="151" t="str">
        <f t="shared" si="108"/>
        <v>Mass balance method, Article 25</v>
      </c>
      <c r="G672" s="103" t="str">
        <f t="shared" si="110"/>
        <v>n.a.</v>
      </c>
      <c r="H672" s="149"/>
      <c r="I672" s="149"/>
      <c r="J672" s="151"/>
      <c r="K672" s="151"/>
      <c r="L672" s="149"/>
      <c r="M672" s="149"/>
      <c r="N672" s="149"/>
      <c r="O672" s="150"/>
      <c r="P672" s="103" t="str">
        <f t="shared" si="105"/>
        <v>n.a.</v>
      </c>
      <c r="Q672" s="147" t="str">
        <f t="shared" si="104"/>
        <v>Carbon black: Mass balance methodology</v>
      </c>
      <c r="R672" s="17"/>
      <c r="S672" s="17" t="str">
        <f t="shared" si="109"/>
        <v>OxF_Carbon black: Mass balance methodology</v>
      </c>
      <c r="Z672" s="21" t="b">
        <f t="shared" si="103"/>
        <v>1</v>
      </c>
      <c r="AL672" s="624" t="s">
        <v>992</v>
      </c>
      <c r="AM672" s="624" t="s">
        <v>992</v>
      </c>
      <c r="AN672" s="624" t="s">
        <v>992</v>
      </c>
      <c r="AO672" s="624" t="s">
        <v>992</v>
      </c>
      <c r="AP672" s="624" t="s">
        <v>992</v>
      </c>
    </row>
    <row r="673" spans="1:42" ht="12.75" customHeight="1" outlineLevel="1" x14ac:dyDescent="0.2">
      <c r="A673" s="21">
        <v>49</v>
      </c>
      <c r="B673" s="611" t="str">
        <f t="shared" si="111"/>
        <v>Production of ammonia</v>
      </c>
      <c r="C673" s="17" t="str">
        <f t="shared" si="111"/>
        <v>Ammonia</v>
      </c>
      <c r="D673" s="17" t="str">
        <f t="shared" si="111"/>
        <v>Fuel as process input</v>
      </c>
      <c r="E673" s="17"/>
      <c r="F673" s="151" t="str">
        <f t="shared" si="108"/>
        <v>Standard method: Fuel, Article 24(1)</v>
      </c>
      <c r="G673" s="103" t="str">
        <f t="shared" si="110"/>
        <v>n.a.</v>
      </c>
      <c r="H673" s="149"/>
      <c r="I673" s="149"/>
      <c r="J673" s="151"/>
      <c r="K673" s="151"/>
      <c r="L673" s="149"/>
      <c r="M673" s="149"/>
      <c r="N673" s="149"/>
      <c r="O673" s="150"/>
      <c r="P673" s="103" t="str">
        <f t="shared" si="105"/>
        <v>n.a.</v>
      </c>
      <c r="Q673" s="147" t="str">
        <f t="shared" si="104"/>
        <v>Ammonia: Fuel as process input</v>
      </c>
      <c r="R673" s="17"/>
      <c r="S673" s="17" t="str">
        <f t="shared" si="109"/>
        <v>OxF_Ammonia: Fuel as process input</v>
      </c>
      <c r="Z673" s="21" t="b">
        <f t="shared" si="103"/>
        <v>1</v>
      </c>
      <c r="AL673" s="624" t="s">
        <v>992</v>
      </c>
      <c r="AM673" s="624" t="s">
        <v>992</v>
      </c>
      <c r="AN673" s="624" t="s">
        <v>992</v>
      </c>
      <c r="AO673" s="624" t="s">
        <v>992</v>
      </c>
      <c r="AP673" s="624" t="s">
        <v>992</v>
      </c>
    </row>
    <row r="674" spans="1:42" ht="12.75" customHeight="1" outlineLevel="1" x14ac:dyDescent="0.2">
      <c r="A674" s="21">
        <v>50</v>
      </c>
      <c r="B674" s="611" t="str">
        <f t="shared" si="111"/>
        <v>Production of hydrogen and synthesis gas</v>
      </c>
      <c r="C674" s="17" t="str">
        <f t="shared" si="111"/>
        <v>Hydrogen and synthesis gas</v>
      </c>
      <c r="D674" s="17" t="str">
        <f t="shared" si="111"/>
        <v>Fuel as process input</v>
      </c>
      <c r="E674" s="17"/>
      <c r="F674" s="151" t="str">
        <f t="shared" si="108"/>
        <v>Standard method: Fuel, Article 24(1)</v>
      </c>
      <c r="G674" s="103" t="str">
        <f t="shared" si="110"/>
        <v>n.a.</v>
      </c>
      <c r="H674" s="149"/>
      <c r="I674" s="149"/>
      <c r="J674" s="151"/>
      <c r="K674" s="151"/>
      <c r="L674" s="149"/>
      <c r="M674" s="149"/>
      <c r="N674" s="149"/>
      <c r="O674" s="150"/>
      <c r="P674" s="103" t="str">
        <f t="shared" si="105"/>
        <v>n.a.</v>
      </c>
      <c r="Q674" s="147" t="str">
        <f t="shared" si="104"/>
        <v>Hydrogen and synthesis gas: Fuel as process input</v>
      </c>
      <c r="R674" s="17"/>
      <c r="S674" s="17" t="str">
        <f t="shared" si="109"/>
        <v>OxF_Hydrogen and synthesis gas: Fuel as process input</v>
      </c>
      <c r="Z674" s="21" t="b">
        <f t="shared" si="103"/>
        <v>1</v>
      </c>
      <c r="AL674" s="624" t="s">
        <v>992</v>
      </c>
      <c r="AM674" s="624" t="s">
        <v>992</v>
      </c>
      <c r="AN674" s="624" t="s">
        <v>992</v>
      </c>
      <c r="AO674" s="624" t="s">
        <v>992</v>
      </c>
      <c r="AP674" s="624" t="s">
        <v>992</v>
      </c>
    </row>
    <row r="675" spans="1:42" ht="12.75" customHeight="1" outlineLevel="1" x14ac:dyDescent="0.2">
      <c r="A675" s="21">
        <v>51</v>
      </c>
      <c r="B675" s="611" t="str">
        <f t="shared" si="111"/>
        <v>Production of hydrogen and synthesis gas</v>
      </c>
      <c r="C675" s="17" t="str">
        <f t="shared" si="111"/>
        <v>Hydrogen and synthesis gas</v>
      </c>
      <c r="D675" s="17" t="str">
        <f t="shared" si="111"/>
        <v>Mass balance methodology</v>
      </c>
      <c r="E675" s="17"/>
      <c r="F675" s="151" t="str">
        <f t="shared" si="108"/>
        <v>Mass balance method, Article 25</v>
      </c>
      <c r="G675" s="103" t="str">
        <f t="shared" si="110"/>
        <v>n.a.</v>
      </c>
      <c r="H675" s="149"/>
      <c r="I675" s="149"/>
      <c r="J675" s="151"/>
      <c r="K675" s="151"/>
      <c r="L675" s="149"/>
      <c r="M675" s="149"/>
      <c r="N675" s="149"/>
      <c r="O675" s="150"/>
      <c r="P675" s="103" t="str">
        <f t="shared" si="105"/>
        <v>n.a.</v>
      </c>
      <c r="Q675" s="147" t="str">
        <f t="shared" si="104"/>
        <v>Hydrogen and synthesis gas: Mass balance methodology</v>
      </c>
      <c r="R675" s="17"/>
      <c r="S675" s="17" t="str">
        <f t="shared" si="109"/>
        <v>OxF_Hydrogen and synthesis gas: Mass balance methodology</v>
      </c>
      <c r="Z675" s="21" t="b">
        <f t="shared" si="103"/>
        <v>1</v>
      </c>
      <c r="AL675" s="624" t="s">
        <v>992</v>
      </c>
      <c r="AM675" s="624" t="s">
        <v>992</v>
      </c>
      <c r="AN675" s="624" t="s">
        <v>992</v>
      </c>
      <c r="AO675" s="624" t="s">
        <v>992</v>
      </c>
      <c r="AP675" s="624" t="s">
        <v>992</v>
      </c>
    </row>
    <row r="676" spans="1:42" ht="12.75" customHeight="1" outlineLevel="1" x14ac:dyDescent="0.2">
      <c r="A676" s="21">
        <v>52</v>
      </c>
      <c r="B676" s="611" t="str">
        <f t="shared" si="111"/>
        <v>Production of bulk chemicals</v>
      </c>
      <c r="C676" s="17" t="str">
        <f t="shared" si="111"/>
        <v>Bulk organic chemicals</v>
      </c>
      <c r="D676" s="17" t="str">
        <f t="shared" si="111"/>
        <v>Mass balance methodology</v>
      </c>
      <c r="E676" s="17"/>
      <c r="F676" s="151" t="str">
        <f t="shared" si="108"/>
        <v>Mass balance method, Article 25</v>
      </c>
      <c r="G676" s="103" t="str">
        <f t="shared" si="110"/>
        <v>n.a.</v>
      </c>
      <c r="H676" s="149"/>
      <c r="I676" s="149"/>
      <c r="J676" s="151"/>
      <c r="K676" s="151"/>
      <c r="L676" s="149"/>
      <c r="M676" s="149"/>
      <c r="N676" s="149"/>
      <c r="O676" s="150"/>
      <c r="P676" s="103" t="str">
        <f t="shared" si="105"/>
        <v>n.a.</v>
      </c>
      <c r="Q676" s="147" t="str">
        <f t="shared" si="104"/>
        <v>Bulk organic chemicals: Mass balance methodology</v>
      </c>
      <c r="R676" s="17"/>
      <c r="S676" s="17" t="str">
        <f t="shared" si="109"/>
        <v>OxF_Bulk organic chemicals: Mass balance methodology</v>
      </c>
      <c r="Z676" s="21" t="b">
        <f t="shared" si="103"/>
        <v>1</v>
      </c>
      <c r="AL676" s="624" t="s">
        <v>992</v>
      </c>
      <c r="AM676" s="624" t="s">
        <v>992</v>
      </c>
      <c r="AN676" s="624" t="s">
        <v>992</v>
      </c>
      <c r="AO676" s="624" t="s">
        <v>992</v>
      </c>
      <c r="AP676" s="624" t="s">
        <v>992</v>
      </c>
    </row>
    <row r="677" spans="1:42" ht="12.75" customHeight="1" outlineLevel="1" x14ac:dyDescent="0.2">
      <c r="A677" s="21">
        <v>53</v>
      </c>
      <c r="B677" s="611" t="str">
        <f t="shared" si="111"/>
        <v>Production or processing of ferrous metals</v>
      </c>
      <c r="C677" s="17" t="str">
        <f t="shared" si="111"/>
        <v>(Non) ferrous, sec. aluminium</v>
      </c>
      <c r="D677" s="17" t="str">
        <f t="shared" si="111"/>
        <v>Process (method A): carbonate only</v>
      </c>
      <c r="E677" s="602"/>
      <c r="F677" s="151" t="str">
        <f t="shared" si="108"/>
        <v>Standard method: Process, Article 24(2)</v>
      </c>
      <c r="G677" s="103" t="str">
        <f t="shared" si="110"/>
        <v>n.a.</v>
      </c>
      <c r="H677" s="149"/>
      <c r="I677" s="149"/>
      <c r="J677" s="151"/>
      <c r="K677" s="151"/>
      <c r="L677" s="149"/>
      <c r="M677" s="149"/>
      <c r="N677" s="149"/>
      <c r="O677" s="150"/>
      <c r="P677" s="103" t="str">
        <f t="shared" si="105"/>
        <v>n.a.</v>
      </c>
      <c r="Q677" s="147" t="str">
        <f t="shared" si="104"/>
        <v>(Non) ferrous, sec. aluminium: Process (method A): carbonate only</v>
      </c>
      <c r="R677" s="17"/>
      <c r="S677" s="17" t="str">
        <f t="shared" si="109"/>
        <v>OxF_(Non) ferrous, sec. aluminium: Process (method A): carbonate only</v>
      </c>
      <c r="Z677" s="21" t="b">
        <f t="shared" si="103"/>
        <v>1</v>
      </c>
      <c r="AL677" s="624" t="s">
        <v>992</v>
      </c>
      <c r="AM677" s="624" t="s">
        <v>992</v>
      </c>
      <c r="AN677" s="624" t="s">
        <v>992</v>
      </c>
      <c r="AO677" s="624" t="s">
        <v>992</v>
      </c>
      <c r="AP677" s="624" t="s">
        <v>992</v>
      </c>
    </row>
    <row r="678" spans="1:42" ht="12.75" customHeight="1" outlineLevel="1" x14ac:dyDescent="0.2">
      <c r="A678" s="21">
        <v>54</v>
      </c>
      <c r="B678" s="611" t="str">
        <f t="shared" si="111"/>
        <v>Production or processing of ferrous metals</v>
      </c>
      <c r="C678" s="17" t="str">
        <f t="shared" si="111"/>
        <v>(Non) ferrous, sec. aluminium</v>
      </c>
      <c r="D678" s="17" t="str">
        <f t="shared" si="111"/>
        <v>Process (method A): mixed (carbonate + non-carbonate)</v>
      </c>
      <c r="E678" s="602"/>
      <c r="F678" s="151" t="str">
        <f t="shared" si="108"/>
        <v>Standard method: Process, Article 24(2)</v>
      </c>
      <c r="G678" s="103" t="str">
        <f t="shared" si="110"/>
        <v>n.a.</v>
      </c>
      <c r="H678" s="149"/>
      <c r="I678" s="149"/>
      <c r="J678" s="151"/>
      <c r="K678" s="151"/>
      <c r="L678" s="149"/>
      <c r="M678" s="149"/>
      <c r="N678" s="149"/>
      <c r="O678" s="150"/>
      <c r="P678" s="103" t="str">
        <f t="shared" si="105"/>
        <v>n.a.</v>
      </c>
      <c r="Q678" s="147" t="str">
        <f t="shared" si="104"/>
        <v>(Non) ferrous, sec. aluminium: Process (method A): mixed (carbonate + non-carbonate)</v>
      </c>
      <c r="R678" s="17"/>
      <c r="S678" s="17" t="str">
        <f t="shared" si="109"/>
        <v>OxF_(Non) ferrous, sec. aluminium: Process (method A): mixed (carbonate + non-carbonate)</v>
      </c>
      <c r="Z678" s="21" t="b">
        <f t="shared" si="103"/>
        <v>1</v>
      </c>
      <c r="AL678" s="624" t="s">
        <v>992</v>
      </c>
      <c r="AM678" s="624" t="s">
        <v>992</v>
      </c>
      <c r="AN678" s="624" t="s">
        <v>992</v>
      </c>
      <c r="AO678" s="624" t="s">
        <v>992</v>
      </c>
      <c r="AP678" s="624" t="s">
        <v>992</v>
      </c>
    </row>
    <row r="679" spans="1:42" ht="12.75" customHeight="1" outlineLevel="1" x14ac:dyDescent="0.2">
      <c r="A679" s="21">
        <v>55</v>
      </c>
      <c r="B679" s="611" t="str">
        <f t="shared" si="111"/>
        <v>Production or processing of ferrous metals</v>
      </c>
      <c r="C679" s="17" t="str">
        <f t="shared" si="111"/>
        <v>(Non) ferrous, sec. aluminium</v>
      </c>
      <c r="D679" s="17" t="str">
        <f t="shared" si="111"/>
        <v>Process (method A): non-carbonate</v>
      </c>
      <c r="E679" s="602"/>
      <c r="F679" s="151" t="str">
        <f t="shared" si="108"/>
        <v>Standard method: Process, Article 24(2)</v>
      </c>
      <c r="G679" s="103" t="str">
        <f t="shared" si="110"/>
        <v>n.a.</v>
      </c>
      <c r="H679" s="149"/>
      <c r="I679" s="149"/>
      <c r="J679" s="151"/>
      <c r="K679" s="151"/>
      <c r="L679" s="149"/>
      <c r="M679" s="149"/>
      <c r="N679" s="149"/>
      <c r="O679" s="150"/>
      <c r="P679" s="103" t="str">
        <f t="shared" si="105"/>
        <v>n.a.</v>
      </c>
      <c r="Q679" s="147" t="str">
        <f t="shared" si="104"/>
        <v>(Non) ferrous, sec. aluminium: Process (method A): non-carbonate</v>
      </c>
      <c r="R679" s="17"/>
      <c r="S679" s="17" t="str">
        <f t="shared" si="109"/>
        <v>OxF_(Non) ferrous, sec. aluminium: Process (method A): non-carbonate</v>
      </c>
      <c r="Z679" s="21" t="b">
        <f t="shared" si="103"/>
        <v>1</v>
      </c>
      <c r="AL679" s="624" t="s">
        <v>992</v>
      </c>
      <c r="AM679" s="624" t="s">
        <v>992</v>
      </c>
      <c r="AN679" s="624" t="s">
        <v>992</v>
      </c>
      <c r="AO679" s="624" t="s">
        <v>992</v>
      </c>
      <c r="AP679" s="624" t="s">
        <v>992</v>
      </c>
    </row>
    <row r="680" spans="1:42" ht="12.75" customHeight="1" outlineLevel="1" x14ac:dyDescent="0.2">
      <c r="A680" s="21">
        <v>56</v>
      </c>
      <c r="B680" s="611" t="str">
        <f t="shared" si="111"/>
        <v>Production or processing of ferrous metals</v>
      </c>
      <c r="C680" s="17" t="str">
        <f t="shared" si="111"/>
        <v>(Non) ferrous, sec. aluminium</v>
      </c>
      <c r="D680" s="17" t="str">
        <f t="shared" si="111"/>
        <v>Process (method B): oxide output</v>
      </c>
      <c r="E680" s="602"/>
      <c r="F680" s="151" t="str">
        <f t="shared" si="108"/>
        <v>Standard method: Process, Article 24(2)</v>
      </c>
      <c r="G680" s="103" t="str">
        <f t="shared" si="110"/>
        <v>n.a.</v>
      </c>
      <c r="H680" s="149"/>
      <c r="I680" s="149"/>
      <c r="J680" s="151"/>
      <c r="K680" s="151"/>
      <c r="L680" s="149"/>
      <c r="M680" s="149"/>
      <c r="N680" s="149"/>
      <c r="O680" s="150"/>
      <c r="P680" s="103" t="str">
        <f t="shared" si="105"/>
        <v>n.a.</v>
      </c>
      <c r="Q680" s="147" t="str">
        <f t="shared" si="104"/>
        <v>(Non) ferrous, sec. aluminium: Process (method B): oxide output</v>
      </c>
      <c r="R680" s="17"/>
      <c r="S680" s="17" t="str">
        <f t="shared" si="109"/>
        <v>OxF_(Non) ferrous, sec. aluminium: Process (method B): oxide output</v>
      </c>
      <c r="Z680" s="21" t="b">
        <f t="shared" si="103"/>
        <v>1</v>
      </c>
      <c r="AL680" s="624" t="s">
        <v>992</v>
      </c>
      <c r="AM680" s="624" t="s">
        <v>992</v>
      </c>
      <c r="AN680" s="624" t="s">
        <v>992</v>
      </c>
      <c r="AO680" s="624" t="s">
        <v>992</v>
      </c>
      <c r="AP680" s="624" t="s">
        <v>992</v>
      </c>
    </row>
    <row r="681" spans="1:42" ht="12.75" customHeight="1" outlineLevel="1" x14ac:dyDescent="0.2">
      <c r="A681" s="21">
        <v>57</v>
      </c>
      <c r="B681" s="611" t="str">
        <f t="shared" si="111"/>
        <v>Production or processing of ferrous metals</v>
      </c>
      <c r="C681" s="17" t="str">
        <f t="shared" si="111"/>
        <v>(Non) ferrous, sec. aluminium</v>
      </c>
      <c r="D681" s="17" t="str">
        <f t="shared" si="111"/>
        <v>Mass balance methodology</v>
      </c>
      <c r="E681" s="17"/>
      <c r="F681" s="151" t="str">
        <f t="shared" si="108"/>
        <v>Mass balance method, Article 25</v>
      </c>
      <c r="G681" s="103" t="str">
        <f t="shared" si="110"/>
        <v>n.a.</v>
      </c>
      <c r="H681" s="149"/>
      <c r="I681" s="149"/>
      <c r="J681" s="151"/>
      <c r="K681" s="151"/>
      <c r="L681" s="149"/>
      <c r="M681" s="149"/>
      <c r="N681" s="149"/>
      <c r="O681" s="150"/>
      <c r="P681" s="103" t="str">
        <f t="shared" si="105"/>
        <v>n.a.</v>
      </c>
      <c r="Q681" s="147" t="str">
        <f t="shared" si="104"/>
        <v>(Non) ferrous, sec. aluminium: Mass balance methodology</v>
      </c>
      <c r="R681" s="17"/>
      <c r="S681" s="17" t="str">
        <f t="shared" si="109"/>
        <v>OxF_(Non) ferrous, sec. aluminium: Mass balance methodology</v>
      </c>
      <c r="Z681" s="21" t="b">
        <f t="shared" si="103"/>
        <v>1</v>
      </c>
      <c r="AL681" s="624" t="s">
        <v>992</v>
      </c>
      <c r="AM681" s="624" t="s">
        <v>992</v>
      </c>
      <c r="AN681" s="624" t="s">
        <v>992</v>
      </c>
      <c r="AO681" s="624" t="s">
        <v>992</v>
      </c>
      <c r="AP681" s="624" t="s">
        <v>992</v>
      </c>
    </row>
    <row r="682" spans="1:42" ht="12.75" customHeight="1" outlineLevel="1" x14ac:dyDescent="0.2">
      <c r="A682" s="21">
        <v>58</v>
      </c>
      <c r="B682" s="611" t="str">
        <f t="shared" si="111"/>
        <v>Production of soda ash and sodium bicarbonate</v>
      </c>
      <c r="C682" s="17" t="str">
        <f t="shared" si="111"/>
        <v>Soda ash / sodium bicarbonate</v>
      </c>
      <c r="D682" s="17" t="str">
        <f t="shared" si="111"/>
        <v>Mass balance methodology</v>
      </c>
      <c r="E682" s="17"/>
      <c r="F682" s="151" t="str">
        <f t="shared" si="108"/>
        <v>Mass balance method, Article 25</v>
      </c>
      <c r="G682" s="103" t="str">
        <f t="shared" si="110"/>
        <v>n.a.</v>
      </c>
      <c r="H682" s="149"/>
      <c r="I682" s="149"/>
      <c r="J682" s="151"/>
      <c r="K682" s="151"/>
      <c r="L682" s="149"/>
      <c r="M682" s="149"/>
      <c r="N682" s="149"/>
      <c r="O682" s="150"/>
      <c r="P682" s="103" t="str">
        <f t="shared" si="105"/>
        <v>n.a.</v>
      </c>
      <c r="Q682" s="147" t="str">
        <f t="shared" si="104"/>
        <v>Soda ash / sodium bicarbonate: Mass balance methodology</v>
      </c>
      <c r="R682" s="17"/>
      <c r="S682" s="17" t="str">
        <f t="shared" si="109"/>
        <v>OxF_Soda ash / sodium bicarbonate: Mass balance methodology</v>
      </c>
      <c r="W682" s="226"/>
      <c r="Z682" s="21" t="b">
        <f t="shared" si="103"/>
        <v>1</v>
      </c>
      <c r="AL682" s="624" t="s">
        <v>992</v>
      </c>
      <c r="AM682" s="624" t="s">
        <v>992</v>
      </c>
      <c r="AN682" s="624" t="s">
        <v>992</v>
      </c>
      <c r="AO682" s="624" t="s">
        <v>992</v>
      </c>
      <c r="AP682" s="624" t="s">
        <v>992</v>
      </c>
    </row>
    <row r="683" spans="1:42" ht="12.75" customHeight="1" outlineLevel="1" x14ac:dyDescent="0.2">
      <c r="A683" s="21">
        <v>59</v>
      </c>
      <c r="B683" s="611" t="str">
        <f t="shared" si="111"/>
        <v>Production of primary aluminium</v>
      </c>
      <c r="C683" s="17" t="str">
        <f t="shared" si="111"/>
        <v>Primary aluminium</v>
      </c>
      <c r="D683" s="17" t="str">
        <f t="shared" si="111"/>
        <v>Mass balance methodology</v>
      </c>
      <c r="E683" s="17"/>
      <c r="F683" s="151" t="str">
        <f t="shared" si="108"/>
        <v>Mass balance method, Article 25</v>
      </c>
      <c r="G683" s="103" t="str">
        <f t="shared" si="110"/>
        <v>n.a.</v>
      </c>
      <c r="H683" s="149"/>
      <c r="I683" s="149"/>
      <c r="J683" s="151"/>
      <c r="K683" s="151"/>
      <c r="L683" s="149"/>
      <c r="M683" s="149"/>
      <c r="N683" s="149"/>
      <c r="O683" s="150"/>
      <c r="P683" s="103" t="str">
        <f t="shared" si="105"/>
        <v>n.a.</v>
      </c>
      <c r="Q683" s="147" t="str">
        <f t="shared" si="104"/>
        <v>Primary aluminium: Mass balance methodology</v>
      </c>
      <c r="R683" s="17"/>
      <c r="S683" s="17" t="str">
        <f t="shared" si="109"/>
        <v>OxF_Primary aluminium: Mass balance methodology</v>
      </c>
      <c r="Z683" s="21" t="b">
        <f t="shared" si="103"/>
        <v>1</v>
      </c>
      <c r="AL683" s="624" t="s">
        <v>992</v>
      </c>
      <c r="AM683" s="624" t="s">
        <v>992</v>
      </c>
      <c r="AN683" s="624" t="s">
        <v>992</v>
      </c>
      <c r="AO683" s="624" t="s">
        <v>992</v>
      </c>
      <c r="AP683" s="624" t="s">
        <v>992</v>
      </c>
    </row>
    <row r="684" spans="1:42" ht="12.75" customHeight="1" outlineLevel="1" x14ac:dyDescent="0.2">
      <c r="A684" s="21">
        <v>60</v>
      </c>
      <c r="B684" s="611" t="str">
        <f t="shared" si="111"/>
        <v>Production of primary aluminium</v>
      </c>
      <c r="C684" s="17" t="str">
        <f t="shared" si="111"/>
        <v>Primary aluminium</v>
      </c>
      <c r="D684" s="17" t="str">
        <f t="shared" si="111"/>
        <v>PFC emissions (slope method)</v>
      </c>
      <c r="E684" s="17"/>
      <c r="F684" s="151" t="str">
        <f t="shared" si="108"/>
        <v>Calculation with special provisions for PFC (Annex IV section 8)</v>
      </c>
      <c r="G684" s="103" t="str">
        <f t="shared" si="110"/>
        <v>n.a.</v>
      </c>
      <c r="H684" s="149"/>
      <c r="I684" s="149"/>
      <c r="J684" s="151"/>
      <c r="K684" s="151"/>
      <c r="L684" s="149"/>
      <c r="M684" s="149"/>
      <c r="N684" s="149"/>
      <c r="O684" s="150"/>
      <c r="P684" s="103" t="str">
        <f t="shared" si="105"/>
        <v>n.a.</v>
      </c>
      <c r="Q684" s="147" t="str">
        <f t="shared" si="104"/>
        <v>Primary aluminium: PFC emissions (slope method)</v>
      </c>
      <c r="R684" s="17"/>
      <c r="S684" s="17" t="str">
        <f t="shared" si="109"/>
        <v>OxF_Primary aluminium: PFC emissions (slope method)</v>
      </c>
      <c r="Z684" s="21" t="b">
        <f t="shared" si="103"/>
        <v>1</v>
      </c>
      <c r="AL684" s="624" t="s">
        <v>992</v>
      </c>
      <c r="AM684" s="624" t="s">
        <v>992</v>
      </c>
      <c r="AN684" s="624" t="s">
        <v>992</v>
      </c>
      <c r="AO684" s="624" t="s">
        <v>992</v>
      </c>
      <c r="AP684" s="624" t="s">
        <v>992</v>
      </c>
    </row>
    <row r="685" spans="1:42" ht="12.75" customHeight="1" outlineLevel="1" x14ac:dyDescent="0.2">
      <c r="A685" s="21">
        <v>61</v>
      </c>
      <c r="B685" s="611" t="str">
        <f t="shared" ref="B685:D694" si="112">B613</f>
        <v>Production of primary aluminium</v>
      </c>
      <c r="C685" s="17" t="str">
        <f t="shared" si="112"/>
        <v>Primary aluminium</v>
      </c>
      <c r="D685" s="17" t="str">
        <f t="shared" si="112"/>
        <v>PFC emissions (overvoltage method)</v>
      </c>
      <c r="E685" s="17"/>
      <c r="F685" s="151" t="str">
        <f t="shared" si="108"/>
        <v>Calculation with special provisions for PFC (Annex IV section 8)</v>
      </c>
      <c r="G685" s="103" t="str">
        <f t="shared" si="110"/>
        <v>n.a.</v>
      </c>
      <c r="H685" s="149"/>
      <c r="I685" s="149"/>
      <c r="J685" s="151"/>
      <c r="K685" s="151"/>
      <c r="L685" s="149"/>
      <c r="M685" s="149"/>
      <c r="N685" s="149"/>
      <c r="O685" s="150"/>
      <c r="P685" s="103" t="str">
        <f t="shared" si="105"/>
        <v>n.a.</v>
      </c>
      <c r="Q685" s="147" t="str">
        <f t="shared" si="104"/>
        <v>Primary aluminium: PFC emissions (overvoltage method)</v>
      </c>
      <c r="R685" s="17"/>
      <c r="S685" s="17" t="str">
        <f t="shared" si="109"/>
        <v>OxF_Primary aluminium: PFC emissions (overvoltage method)</v>
      </c>
      <c r="Z685" s="21" t="b">
        <f t="shared" si="103"/>
        <v>1</v>
      </c>
      <c r="AL685" s="624" t="s">
        <v>992</v>
      </c>
      <c r="AM685" s="624" t="s">
        <v>992</v>
      </c>
      <c r="AN685" s="624" t="s">
        <v>992</v>
      </c>
      <c r="AO685" s="624" t="s">
        <v>992</v>
      </c>
      <c r="AP685" s="624" t="s">
        <v>992</v>
      </c>
    </row>
    <row r="686" spans="1:42" ht="12.75" customHeight="1" outlineLevel="1" x14ac:dyDescent="0.2">
      <c r="A686" s="21">
        <v>62</v>
      </c>
      <c r="B686" s="611" t="str">
        <f t="shared" si="112"/>
        <v>Capture of greenhouse gases under Directive 2009/31/EC</v>
      </c>
      <c r="C686" s="17" t="str">
        <f t="shared" si="112"/>
        <v>CCS: Capture</v>
      </c>
      <c r="D686" s="17" t="str">
        <f t="shared" si="112"/>
        <v>CO2 transferred</v>
      </c>
      <c r="E686" s="17"/>
      <c r="F686" s="151" t="str">
        <f t="shared" ref="F686:F694" si="113">F614</f>
        <v>Mass balance method, Article 25</v>
      </c>
      <c r="G686" s="103" t="str">
        <f t="shared" si="110"/>
        <v>n.a.</v>
      </c>
      <c r="H686" s="149"/>
      <c r="I686" s="149"/>
      <c r="J686" s="151"/>
      <c r="K686" s="151"/>
      <c r="L686" s="149"/>
      <c r="M686" s="149"/>
      <c r="N686" s="149"/>
      <c r="O686" s="150"/>
      <c r="P686" s="103" t="str">
        <f t="shared" ref="P686:P694" si="114">G686</f>
        <v>n.a.</v>
      </c>
      <c r="Q686" s="147" t="str">
        <f t="shared" ref="Q686:Q694" si="115">C686 &amp; ": " &amp;D686</f>
        <v>CCS: Capture: CO2 transferred</v>
      </c>
      <c r="R686" s="17"/>
      <c r="S686" s="17" t="str">
        <f t="shared" ref="S686:S694" si="116">EUconst_CNTR_OxidationFactor&amp;Q686</f>
        <v>OxF_CCS: Capture: CO2 transferred</v>
      </c>
      <c r="Z686" s="21" t="b">
        <f t="shared" ref="Z686:Z694" si="117">IF(G686=EUconst_NA,TRUE,FALSE)</f>
        <v>1</v>
      </c>
      <c r="AL686" s="624"/>
      <c r="AM686" s="624"/>
      <c r="AN686" s="624"/>
      <c r="AO686" s="624"/>
      <c r="AP686" s="624"/>
    </row>
    <row r="687" spans="1:42" ht="12.75" customHeight="1" outlineLevel="1" x14ac:dyDescent="0.2">
      <c r="A687" s="21">
        <v>63</v>
      </c>
      <c r="B687" s="611" t="str">
        <f t="shared" si="112"/>
        <v>Transport of greenhouse gases under Directive 2009/31/EC</v>
      </c>
      <c r="C687" s="17" t="str">
        <f t="shared" si="112"/>
        <v>CCS: Transport</v>
      </c>
      <c r="D687" s="17" t="str">
        <f t="shared" si="112"/>
        <v>CO2 transferred</v>
      </c>
      <c r="E687" s="17"/>
      <c r="F687" s="151" t="str">
        <f t="shared" si="113"/>
        <v>Mass balance method, Article 25</v>
      </c>
      <c r="G687" s="103" t="str">
        <f t="shared" si="110"/>
        <v>n.a.</v>
      </c>
      <c r="H687" s="149"/>
      <c r="I687" s="149"/>
      <c r="J687" s="151"/>
      <c r="K687" s="151"/>
      <c r="L687" s="149"/>
      <c r="M687" s="149"/>
      <c r="N687" s="149"/>
      <c r="O687" s="150"/>
      <c r="P687" s="103" t="str">
        <f t="shared" si="114"/>
        <v>n.a.</v>
      </c>
      <c r="Q687" s="147" t="str">
        <f t="shared" si="115"/>
        <v>CCS: Transport: CO2 transferred</v>
      </c>
      <c r="R687" s="17"/>
      <c r="S687" s="17" t="str">
        <f t="shared" si="116"/>
        <v>OxF_CCS: Transport: CO2 transferred</v>
      </c>
      <c r="Z687" s="21" t="b">
        <f t="shared" si="117"/>
        <v>1</v>
      </c>
      <c r="AL687" s="624"/>
      <c r="AM687" s="624"/>
      <c r="AN687" s="624"/>
      <c r="AO687" s="624"/>
      <c r="AP687" s="624"/>
    </row>
    <row r="688" spans="1:42" ht="12.75" customHeight="1" outlineLevel="1" x14ac:dyDescent="0.2">
      <c r="A688" s="21">
        <v>64</v>
      </c>
      <c r="B688" s="611" t="str">
        <f t="shared" si="112"/>
        <v>Transport of greenhouse gases under Directive 2009/31/EC</v>
      </c>
      <c r="C688" s="17" t="str">
        <f t="shared" si="112"/>
        <v>CCS: Transport</v>
      </c>
      <c r="D688" s="17" t="str">
        <f t="shared" si="112"/>
        <v>CO2 vented</v>
      </c>
      <c r="E688" s="17"/>
      <c r="F688" s="151" t="str">
        <f t="shared" si="113"/>
        <v>Standard method: Process, Article 24(2)</v>
      </c>
      <c r="G688" s="103" t="str">
        <f t="shared" si="110"/>
        <v>n.a.</v>
      </c>
      <c r="H688" s="149"/>
      <c r="I688" s="149"/>
      <c r="J688" s="151"/>
      <c r="K688" s="151"/>
      <c r="L688" s="149"/>
      <c r="M688" s="149"/>
      <c r="N688" s="149"/>
      <c r="O688" s="150"/>
      <c r="P688" s="103" t="str">
        <f t="shared" si="114"/>
        <v>n.a.</v>
      </c>
      <c r="Q688" s="147" t="str">
        <f t="shared" si="115"/>
        <v>CCS: Transport: CO2 vented</v>
      </c>
      <c r="R688" s="17"/>
      <c r="S688" s="17" t="str">
        <f t="shared" si="116"/>
        <v>OxF_CCS: Transport: CO2 vented</v>
      </c>
      <c r="Z688" s="21" t="b">
        <f t="shared" si="117"/>
        <v>1</v>
      </c>
      <c r="AL688" s="624"/>
      <c r="AM688" s="624"/>
      <c r="AN688" s="624"/>
      <c r="AO688" s="624"/>
      <c r="AP688" s="624"/>
    </row>
    <row r="689" spans="1:42" ht="12.75" customHeight="1" outlineLevel="1" x14ac:dyDescent="0.2">
      <c r="A689" s="21">
        <v>65</v>
      </c>
      <c r="B689" s="611" t="str">
        <f t="shared" si="112"/>
        <v>Transport of greenhouse gases under Directive 2009/31/EC</v>
      </c>
      <c r="C689" s="17" t="str">
        <f t="shared" si="112"/>
        <v>CCS: Transport</v>
      </c>
      <c r="D689" s="17" t="str">
        <f t="shared" si="112"/>
        <v>CO2 leaked</v>
      </c>
      <c r="E689" s="17"/>
      <c r="F689" s="151" t="str">
        <f t="shared" si="113"/>
        <v>Standard method: Process, Article 24(2)</v>
      </c>
      <c r="G689" s="103" t="str">
        <f t="shared" si="110"/>
        <v>n.a.</v>
      </c>
      <c r="H689" s="149"/>
      <c r="I689" s="149"/>
      <c r="J689" s="151"/>
      <c r="K689" s="151"/>
      <c r="L689" s="149"/>
      <c r="M689" s="149"/>
      <c r="N689" s="149"/>
      <c r="O689" s="150"/>
      <c r="P689" s="103" t="str">
        <f t="shared" si="114"/>
        <v>n.a.</v>
      </c>
      <c r="Q689" s="147" t="str">
        <f t="shared" si="115"/>
        <v>CCS: Transport: CO2 leaked</v>
      </c>
      <c r="R689" s="17"/>
      <c r="S689" s="17" t="str">
        <f t="shared" si="116"/>
        <v>OxF_CCS: Transport: CO2 leaked</v>
      </c>
      <c r="Z689" s="21" t="b">
        <f t="shared" si="117"/>
        <v>1</v>
      </c>
      <c r="AL689" s="624"/>
      <c r="AM689" s="624"/>
      <c r="AN689" s="624"/>
      <c r="AO689" s="624"/>
      <c r="AP689" s="624"/>
    </row>
    <row r="690" spans="1:42" ht="12.75" customHeight="1" outlineLevel="1" x14ac:dyDescent="0.2">
      <c r="A690" s="21">
        <v>66</v>
      </c>
      <c r="B690" s="611" t="str">
        <f t="shared" si="112"/>
        <v>Transport of greenhouse gases under Directive 2009/31/EC</v>
      </c>
      <c r="C690" s="17" t="str">
        <f t="shared" si="112"/>
        <v>CCS: Transport</v>
      </c>
      <c r="D690" s="17" t="str">
        <f t="shared" si="112"/>
        <v>CO2 fugitive</v>
      </c>
      <c r="E690" s="17"/>
      <c r="F690" s="151" t="str">
        <f t="shared" si="113"/>
        <v>Standard method: Process, Article 24(2)</v>
      </c>
      <c r="G690" s="103" t="str">
        <f t="shared" si="110"/>
        <v>n.a.</v>
      </c>
      <c r="H690" s="149"/>
      <c r="I690" s="149"/>
      <c r="J690" s="151"/>
      <c r="K690" s="151"/>
      <c r="L690" s="149"/>
      <c r="M690" s="149"/>
      <c r="N690" s="149"/>
      <c r="O690" s="150"/>
      <c r="P690" s="103" t="str">
        <f t="shared" si="114"/>
        <v>n.a.</v>
      </c>
      <c r="Q690" s="147" t="str">
        <f t="shared" si="115"/>
        <v>CCS: Transport: CO2 fugitive</v>
      </c>
      <c r="R690" s="17"/>
      <c r="S690" s="17" t="str">
        <f t="shared" si="116"/>
        <v>OxF_CCS: Transport: CO2 fugitive</v>
      </c>
      <c r="Z690" s="21" t="b">
        <f t="shared" si="117"/>
        <v>1</v>
      </c>
      <c r="AL690" s="624"/>
      <c r="AM690" s="624"/>
      <c r="AN690" s="624"/>
      <c r="AO690" s="624"/>
      <c r="AP690" s="624"/>
    </row>
    <row r="691" spans="1:42" ht="12.75" customHeight="1" outlineLevel="1" x14ac:dyDescent="0.2">
      <c r="A691" s="21">
        <v>67</v>
      </c>
      <c r="B691" s="611" t="str">
        <f t="shared" si="112"/>
        <v>Storage of greenhouse gases under Directive 2009/31/EC</v>
      </c>
      <c r="C691" s="17" t="str">
        <f t="shared" si="112"/>
        <v>CCS: Storage</v>
      </c>
      <c r="D691" s="17" t="str">
        <f t="shared" si="112"/>
        <v>CO2 transferred</v>
      </c>
      <c r="E691" s="17"/>
      <c r="F691" s="151" t="str">
        <f t="shared" si="113"/>
        <v>Mass balance method, Article 25</v>
      </c>
      <c r="G691" s="103" t="str">
        <f t="shared" si="110"/>
        <v>n.a.</v>
      </c>
      <c r="H691" s="149"/>
      <c r="I691" s="149"/>
      <c r="J691" s="151"/>
      <c r="K691" s="151"/>
      <c r="L691" s="149"/>
      <c r="M691" s="149"/>
      <c r="N691" s="149"/>
      <c r="O691" s="150"/>
      <c r="P691" s="103" t="str">
        <f t="shared" si="114"/>
        <v>n.a.</v>
      </c>
      <c r="Q691" s="147" t="str">
        <f t="shared" si="115"/>
        <v>CCS: Storage: CO2 transferred</v>
      </c>
      <c r="R691" s="17"/>
      <c r="S691" s="17" t="str">
        <f t="shared" si="116"/>
        <v>OxF_CCS: Storage: CO2 transferred</v>
      </c>
      <c r="Z691" s="21" t="b">
        <f t="shared" si="117"/>
        <v>1</v>
      </c>
      <c r="AL691" s="624"/>
      <c r="AM691" s="624"/>
      <c r="AN691" s="624"/>
      <c r="AO691" s="624"/>
      <c r="AP691" s="624"/>
    </row>
    <row r="692" spans="1:42" ht="12.75" customHeight="1" outlineLevel="1" x14ac:dyDescent="0.2">
      <c r="A692" s="21">
        <v>68</v>
      </c>
      <c r="B692" s="611" t="str">
        <f t="shared" si="112"/>
        <v>Storage of greenhouse gases under Directive 2009/31/EC</v>
      </c>
      <c r="C692" s="17" t="str">
        <f t="shared" si="112"/>
        <v>CCS: Storage</v>
      </c>
      <c r="D692" s="17" t="str">
        <f t="shared" si="112"/>
        <v>CO2 vented</v>
      </c>
      <c r="E692" s="17"/>
      <c r="F692" s="151" t="str">
        <f t="shared" si="113"/>
        <v>Standard method: Process, Article 24(2)</v>
      </c>
      <c r="G692" s="103" t="str">
        <f t="shared" si="110"/>
        <v>n.a.</v>
      </c>
      <c r="H692" s="149"/>
      <c r="I692" s="149"/>
      <c r="J692" s="151"/>
      <c r="K692" s="151"/>
      <c r="L692" s="149"/>
      <c r="M692" s="149"/>
      <c r="N692" s="149"/>
      <c r="O692" s="150"/>
      <c r="P692" s="103" t="str">
        <f t="shared" si="114"/>
        <v>n.a.</v>
      </c>
      <c r="Q692" s="147" t="str">
        <f t="shared" si="115"/>
        <v>CCS: Storage: CO2 vented</v>
      </c>
      <c r="R692" s="17"/>
      <c r="S692" s="17" t="str">
        <f t="shared" si="116"/>
        <v>OxF_CCS: Storage: CO2 vented</v>
      </c>
      <c r="Z692" s="21" t="b">
        <f t="shared" si="117"/>
        <v>1</v>
      </c>
      <c r="AL692" s="624"/>
      <c r="AM692" s="624"/>
      <c r="AN692" s="624"/>
      <c r="AO692" s="624"/>
      <c r="AP692" s="624"/>
    </row>
    <row r="693" spans="1:42" ht="12.75" customHeight="1" outlineLevel="1" x14ac:dyDescent="0.2">
      <c r="A693" s="21">
        <v>69</v>
      </c>
      <c r="B693" s="611" t="str">
        <f t="shared" si="112"/>
        <v>Storage of greenhouse gases under Directive 2009/31/EC</v>
      </c>
      <c r="C693" s="17" t="str">
        <f t="shared" si="112"/>
        <v>CCS: Storage</v>
      </c>
      <c r="D693" s="17" t="str">
        <f t="shared" si="112"/>
        <v>CO2 leaked</v>
      </c>
      <c r="E693" s="17"/>
      <c r="F693" s="151" t="str">
        <f t="shared" si="113"/>
        <v>Standard method: Process, Article 24(2)</v>
      </c>
      <c r="G693" s="103" t="str">
        <f t="shared" si="110"/>
        <v>n.a.</v>
      </c>
      <c r="H693" s="149"/>
      <c r="I693" s="149"/>
      <c r="J693" s="151"/>
      <c r="K693" s="151"/>
      <c r="L693" s="149"/>
      <c r="M693" s="149"/>
      <c r="N693" s="149"/>
      <c r="O693" s="150"/>
      <c r="P693" s="103" t="str">
        <f t="shared" si="114"/>
        <v>n.a.</v>
      </c>
      <c r="Q693" s="147" t="str">
        <f t="shared" si="115"/>
        <v>CCS: Storage: CO2 leaked</v>
      </c>
      <c r="R693" s="17"/>
      <c r="S693" s="17" t="str">
        <f t="shared" si="116"/>
        <v>OxF_CCS: Storage: CO2 leaked</v>
      </c>
      <c r="Z693" s="21" t="b">
        <f t="shared" si="117"/>
        <v>1</v>
      </c>
      <c r="AL693" s="624"/>
      <c r="AM693" s="624"/>
      <c r="AN693" s="624"/>
      <c r="AO693" s="624"/>
      <c r="AP693" s="624"/>
    </row>
    <row r="694" spans="1:42" ht="12.75" customHeight="1" outlineLevel="1" x14ac:dyDescent="0.2">
      <c r="A694" s="21">
        <v>70</v>
      </c>
      <c r="B694" s="611" t="str">
        <f t="shared" si="112"/>
        <v>Storage of greenhouse gases under Directive 2009/31/EC</v>
      </c>
      <c r="C694" s="17" t="str">
        <f t="shared" si="112"/>
        <v>CCS: Storage</v>
      </c>
      <c r="D694" s="17" t="str">
        <f t="shared" si="112"/>
        <v>CO2 fugitive</v>
      </c>
      <c r="E694" s="17"/>
      <c r="F694" s="151" t="str">
        <f t="shared" si="113"/>
        <v>Standard method: Process, Article 24(2)</v>
      </c>
      <c r="G694" s="103" t="str">
        <f t="shared" si="110"/>
        <v>n.a.</v>
      </c>
      <c r="H694" s="149"/>
      <c r="I694" s="149"/>
      <c r="J694" s="151"/>
      <c r="K694" s="151"/>
      <c r="L694" s="149"/>
      <c r="M694" s="149"/>
      <c r="N694" s="149"/>
      <c r="O694" s="150"/>
      <c r="P694" s="103" t="str">
        <f t="shared" si="114"/>
        <v>n.a.</v>
      </c>
      <c r="Q694" s="147" t="str">
        <f t="shared" si="115"/>
        <v>CCS: Storage: CO2 fugitive</v>
      </c>
      <c r="R694" s="17"/>
      <c r="S694" s="17" t="str">
        <f t="shared" si="116"/>
        <v>OxF_CCS: Storage: CO2 fugitive</v>
      </c>
      <c r="Z694" s="21" t="b">
        <f t="shared" si="117"/>
        <v>1</v>
      </c>
      <c r="AL694" s="624"/>
      <c r="AM694" s="624"/>
      <c r="AN694" s="624"/>
      <c r="AO694" s="624"/>
      <c r="AP694" s="624"/>
    </row>
    <row r="695" spans="1:42" ht="12.75" customHeight="1" outlineLevel="1" x14ac:dyDescent="0.2">
      <c r="B695" s="17"/>
      <c r="C695" s="17"/>
      <c r="D695" s="17"/>
      <c r="E695" s="17"/>
      <c r="F695" s="17"/>
      <c r="G695" s="17"/>
      <c r="H695" s="88"/>
      <c r="I695" s="88"/>
      <c r="J695" s="17"/>
      <c r="K695" s="17"/>
      <c r="L695" s="88"/>
      <c r="M695" s="88"/>
      <c r="N695" s="88"/>
      <c r="O695" s="88"/>
      <c r="P695" s="103"/>
      <c r="Q695" s="17"/>
      <c r="R695" s="17"/>
      <c r="S695" s="17"/>
      <c r="Z695" s="21" t="b">
        <f>IF(G695=EUconst_NA,TRUE,FALSE)</f>
        <v>0</v>
      </c>
    </row>
    <row r="696" spans="1:42" s="142" customFormat="1" ht="12.75" customHeight="1" outlineLevel="1" x14ac:dyDescent="0.2">
      <c r="A696" s="142" t="s">
        <v>1610</v>
      </c>
      <c r="B696" s="143" t="str">
        <f>Translations!$B$523</f>
        <v>Conversion factor</v>
      </c>
      <c r="C696" s="143" t="str">
        <f>Translations!$B$957</f>
        <v>Short name</v>
      </c>
      <c r="D696" s="143" t="str">
        <f>Translations!$B$958</f>
        <v>Sub-activity</v>
      </c>
      <c r="E696" s="143" t="str">
        <f>Translations!$B$389</f>
        <v>Parameter</v>
      </c>
      <c r="F696" s="143" t="str">
        <f>Translations!$B$959</f>
        <v>Source type</v>
      </c>
      <c r="G696" s="144" t="str">
        <f>Translations!$B$960</f>
        <v>Minimum</v>
      </c>
      <c r="H696" s="144">
        <v>1</v>
      </c>
      <c r="I696" s="144">
        <v>2</v>
      </c>
      <c r="J696" s="144" t="s">
        <v>1325</v>
      </c>
      <c r="K696" s="144" t="str">
        <f>Translations!$B$928</f>
        <v>2b</v>
      </c>
      <c r="L696" s="144">
        <v>3</v>
      </c>
      <c r="M696" s="144" t="s">
        <v>1759</v>
      </c>
      <c r="N696" s="144" t="s">
        <v>1760</v>
      </c>
      <c r="O696" s="144">
        <v>4</v>
      </c>
      <c r="P696" s="144" t="str">
        <f>Translations!$B$961</f>
        <v>Highest</v>
      </c>
      <c r="Q696" s="145"/>
      <c r="Z696" s="142" t="str">
        <f>Translations!$B$962</f>
        <v>make grey?</v>
      </c>
      <c r="AK696" s="142" t="s">
        <v>1651</v>
      </c>
      <c r="AL696" s="206">
        <v>1</v>
      </c>
      <c r="AM696" s="206">
        <v>2</v>
      </c>
      <c r="AN696" s="206" t="s">
        <v>1325</v>
      </c>
      <c r="AO696" s="206" t="str">
        <f>Translations!$B$928</f>
        <v>2b</v>
      </c>
      <c r="AP696" s="206">
        <v>3</v>
      </c>
    </row>
    <row r="697" spans="1:42" ht="12.75" customHeight="1" outlineLevel="1" x14ac:dyDescent="0.2">
      <c r="A697" s="21">
        <v>1</v>
      </c>
      <c r="B697" s="611" t="str">
        <f t="shared" ref="B697:D716" si="118">B625</f>
        <v>Combustion of fuels</v>
      </c>
      <c r="C697" s="17" t="str">
        <f t="shared" si="118"/>
        <v>Combustion</v>
      </c>
      <c r="D697" s="17" t="str">
        <f t="shared" si="118"/>
        <v>Commercial standard fuels</v>
      </c>
      <c r="E697" s="17"/>
      <c r="F697" s="151" t="str">
        <f t="shared" ref="F697:F728" si="119">F625</f>
        <v>Standard method: Fuel, Article 24(1)</v>
      </c>
      <c r="G697" s="103" t="str">
        <f t="shared" ref="G697:G709" si="120">EUconst_NA</f>
        <v>n.a.</v>
      </c>
      <c r="H697" s="149"/>
      <c r="I697" s="149"/>
      <c r="J697" s="151"/>
      <c r="K697" s="151"/>
      <c r="L697" s="149"/>
      <c r="M697" s="149"/>
      <c r="N697" s="149"/>
      <c r="O697" s="150"/>
      <c r="P697" s="103" t="str">
        <f t="shared" ref="P697:P705" si="121">G697</f>
        <v>n.a.</v>
      </c>
      <c r="Q697" s="147" t="str">
        <f>C697 &amp; ": " &amp;D697</f>
        <v>Combustion: Commercial standard fuels</v>
      </c>
      <c r="R697" s="17"/>
      <c r="S697" s="17" t="str">
        <f t="shared" ref="S697:S729" si="122">EUconst_CNTR_ConversionFactor&amp;Q697</f>
        <v>ConvF_Combustion: Commercial standard fuels</v>
      </c>
      <c r="Z697" s="21" t="b">
        <f t="shared" ref="Z697:Z757" si="123">IF(G697=EUconst_NA,TRUE,FALSE)</f>
        <v>1</v>
      </c>
      <c r="AL697" s="624" t="s">
        <v>992</v>
      </c>
      <c r="AM697" s="624" t="s">
        <v>992</v>
      </c>
      <c r="AN697" s="624" t="s">
        <v>992</v>
      </c>
      <c r="AO697" s="624" t="s">
        <v>992</v>
      </c>
      <c r="AP697" s="624" t="s">
        <v>992</v>
      </c>
    </row>
    <row r="698" spans="1:42" ht="12.75" customHeight="1" outlineLevel="1" x14ac:dyDescent="0.2">
      <c r="A698" s="21">
        <v>2</v>
      </c>
      <c r="B698" s="611" t="str">
        <f t="shared" si="118"/>
        <v>Combustion of fuels</v>
      </c>
      <c r="C698" s="17" t="str">
        <f t="shared" si="118"/>
        <v>Combustion</v>
      </c>
      <c r="D698" s="17" t="str">
        <f t="shared" si="118"/>
        <v>Other gaseous &amp; liquid fuels</v>
      </c>
      <c r="E698" s="17"/>
      <c r="F698" s="151" t="str">
        <f t="shared" si="119"/>
        <v>Standard method: Fuel, Article 24(1)</v>
      </c>
      <c r="G698" s="103" t="str">
        <f t="shared" si="120"/>
        <v>n.a.</v>
      </c>
      <c r="H698" s="149"/>
      <c r="I698" s="149"/>
      <c r="J698" s="151"/>
      <c r="K698" s="151"/>
      <c r="L698" s="149"/>
      <c r="M698" s="149"/>
      <c r="N698" s="149"/>
      <c r="O698" s="150"/>
      <c r="P698" s="103" t="str">
        <f t="shared" si="121"/>
        <v>n.a.</v>
      </c>
      <c r="Q698" s="147" t="str">
        <f t="shared" ref="Q698:Q757" si="124">C698 &amp; ": " &amp;D698</f>
        <v>Combustion: Other gaseous &amp; liquid fuels</v>
      </c>
      <c r="R698" s="17"/>
      <c r="S698" s="17" t="str">
        <f t="shared" si="122"/>
        <v>ConvF_Combustion: Other gaseous &amp; liquid fuels</v>
      </c>
      <c r="Z698" s="21" t="b">
        <f t="shared" si="123"/>
        <v>1</v>
      </c>
      <c r="AL698" s="624" t="s">
        <v>992</v>
      </c>
      <c r="AM698" s="624" t="s">
        <v>992</v>
      </c>
      <c r="AN698" s="624" t="s">
        <v>992</v>
      </c>
      <c r="AO698" s="624" t="s">
        <v>992</v>
      </c>
      <c r="AP698" s="624" t="s">
        <v>992</v>
      </c>
    </row>
    <row r="699" spans="1:42" ht="12.75" customHeight="1" outlineLevel="1" x14ac:dyDescent="0.2">
      <c r="A699" s="21">
        <v>3</v>
      </c>
      <c r="B699" s="611" t="str">
        <f t="shared" si="118"/>
        <v>Combustion of fuels</v>
      </c>
      <c r="C699" s="17" t="str">
        <f t="shared" si="118"/>
        <v>Combustion</v>
      </c>
      <c r="D699" s="17" t="str">
        <f t="shared" si="118"/>
        <v>Solid fuels, excluding waste</v>
      </c>
      <c r="E699" s="17"/>
      <c r="F699" s="151" t="str">
        <f t="shared" si="119"/>
        <v>Standard method: Fuel, Article 24(1)</v>
      </c>
      <c r="G699" s="103" t="str">
        <f t="shared" si="120"/>
        <v>n.a.</v>
      </c>
      <c r="H699" s="149"/>
      <c r="I699" s="149"/>
      <c r="J699" s="151"/>
      <c r="K699" s="151"/>
      <c r="L699" s="149"/>
      <c r="M699" s="149"/>
      <c r="N699" s="149"/>
      <c r="O699" s="150"/>
      <c r="P699" s="103" t="str">
        <f t="shared" si="121"/>
        <v>n.a.</v>
      </c>
      <c r="Q699" s="147" t="str">
        <f t="shared" si="124"/>
        <v>Combustion: Solid fuels, excluding waste</v>
      </c>
      <c r="R699" s="17"/>
      <c r="S699" s="17" t="str">
        <f t="shared" si="122"/>
        <v>ConvF_Combustion: Solid fuels, excluding waste</v>
      </c>
      <c r="Z699" s="21" t="b">
        <f t="shared" si="123"/>
        <v>1</v>
      </c>
      <c r="AL699" s="624" t="s">
        <v>992</v>
      </c>
      <c r="AM699" s="624" t="s">
        <v>992</v>
      </c>
      <c r="AN699" s="624" t="s">
        <v>992</v>
      </c>
      <c r="AO699" s="624" t="s">
        <v>992</v>
      </c>
      <c r="AP699" s="624" t="s">
        <v>992</v>
      </c>
    </row>
    <row r="700" spans="1:42" ht="12.75" customHeight="1" outlineLevel="1" x14ac:dyDescent="0.2">
      <c r="A700" s="21">
        <v>4</v>
      </c>
      <c r="B700" s="611" t="str">
        <f t="shared" si="118"/>
        <v>Combustion of fuels</v>
      </c>
      <c r="C700" s="17" t="str">
        <f t="shared" si="118"/>
        <v>Combustion</v>
      </c>
      <c r="D700" s="17" t="str">
        <f t="shared" si="118"/>
        <v>Waste</v>
      </c>
      <c r="E700" s="17"/>
      <c r="F700" s="151" t="str">
        <f t="shared" si="119"/>
        <v>Standard method: Fuel, Article 24(1)</v>
      </c>
      <c r="G700" s="103" t="str">
        <f t="shared" si="120"/>
        <v>n.a.</v>
      </c>
      <c r="H700" s="149"/>
      <c r="I700" s="149"/>
      <c r="J700" s="151"/>
      <c r="K700" s="151"/>
      <c r="L700" s="149"/>
      <c r="M700" s="149"/>
      <c r="N700" s="149"/>
      <c r="O700" s="150"/>
      <c r="P700" s="103" t="str">
        <f>G700</f>
        <v>n.a.</v>
      </c>
      <c r="Q700" s="147" t="str">
        <f>C700 &amp; ": " &amp;D700</f>
        <v>Combustion: Waste</v>
      </c>
      <c r="R700" s="17"/>
      <c r="S700" s="17" t="str">
        <f>EUconst_CNTR_ConversionFactor&amp;Q700</f>
        <v>ConvF_Combustion: Waste</v>
      </c>
      <c r="Z700" s="21" t="b">
        <f>IF(G700=EUconst_NA,TRUE,FALSE)</f>
        <v>1</v>
      </c>
      <c r="AL700" s="624" t="s">
        <v>992</v>
      </c>
      <c r="AM700" s="624" t="s">
        <v>992</v>
      </c>
      <c r="AN700" s="624" t="s">
        <v>992</v>
      </c>
      <c r="AO700" s="624" t="s">
        <v>992</v>
      </c>
      <c r="AP700" s="624" t="s">
        <v>992</v>
      </c>
    </row>
    <row r="701" spans="1:42" ht="12.75" customHeight="1" outlineLevel="1" x14ac:dyDescent="0.2">
      <c r="A701" s="21">
        <v>5</v>
      </c>
      <c r="B701" s="611" t="str">
        <f t="shared" si="118"/>
        <v>Combustion of fuels</v>
      </c>
      <c r="C701" s="17" t="str">
        <f t="shared" si="118"/>
        <v>Combustion</v>
      </c>
      <c r="D701" s="17" t="str">
        <f t="shared" si="118"/>
        <v>Gas Processing Terminals</v>
      </c>
      <c r="E701" s="17"/>
      <c r="F701" s="151" t="str">
        <f t="shared" si="119"/>
        <v>Mass balance method, Article 25</v>
      </c>
      <c r="G701" s="103" t="str">
        <f t="shared" si="120"/>
        <v>n.a.</v>
      </c>
      <c r="H701" s="149"/>
      <c r="I701" s="149"/>
      <c r="J701" s="151"/>
      <c r="K701" s="151"/>
      <c r="L701" s="149"/>
      <c r="M701" s="149"/>
      <c r="N701" s="149"/>
      <c r="O701" s="150"/>
      <c r="P701" s="103" t="str">
        <f t="shared" si="121"/>
        <v>n.a.</v>
      </c>
      <c r="Q701" s="147" t="str">
        <f t="shared" si="124"/>
        <v>Combustion: Gas Processing Terminals</v>
      </c>
      <c r="R701" s="17"/>
      <c r="S701" s="17" t="str">
        <f t="shared" si="122"/>
        <v>ConvF_Combustion: Gas Processing Terminals</v>
      </c>
      <c r="W701" s="226"/>
      <c r="Z701" s="21" t="b">
        <f t="shared" si="123"/>
        <v>1</v>
      </c>
      <c r="AL701" s="624" t="s">
        <v>992</v>
      </c>
      <c r="AM701" s="624" t="s">
        <v>992</v>
      </c>
      <c r="AN701" s="624" t="s">
        <v>992</v>
      </c>
      <c r="AO701" s="624" t="s">
        <v>992</v>
      </c>
      <c r="AP701" s="624" t="s">
        <v>992</v>
      </c>
    </row>
    <row r="702" spans="1:42" ht="12.75" customHeight="1" outlineLevel="1" x14ac:dyDescent="0.2">
      <c r="A702" s="21">
        <v>6</v>
      </c>
      <c r="B702" s="611" t="str">
        <f t="shared" si="118"/>
        <v>Combustion of fuels</v>
      </c>
      <c r="C702" s="17" t="str">
        <f t="shared" si="118"/>
        <v>Combustion</v>
      </c>
      <c r="D702" s="17" t="str">
        <f t="shared" si="118"/>
        <v>Flares</v>
      </c>
      <c r="E702" s="17"/>
      <c r="F702" s="151" t="str">
        <f t="shared" si="119"/>
        <v>Standard method: Fuel, Article 24(1)</v>
      </c>
      <c r="G702" s="103" t="str">
        <f t="shared" si="120"/>
        <v>n.a.</v>
      </c>
      <c r="H702" s="149"/>
      <c r="I702" s="149"/>
      <c r="J702" s="151"/>
      <c r="K702" s="151"/>
      <c r="L702" s="149"/>
      <c r="M702" s="149"/>
      <c r="N702" s="149"/>
      <c r="O702" s="150"/>
      <c r="P702" s="103" t="str">
        <f t="shared" si="121"/>
        <v>n.a.</v>
      </c>
      <c r="Q702" s="147" t="str">
        <f t="shared" si="124"/>
        <v>Combustion: Flares</v>
      </c>
      <c r="R702" s="17"/>
      <c r="S702" s="17" t="str">
        <f t="shared" si="122"/>
        <v>ConvF_Combustion: Flares</v>
      </c>
      <c r="Z702" s="21" t="b">
        <f t="shared" si="123"/>
        <v>1</v>
      </c>
      <c r="AL702" s="624" t="s">
        <v>992</v>
      </c>
      <c r="AM702" s="624" t="s">
        <v>992</v>
      </c>
      <c r="AN702" s="624" t="s">
        <v>992</v>
      </c>
      <c r="AO702" s="624" t="s">
        <v>992</v>
      </c>
      <c r="AP702" s="624" t="s">
        <v>992</v>
      </c>
    </row>
    <row r="703" spans="1:42" ht="12.75" customHeight="1" outlineLevel="1" x14ac:dyDescent="0.2">
      <c r="A703" s="21">
        <v>7</v>
      </c>
      <c r="B703" s="611" t="str">
        <f t="shared" si="118"/>
        <v>Combustion of fuels</v>
      </c>
      <c r="C703" s="17" t="str">
        <f t="shared" si="118"/>
        <v>Combustion</v>
      </c>
      <c r="D703" s="17" t="str">
        <f t="shared" si="118"/>
        <v>Scrubbing (carbonate)</v>
      </c>
      <c r="E703" s="17"/>
      <c r="F703" s="151" t="str">
        <f t="shared" si="119"/>
        <v>Standard method: Process, Article 24(2)</v>
      </c>
      <c r="G703" s="103" t="str">
        <f t="shared" si="120"/>
        <v>n.a.</v>
      </c>
      <c r="H703" s="149"/>
      <c r="I703" s="149"/>
      <c r="J703" s="151"/>
      <c r="K703" s="151"/>
      <c r="L703" s="149"/>
      <c r="M703" s="149"/>
      <c r="N703" s="149"/>
      <c r="O703" s="150"/>
      <c r="P703" s="103" t="str">
        <f t="shared" si="121"/>
        <v>n.a.</v>
      </c>
      <c r="Q703" s="147" t="str">
        <f t="shared" si="124"/>
        <v>Combustion: Scrubbing (carbonate)</v>
      </c>
      <c r="R703" s="17"/>
      <c r="S703" s="17" t="str">
        <f t="shared" si="122"/>
        <v>ConvF_Combustion: Scrubbing (carbonate)</v>
      </c>
      <c r="Z703" s="21" t="b">
        <f t="shared" si="123"/>
        <v>1</v>
      </c>
      <c r="AL703" s="624" t="s">
        <v>992</v>
      </c>
      <c r="AM703" s="624" t="s">
        <v>992</v>
      </c>
      <c r="AN703" s="624" t="s">
        <v>992</v>
      </c>
      <c r="AO703" s="624" t="s">
        <v>992</v>
      </c>
      <c r="AP703" s="624" t="s">
        <v>992</v>
      </c>
    </row>
    <row r="704" spans="1:42" ht="12.75" customHeight="1" outlineLevel="1" x14ac:dyDescent="0.2">
      <c r="A704" s="21">
        <v>8</v>
      </c>
      <c r="B704" s="611" t="str">
        <f t="shared" si="118"/>
        <v>Combustion of fuels</v>
      </c>
      <c r="C704" s="17" t="str">
        <f t="shared" si="118"/>
        <v>Combustion</v>
      </c>
      <c r="D704" s="17" t="str">
        <f t="shared" si="118"/>
        <v>Scrubbing (gypsum)</v>
      </c>
      <c r="E704" s="17"/>
      <c r="F704" s="151" t="str">
        <f t="shared" si="119"/>
        <v>Standard method: Process, Article 24(2)</v>
      </c>
      <c r="G704" s="103" t="str">
        <f t="shared" si="120"/>
        <v>n.a.</v>
      </c>
      <c r="H704" s="149"/>
      <c r="I704" s="149"/>
      <c r="J704" s="151"/>
      <c r="K704" s="151"/>
      <c r="L704" s="149"/>
      <c r="M704" s="149"/>
      <c r="N704" s="149"/>
      <c r="O704" s="150"/>
      <c r="P704" s="103" t="str">
        <f t="shared" si="121"/>
        <v>n.a.</v>
      </c>
      <c r="Q704" s="147" t="str">
        <f t="shared" si="124"/>
        <v>Combustion: Scrubbing (gypsum)</v>
      </c>
      <c r="R704" s="17"/>
      <c r="S704" s="17" t="str">
        <f t="shared" si="122"/>
        <v>ConvF_Combustion: Scrubbing (gypsum)</v>
      </c>
      <c r="Z704" s="21" t="b">
        <f t="shared" si="123"/>
        <v>1</v>
      </c>
      <c r="AL704" s="624" t="s">
        <v>992</v>
      </c>
      <c r="AM704" s="624" t="s">
        <v>992</v>
      </c>
      <c r="AN704" s="624" t="s">
        <v>992</v>
      </c>
      <c r="AO704" s="624" t="s">
        <v>992</v>
      </c>
      <c r="AP704" s="624" t="s">
        <v>992</v>
      </c>
    </row>
    <row r="705" spans="1:42" ht="12.75" customHeight="1" outlineLevel="1" x14ac:dyDescent="0.2">
      <c r="A705" s="21">
        <v>9</v>
      </c>
      <c r="B705" s="611" t="str">
        <f t="shared" si="118"/>
        <v>Combustion of fuels</v>
      </c>
      <c r="C705" s="17" t="str">
        <f t="shared" si="118"/>
        <v>Combustion</v>
      </c>
      <c r="D705" s="17" t="str">
        <f t="shared" si="118"/>
        <v>Scrubbing (urea)</v>
      </c>
      <c r="E705" s="17"/>
      <c r="F705" s="151" t="str">
        <f t="shared" si="119"/>
        <v>Standard method: Process, Article 24(2)</v>
      </c>
      <c r="G705" s="103" t="str">
        <f t="shared" si="120"/>
        <v>n.a.</v>
      </c>
      <c r="H705" s="149"/>
      <c r="I705" s="149"/>
      <c r="J705" s="151"/>
      <c r="K705" s="151"/>
      <c r="L705" s="149"/>
      <c r="M705" s="149"/>
      <c r="N705" s="149"/>
      <c r="O705" s="150"/>
      <c r="P705" s="103" t="str">
        <f t="shared" si="121"/>
        <v>n.a.</v>
      </c>
      <c r="Q705" s="147" t="str">
        <f t="shared" si="124"/>
        <v>Combustion: Scrubbing (urea)</v>
      </c>
      <c r="R705" s="17"/>
      <c r="S705" s="17" t="str">
        <f t="shared" si="122"/>
        <v>ConvF_Combustion: Scrubbing (urea)</v>
      </c>
      <c r="Z705" s="21" t="b">
        <f t="shared" si="123"/>
        <v>1</v>
      </c>
      <c r="AL705" s="624" t="s">
        <v>992</v>
      </c>
      <c r="AM705" s="624" t="s">
        <v>992</v>
      </c>
      <c r="AN705" s="624" t="s">
        <v>992</v>
      </c>
      <c r="AO705" s="624" t="s">
        <v>992</v>
      </c>
      <c r="AP705" s="624" t="s">
        <v>992</v>
      </c>
    </row>
    <row r="706" spans="1:42" ht="12.75" customHeight="1" outlineLevel="1" x14ac:dyDescent="0.2">
      <c r="A706" s="21">
        <v>10</v>
      </c>
      <c r="B706" s="611" t="str">
        <f t="shared" si="118"/>
        <v xml:space="preserve">Refining of oil </v>
      </c>
      <c r="C706" s="17" t="str">
        <f t="shared" si="118"/>
        <v>Refineries</v>
      </c>
      <c r="D706" s="17" t="str">
        <f t="shared" si="118"/>
        <v>Mass balance</v>
      </c>
      <c r="E706" s="17"/>
      <c r="F706" s="151" t="str">
        <f t="shared" si="119"/>
        <v>Mass balance method, Article 25</v>
      </c>
      <c r="G706" s="103" t="str">
        <f t="shared" si="120"/>
        <v>n.a.</v>
      </c>
      <c r="H706" s="149"/>
      <c r="I706" s="149"/>
      <c r="J706" s="151"/>
      <c r="K706" s="151"/>
      <c r="L706" s="149"/>
      <c r="M706" s="149"/>
      <c r="N706" s="149"/>
      <c r="O706" s="150"/>
      <c r="P706" s="103" t="str">
        <f>G706</f>
        <v>n.a.</v>
      </c>
      <c r="Q706" s="147" t="str">
        <f t="shared" si="124"/>
        <v>Refineries: Mass balance</v>
      </c>
      <c r="R706" s="17"/>
      <c r="S706" s="17" t="str">
        <f t="shared" si="122"/>
        <v>ConvF_Refineries: Mass balance</v>
      </c>
      <c r="W706" s="226"/>
      <c r="Z706" s="21" t="b">
        <f t="shared" si="123"/>
        <v>1</v>
      </c>
      <c r="AL706" s="624" t="s">
        <v>992</v>
      </c>
      <c r="AM706" s="624" t="s">
        <v>992</v>
      </c>
      <c r="AN706" s="624" t="s">
        <v>992</v>
      </c>
      <c r="AO706" s="624" t="s">
        <v>992</v>
      </c>
      <c r="AP706" s="624" t="s">
        <v>992</v>
      </c>
    </row>
    <row r="707" spans="1:42" ht="12.75" customHeight="1" outlineLevel="1" x14ac:dyDescent="0.2">
      <c r="A707" s="21">
        <v>11</v>
      </c>
      <c r="B707" s="611" t="str">
        <f t="shared" si="118"/>
        <v xml:space="preserve">Refining of mineral oil </v>
      </c>
      <c r="C707" s="17" t="str">
        <f t="shared" si="118"/>
        <v>Refineries</v>
      </c>
      <c r="D707" s="17" t="str">
        <f t="shared" si="118"/>
        <v>Catalytic cracker regeneration</v>
      </c>
      <c r="E707" s="17"/>
      <c r="F707" s="151" t="str">
        <f t="shared" si="119"/>
        <v>Mass balance method, Article 25</v>
      </c>
      <c r="G707" s="103" t="str">
        <f t="shared" si="120"/>
        <v>n.a.</v>
      </c>
      <c r="H707" s="149"/>
      <c r="I707" s="149"/>
      <c r="J707" s="151"/>
      <c r="K707" s="151"/>
      <c r="L707" s="149"/>
      <c r="M707" s="149"/>
      <c r="N707" s="149"/>
      <c r="O707" s="150"/>
      <c r="P707" s="103" t="str">
        <f>G707</f>
        <v>n.a.</v>
      </c>
      <c r="Q707" s="147" t="str">
        <f t="shared" si="124"/>
        <v>Refineries: Catalytic cracker regeneration</v>
      </c>
      <c r="R707" s="17"/>
      <c r="S707" s="17" t="str">
        <f t="shared" si="122"/>
        <v>ConvF_Refineries: Catalytic cracker regeneration</v>
      </c>
      <c r="Z707" s="21" t="b">
        <f t="shared" si="123"/>
        <v>1</v>
      </c>
      <c r="AL707" s="624" t="s">
        <v>992</v>
      </c>
      <c r="AM707" s="624" t="s">
        <v>992</v>
      </c>
      <c r="AN707" s="624" t="s">
        <v>992</v>
      </c>
      <c r="AO707" s="624" t="s">
        <v>992</v>
      </c>
      <c r="AP707" s="624" t="s">
        <v>992</v>
      </c>
    </row>
    <row r="708" spans="1:42" ht="12.75" customHeight="1" outlineLevel="1" x14ac:dyDescent="0.2">
      <c r="A708" s="21">
        <v>12</v>
      </c>
      <c r="B708" s="611" t="str">
        <f t="shared" si="118"/>
        <v xml:space="preserve">Refining of mineral oil </v>
      </c>
      <c r="C708" s="17" t="str">
        <f t="shared" si="118"/>
        <v>Refineries</v>
      </c>
      <c r="D708" s="17" t="str">
        <f t="shared" si="118"/>
        <v>Hydrogen production</v>
      </c>
      <c r="E708" s="610"/>
      <c r="F708" s="151" t="str">
        <f t="shared" si="119"/>
        <v>Mass balance method, Article 25</v>
      </c>
      <c r="G708" s="103" t="str">
        <f t="shared" si="120"/>
        <v>n.a.</v>
      </c>
      <c r="H708" s="149"/>
      <c r="I708" s="149"/>
      <c r="J708" s="151"/>
      <c r="K708" s="151"/>
      <c r="L708" s="149"/>
      <c r="M708" s="149"/>
      <c r="N708" s="149"/>
      <c r="O708" s="150"/>
      <c r="P708" s="103" t="str">
        <f>G708</f>
        <v>n.a.</v>
      </c>
      <c r="Q708" s="147" t="str">
        <f t="shared" si="124"/>
        <v>Refineries: Hydrogen production</v>
      </c>
      <c r="R708" s="17"/>
      <c r="S708" s="17" t="str">
        <f t="shared" si="122"/>
        <v>ConvF_Refineries: Hydrogen production</v>
      </c>
      <c r="X708" s="69"/>
      <c r="Z708" s="21" t="b">
        <f t="shared" si="123"/>
        <v>1</v>
      </c>
      <c r="AL708" s="624" t="s">
        <v>992</v>
      </c>
      <c r="AM708" s="624" t="s">
        <v>992</v>
      </c>
      <c r="AN708" s="624" t="s">
        <v>992</v>
      </c>
      <c r="AO708" s="624" t="s">
        <v>992</v>
      </c>
      <c r="AP708" s="624" t="s">
        <v>992</v>
      </c>
    </row>
    <row r="709" spans="1:42" ht="12.75" customHeight="1" outlineLevel="1" x14ac:dyDescent="0.2">
      <c r="A709" s="21">
        <v>13</v>
      </c>
      <c r="B709" s="611" t="str">
        <f t="shared" si="118"/>
        <v>Production of coke</v>
      </c>
      <c r="C709" s="17" t="str">
        <f t="shared" si="118"/>
        <v>Coke</v>
      </c>
      <c r="D709" s="17" t="str">
        <f t="shared" si="118"/>
        <v>Fuel as process input</v>
      </c>
      <c r="E709" s="17"/>
      <c r="F709" s="151" t="str">
        <f t="shared" si="119"/>
        <v>Standard method: Fuel, Article 24(1)</v>
      </c>
      <c r="G709" s="103" t="str">
        <f t="shared" si="120"/>
        <v>n.a.</v>
      </c>
      <c r="H709" s="149"/>
      <c r="I709" s="149"/>
      <c r="J709" s="151"/>
      <c r="K709" s="151"/>
      <c r="L709" s="149"/>
      <c r="M709" s="149"/>
      <c r="N709" s="149"/>
      <c r="O709" s="150"/>
      <c r="P709" s="103" t="str">
        <f>G709</f>
        <v>n.a.</v>
      </c>
      <c r="Q709" s="147" t="str">
        <f t="shared" si="124"/>
        <v>Coke: Fuel as process input</v>
      </c>
      <c r="R709" s="17"/>
      <c r="S709" s="17" t="str">
        <f t="shared" si="122"/>
        <v>ConvF_Coke: Fuel as process input</v>
      </c>
      <c r="W709" s="226"/>
      <c r="X709" s="69"/>
      <c r="Z709" s="21" t="b">
        <f t="shared" si="123"/>
        <v>1</v>
      </c>
      <c r="AL709" s="624" t="s">
        <v>992</v>
      </c>
      <c r="AM709" s="624" t="s">
        <v>992</v>
      </c>
      <c r="AN709" s="624" t="s">
        <v>992</v>
      </c>
      <c r="AO709" s="624" t="s">
        <v>992</v>
      </c>
      <c r="AP709" s="624" t="s">
        <v>992</v>
      </c>
    </row>
    <row r="710" spans="1:42" ht="12.75" customHeight="1" outlineLevel="1" x14ac:dyDescent="0.2">
      <c r="A710" s="21">
        <v>14</v>
      </c>
      <c r="B710" s="611" t="str">
        <f t="shared" si="118"/>
        <v>Production of coke</v>
      </c>
      <c r="C710" s="17" t="str">
        <f t="shared" si="118"/>
        <v>Coke</v>
      </c>
      <c r="D710" s="17" t="str">
        <f t="shared" si="118"/>
        <v>Process (method A): carbonate only</v>
      </c>
      <c r="E710" s="602"/>
      <c r="F710" s="151" t="str">
        <f t="shared" si="119"/>
        <v>Standard method: Process, Article 24(2)</v>
      </c>
      <c r="G710" s="103">
        <v>1</v>
      </c>
      <c r="H710" s="149" t="str">
        <f>Translations!$B$1127</f>
        <v>Default value CF=1</v>
      </c>
      <c r="I710" s="149" t="str">
        <f>Translations!$B$527</f>
        <v>Laboratory analyses</v>
      </c>
      <c r="J710" s="151"/>
      <c r="K710" s="151"/>
      <c r="L710" s="149"/>
      <c r="M710" s="149"/>
      <c r="N710" s="149"/>
      <c r="O710" s="150"/>
      <c r="P710" s="103">
        <f t="shared" ref="P710:P752" si="125">G710</f>
        <v>1</v>
      </c>
      <c r="Q710" s="147" t="str">
        <f t="shared" si="124"/>
        <v>Coke: Process (method A): carbonate only</v>
      </c>
      <c r="R710" s="17"/>
      <c r="S710" s="17" t="str">
        <f t="shared" si="122"/>
        <v>ConvF_Coke: Process (method A): carbonate only</v>
      </c>
      <c r="W710" s="226"/>
      <c r="X710" s="69"/>
      <c r="Z710" s="21" t="b">
        <f t="shared" si="123"/>
        <v>0</v>
      </c>
      <c r="AL710" s="624">
        <v>1</v>
      </c>
      <c r="AM710" s="624">
        <v>2</v>
      </c>
      <c r="AN710" s="624" t="s">
        <v>992</v>
      </c>
      <c r="AO710" s="624" t="s">
        <v>992</v>
      </c>
      <c r="AP710" s="624" t="s">
        <v>992</v>
      </c>
    </row>
    <row r="711" spans="1:42" ht="12.75" customHeight="1" outlineLevel="1" x14ac:dyDescent="0.2">
      <c r="A711" s="21">
        <v>15</v>
      </c>
      <c r="B711" s="611" t="str">
        <f t="shared" si="118"/>
        <v>Production of coke</v>
      </c>
      <c r="C711" s="17" t="str">
        <f t="shared" si="118"/>
        <v>Coke</v>
      </c>
      <c r="D711" s="17" t="str">
        <f t="shared" si="118"/>
        <v>Process (method A): mixed (carbonate + non-carbonate)</v>
      </c>
      <c r="E711" s="602"/>
      <c r="F711" s="151" t="str">
        <f t="shared" si="119"/>
        <v>Standard method: Process, Article 24(2)</v>
      </c>
      <c r="G711" s="103">
        <v>1</v>
      </c>
      <c r="H711" s="149" t="str">
        <f>Translations!$B$1127</f>
        <v>Default value CF=1</v>
      </c>
      <c r="I711" s="149" t="str">
        <f>Translations!$B$527</f>
        <v>Laboratory analyses</v>
      </c>
      <c r="J711" s="151"/>
      <c r="K711" s="151"/>
      <c r="L711" s="149"/>
      <c r="M711" s="149"/>
      <c r="N711" s="149"/>
      <c r="O711" s="150"/>
      <c r="P711" s="103">
        <f t="shared" si="125"/>
        <v>1</v>
      </c>
      <c r="Q711" s="147" t="str">
        <f t="shared" si="124"/>
        <v>Coke: Process (method A): mixed (carbonate + non-carbonate)</v>
      </c>
      <c r="R711" s="17"/>
      <c r="S711" s="17" t="str">
        <f t="shared" si="122"/>
        <v>ConvF_Coke: Process (method A): mixed (carbonate + non-carbonate)</v>
      </c>
      <c r="W711" s="226"/>
      <c r="X711" s="69"/>
      <c r="Z711" s="21" t="b">
        <f t="shared" si="123"/>
        <v>0</v>
      </c>
      <c r="AL711" s="624">
        <v>1</v>
      </c>
      <c r="AM711" s="624">
        <v>2</v>
      </c>
      <c r="AN711" s="624" t="s">
        <v>992</v>
      </c>
      <c r="AO711" s="624" t="s">
        <v>992</v>
      </c>
      <c r="AP711" s="624" t="s">
        <v>992</v>
      </c>
    </row>
    <row r="712" spans="1:42" ht="12.75" customHeight="1" outlineLevel="1" x14ac:dyDescent="0.2">
      <c r="A712" s="21">
        <v>16</v>
      </c>
      <c r="B712" s="611" t="str">
        <f t="shared" si="118"/>
        <v>Production of coke</v>
      </c>
      <c r="C712" s="17" t="str">
        <f t="shared" si="118"/>
        <v>Coke</v>
      </c>
      <c r="D712" s="17" t="str">
        <f t="shared" si="118"/>
        <v>Process (method A): non-carbonate</v>
      </c>
      <c r="E712" s="602"/>
      <c r="F712" s="151" t="str">
        <f t="shared" si="119"/>
        <v>Standard method: Process, Article 24(2)</v>
      </c>
      <c r="G712" s="103">
        <v>1</v>
      </c>
      <c r="H712" s="149" t="str">
        <f>Translations!$B$1127</f>
        <v>Default value CF=1</v>
      </c>
      <c r="I712" s="149" t="str">
        <f>Translations!$B$527</f>
        <v>Laboratory analyses</v>
      </c>
      <c r="J712" s="151"/>
      <c r="K712" s="151"/>
      <c r="L712" s="149"/>
      <c r="M712" s="149"/>
      <c r="N712" s="149"/>
      <c r="O712" s="150"/>
      <c r="P712" s="103">
        <f t="shared" si="125"/>
        <v>1</v>
      </c>
      <c r="Q712" s="147" t="str">
        <f t="shared" si="124"/>
        <v>Coke: Process (method A): non-carbonate</v>
      </c>
      <c r="R712" s="17"/>
      <c r="S712" s="17" t="str">
        <f t="shared" si="122"/>
        <v>ConvF_Coke: Process (method A): non-carbonate</v>
      </c>
      <c r="W712" s="226"/>
      <c r="X712" s="69"/>
      <c r="Z712" s="21" t="b">
        <f t="shared" si="123"/>
        <v>0</v>
      </c>
      <c r="AL712" s="624">
        <v>1</v>
      </c>
      <c r="AM712" s="624">
        <v>2</v>
      </c>
      <c r="AN712" s="624" t="s">
        <v>992</v>
      </c>
      <c r="AO712" s="624" t="s">
        <v>992</v>
      </c>
      <c r="AP712" s="624" t="s">
        <v>992</v>
      </c>
    </row>
    <row r="713" spans="1:42" ht="12.75" customHeight="1" outlineLevel="1" x14ac:dyDescent="0.2">
      <c r="A713" s="21">
        <v>17</v>
      </c>
      <c r="B713" s="611" t="str">
        <f t="shared" si="118"/>
        <v>Production of coke</v>
      </c>
      <c r="C713" s="17" t="str">
        <f t="shared" si="118"/>
        <v>Coke</v>
      </c>
      <c r="D713" s="17" t="str">
        <f t="shared" si="118"/>
        <v>Process (method B): oxide output</v>
      </c>
      <c r="E713" s="610"/>
      <c r="F713" s="151" t="str">
        <f t="shared" si="119"/>
        <v>Standard method: Process, Article 24(2)</v>
      </c>
      <c r="G713" s="103">
        <v>1</v>
      </c>
      <c r="H713" s="149" t="str">
        <f>Translations!$B$1127</f>
        <v>Default value CF=1</v>
      </c>
      <c r="I713" s="149" t="str">
        <f>Translations!$B$527</f>
        <v>Laboratory analyses</v>
      </c>
      <c r="J713" s="151"/>
      <c r="K713" s="151"/>
      <c r="L713" s="149"/>
      <c r="M713" s="149"/>
      <c r="N713" s="149"/>
      <c r="O713" s="150"/>
      <c r="P713" s="103">
        <f t="shared" si="125"/>
        <v>1</v>
      </c>
      <c r="Q713" s="147" t="str">
        <f t="shared" si="124"/>
        <v>Coke: Process (method B): oxide output</v>
      </c>
      <c r="R713" s="17"/>
      <c r="S713" s="17" t="str">
        <f t="shared" si="122"/>
        <v>ConvF_Coke: Process (method B): oxide output</v>
      </c>
      <c r="W713" s="226"/>
      <c r="X713" s="69"/>
      <c r="Z713" s="21" t="b">
        <f t="shared" si="123"/>
        <v>0</v>
      </c>
      <c r="AL713" s="624">
        <v>1</v>
      </c>
      <c r="AM713" s="624">
        <v>2</v>
      </c>
      <c r="AN713" s="624" t="s">
        <v>992</v>
      </c>
      <c r="AO713" s="624" t="s">
        <v>992</v>
      </c>
      <c r="AP713" s="624" t="s">
        <v>992</v>
      </c>
    </row>
    <row r="714" spans="1:42" ht="12.75" customHeight="1" outlineLevel="1" x14ac:dyDescent="0.2">
      <c r="A714" s="21">
        <v>18</v>
      </c>
      <c r="B714" s="611" t="str">
        <f t="shared" si="118"/>
        <v>Production of coke</v>
      </c>
      <c r="C714" s="17" t="str">
        <f t="shared" si="118"/>
        <v>Coke</v>
      </c>
      <c r="D714" s="17" t="str">
        <f t="shared" si="118"/>
        <v>Mass balance</v>
      </c>
      <c r="E714" s="17"/>
      <c r="F714" s="151" t="str">
        <f t="shared" si="119"/>
        <v>Mass balance method, Article 25</v>
      </c>
      <c r="G714" s="103" t="str">
        <f>EUconst_NA</f>
        <v>n.a.</v>
      </c>
      <c r="H714" s="149"/>
      <c r="I714" s="149"/>
      <c r="J714" s="151"/>
      <c r="K714" s="151"/>
      <c r="L714" s="149"/>
      <c r="M714" s="149"/>
      <c r="N714" s="149"/>
      <c r="O714" s="150"/>
      <c r="P714" s="103" t="str">
        <f t="shared" si="125"/>
        <v>n.a.</v>
      </c>
      <c r="Q714" s="147" t="str">
        <f t="shared" si="124"/>
        <v>Coke: Mass balance</v>
      </c>
      <c r="R714" s="17"/>
      <c r="S714" s="17" t="str">
        <f t="shared" si="122"/>
        <v>ConvF_Coke: Mass balance</v>
      </c>
      <c r="X714" s="69"/>
      <c r="Z714" s="21" t="b">
        <f t="shared" si="123"/>
        <v>1</v>
      </c>
      <c r="AL714" s="624" t="s">
        <v>992</v>
      </c>
      <c r="AM714" s="624" t="s">
        <v>992</v>
      </c>
      <c r="AN714" s="624" t="s">
        <v>992</v>
      </c>
      <c r="AO714" s="624" t="s">
        <v>992</v>
      </c>
      <c r="AP714" s="624" t="s">
        <v>992</v>
      </c>
    </row>
    <row r="715" spans="1:42" ht="12.75" customHeight="1" outlineLevel="1" x14ac:dyDescent="0.2">
      <c r="A715" s="21">
        <v>19</v>
      </c>
      <c r="B715" s="611" t="str">
        <f t="shared" si="118"/>
        <v>Metal ore roasting or sintering</v>
      </c>
      <c r="C715" s="17" t="str">
        <f t="shared" si="118"/>
        <v>Metal ore</v>
      </c>
      <c r="D715" s="17" t="str">
        <f t="shared" si="118"/>
        <v>Process (method A): carbonate only</v>
      </c>
      <c r="E715" s="602"/>
      <c r="F715" s="151" t="str">
        <f t="shared" si="119"/>
        <v>Standard method: Process, Article 24(2)</v>
      </c>
      <c r="G715" s="103">
        <v>1</v>
      </c>
      <c r="H715" s="149" t="str">
        <f>Translations!$B$1127</f>
        <v>Default value CF=1</v>
      </c>
      <c r="I715" s="149" t="str">
        <f>Translations!$B$527</f>
        <v>Laboratory analyses</v>
      </c>
      <c r="J715" s="151"/>
      <c r="K715" s="151"/>
      <c r="L715" s="149"/>
      <c r="M715" s="149"/>
      <c r="N715" s="149"/>
      <c r="O715" s="150"/>
      <c r="P715" s="103">
        <f t="shared" si="125"/>
        <v>1</v>
      </c>
      <c r="Q715" s="147" t="str">
        <f t="shared" si="124"/>
        <v>Metal ore: Process (method A): carbonate only</v>
      </c>
      <c r="R715" s="17"/>
      <c r="S715" s="17" t="str">
        <f t="shared" si="122"/>
        <v>ConvF_Metal ore: Process (method A): carbonate only</v>
      </c>
      <c r="X715" s="69"/>
      <c r="Z715" s="21" t="b">
        <f t="shared" si="123"/>
        <v>0</v>
      </c>
      <c r="AL715" s="624">
        <v>1</v>
      </c>
      <c r="AM715" s="624">
        <v>2</v>
      </c>
      <c r="AN715" s="624" t="s">
        <v>992</v>
      </c>
      <c r="AO715" s="624" t="s">
        <v>992</v>
      </c>
      <c r="AP715" s="624" t="s">
        <v>992</v>
      </c>
    </row>
    <row r="716" spans="1:42" ht="12.75" customHeight="1" outlineLevel="1" x14ac:dyDescent="0.2">
      <c r="A716" s="21">
        <v>20</v>
      </c>
      <c r="B716" s="611" t="str">
        <f t="shared" si="118"/>
        <v>Metal ore roasting or sintering</v>
      </c>
      <c r="C716" s="17" t="str">
        <f t="shared" si="118"/>
        <v>Metal ore</v>
      </c>
      <c r="D716" s="17" t="str">
        <f t="shared" si="118"/>
        <v>Process (method A): mixed (carbonate + non-carbonate)</v>
      </c>
      <c r="E716" s="602"/>
      <c r="F716" s="151" t="str">
        <f t="shared" si="119"/>
        <v>Standard method: Process, Article 24(2)</v>
      </c>
      <c r="G716" s="103">
        <v>1</v>
      </c>
      <c r="H716" s="149" t="str">
        <f>Translations!$B$1127</f>
        <v>Default value CF=1</v>
      </c>
      <c r="I716" s="149" t="str">
        <f>Translations!$B$527</f>
        <v>Laboratory analyses</v>
      </c>
      <c r="J716" s="151"/>
      <c r="K716" s="151"/>
      <c r="L716" s="149"/>
      <c r="M716" s="149"/>
      <c r="N716" s="149"/>
      <c r="O716" s="150"/>
      <c r="P716" s="103">
        <f t="shared" si="125"/>
        <v>1</v>
      </c>
      <c r="Q716" s="147" t="str">
        <f t="shared" si="124"/>
        <v>Metal ore: Process (method A): mixed (carbonate + non-carbonate)</v>
      </c>
      <c r="R716" s="17"/>
      <c r="S716" s="17" t="str">
        <f t="shared" si="122"/>
        <v>ConvF_Metal ore: Process (method A): mixed (carbonate + non-carbonate)</v>
      </c>
      <c r="W716" s="226"/>
      <c r="X716" s="69"/>
      <c r="Z716" s="21" t="b">
        <f t="shared" si="123"/>
        <v>0</v>
      </c>
      <c r="AL716" s="624">
        <v>1</v>
      </c>
      <c r="AM716" s="624">
        <v>2</v>
      </c>
      <c r="AN716" s="624" t="s">
        <v>992</v>
      </c>
      <c r="AO716" s="624" t="s">
        <v>992</v>
      </c>
      <c r="AP716" s="624" t="s">
        <v>992</v>
      </c>
    </row>
    <row r="717" spans="1:42" ht="12.75" customHeight="1" outlineLevel="1" x14ac:dyDescent="0.2">
      <c r="A717" s="21">
        <v>21</v>
      </c>
      <c r="B717" s="611" t="str">
        <f t="shared" ref="B717:D736" si="126">B645</f>
        <v>Metal ore roasting or sintering</v>
      </c>
      <c r="C717" s="17" t="str">
        <f t="shared" si="126"/>
        <v>Metal ore</v>
      </c>
      <c r="D717" s="17" t="str">
        <f t="shared" si="126"/>
        <v>Process (method A): non-carbonate</v>
      </c>
      <c r="E717" s="602"/>
      <c r="F717" s="151" t="str">
        <f t="shared" si="119"/>
        <v>Standard method: Process, Article 24(2)</v>
      </c>
      <c r="G717" s="103">
        <v>1</v>
      </c>
      <c r="H717" s="149" t="str">
        <f>Translations!$B$1127</f>
        <v>Default value CF=1</v>
      </c>
      <c r="I717" s="149" t="str">
        <f>Translations!$B$527</f>
        <v>Laboratory analyses</v>
      </c>
      <c r="J717" s="151"/>
      <c r="K717" s="151"/>
      <c r="L717" s="149"/>
      <c r="M717" s="149"/>
      <c r="N717" s="149"/>
      <c r="O717" s="150"/>
      <c r="P717" s="103">
        <f t="shared" si="125"/>
        <v>1</v>
      </c>
      <c r="Q717" s="147" t="str">
        <f t="shared" si="124"/>
        <v>Metal ore: Process (method A): non-carbonate</v>
      </c>
      <c r="R717" s="17"/>
      <c r="S717" s="17" t="str">
        <f t="shared" si="122"/>
        <v>ConvF_Metal ore: Process (method A): non-carbonate</v>
      </c>
      <c r="W717" s="226"/>
      <c r="X717" s="69"/>
      <c r="Z717" s="21" t="b">
        <f t="shared" si="123"/>
        <v>0</v>
      </c>
      <c r="AL717" s="624">
        <v>1</v>
      </c>
      <c r="AM717" s="624">
        <v>2</v>
      </c>
      <c r="AN717" s="624" t="s">
        <v>992</v>
      </c>
      <c r="AO717" s="624" t="s">
        <v>992</v>
      </c>
      <c r="AP717" s="624" t="s">
        <v>992</v>
      </c>
    </row>
    <row r="718" spans="1:42" ht="12.75" customHeight="1" outlineLevel="1" x14ac:dyDescent="0.2">
      <c r="A718" s="21">
        <v>22</v>
      </c>
      <c r="B718" s="611" t="str">
        <f t="shared" si="126"/>
        <v>Metal ore roasting or sintering</v>
      </c>
      <c r="C718" s="17" t="str">
        <f t="shared" si="126"/>
        <v>Metal ore</v>
      </c>
      <c r="D718" s="17" t="str">
        <f t="shared" si="126"/>
        <v>Process (method B): oxide output</v>
      </c>
      <c r="E718" s="602"/>
      <c r="F718" s="151" t="str">
        <f t="shared" si="119"/>
        <v>Standard method: Process, Article 24(2)</v>
      </c>
      <c r="G718" s="103">
        <v>1</v>
      </c>
      <c r="H718" s="149" t="str">
        <f>Translations!$B$1127</f>
        <v>Default value CF=1</v>
      </c>
      <c r="I718" s="149" t="str">
        <f>Translations!$B$527</f>
        <v>Laboratory analyses</v>
      </c>
      <c r="J718" s="151"/>
      <c r="K718" s="151"/>
      <c r="L718" s="149"/>
      <c r="M718" s="149"/>
      <c r="N718" s="149"/>
      <c r="O718" s="150"/>
      <c r="P718" s="103">
        <f t="shared" si="125"/>
        <v>1</v>
      </c>
      <c r="Q718" s="147" t="str">
        <f t="shared" si="124"/>
        <v>Metal ore: Process (method B): oxide output</v>
      </c>
      <c r="R718" s="17"/>
      <c r="S718" s="17" t="str">
        <f t="shared" si="122"/>
        <v>ConvF_Metal ore: Process (method B): oxide output</v>
      </c>
      <c r="W718" s="226"/>
      <c r="X718" s="69"/>
      <c r="Z718" s="21" t="b">
        <f t="shared" si="123"/>
        <v>0</v>
      </c>
      <c r="AL718" s="624">
        <v>1</v>
      </c>
      <c r="AM718" s="624">
        <v>2</v>
      </c>
      <c r="AN718" s="624" t="s">
        <v>992</v>
      </c>
      <c r="AO718" s="624" t="s">
        <v>992</v>
      </c>
      <c r="AP718" s="624" t="s">
        <v>992</v>
      </c>
    </row>
    <row r="719" spans="1:42" ht="12.75" customHeight="1" outlineLevel="1" x14ac:dyDescent="0.2">
      <c r="A719" s="21">
        <v>23</v>
      </c>
      <c r="B719" s="611" t="str">
        <f t="shared" si="126"/>
        <v>Metal ore roasting or sintering</v>
      </c>
      <c r="C719" s="17" t="str">
        <f t="shared" si="126"/>
        <v>Metal ore</v>
      </c>
      <c r="D719" s="17" t="str">
        <f t="shared" si="126"/>
        <v>Mass balance</v>
      </c>
      <c r="E719" s="17"/>
      <c r="F719" s="151" t="str">
        <f t="shared" si="119"/>
        <v>Mass balance method, Article 25</v>
      </c>
      <c r="G719" s="103" t="str">
        <f>EUconst_NA</f>
        <v>n.a.</v>
      </c>
      <c r="H719" s="149"/>
      <c r="I719" s="149"/>
      <c r="J719" s="151"/>
      <c r="K719" s="151"/>
      <c r="L719" s="149"/>
      <c r="M719" s="149"/>
      <c r="N719" s="149"/>
      <c r="O719" s="150"/>
      <c r="P719" s="103" t="str">
        <f t="shared" si="125"/>
        <v>n.a.</v>
      </c>
      <c r="Q719" s="147" t="str">
        <f t="shared" si="124"/>
        <v>Metal ore: Mass balance</v>
      </c>
      <c r="R719" s="17"/>
      <c r="S719" s="17" t="str">
        <f t="shared" si="122"/>
        <v>ConvF_Metal ore: Mass balance</v>
      </c>
      <c r="X719" s="69"/>
      <c r="Z719" s="21" t="b">
        <f t="shared" si="123"/>
        <v>1</v>
      </c>
      <c r="AL719" s="624" t="s">
        <v>992</v>
      </c>
      <c r="AM719" s="624" t="s">
        <v>992</v>
      </c>
      <c r="AN719" s="624" t="s">
        <v>992</v>
      </c>
      <c r="AO719" s="624" t="s">
        <v>992</v>
      </c>
      <c r="AP719" s="624" t="s">
        <v>992</v>
      </c>
    </row>
    <row r="720" spans="1:42" ht="12.75" customHeight="1" outlineLevel="1" x14ac:dyDescent="0.2">
      <c r="A720" s="21">
        <v>24</v>
      </c>
      <c r="B720" s="611" t="str">
        <f t="shared" si="126"/>
        <v>Production of iron or steel</v>
      </c>
      <c r="C720" s="17" t="str">
        <f t="shared" si="126"/>
        <v>Iron &amp; steel</v>
      </c>
      <c r="D720" s="17" t="str">
        <f t="shared" si="126"/>
        <v>Fuel as process input</v>
      </c>
      <c r="E720" s="17"/>
      <c r="F720" s="151" t="str">
        <f t="shared" si="119"/>
        <v>Standard method: Fuel, Article 24(1)</v>
      </c>
      <c r="G720" s="103" t="str">
        <f>EUconst_NA</f>
        <v>n.a.</v>
      </c>
      <c r="H720" s="149"/>
      <c r="I720" s="149"/>
      <c r="J720" s="151"/>
      <c r="K720" s="151"/>
      <c r="L720" s="149"/>
      <c r="M720" s="149"/>
      <c r="N720" s="149"/>
      <c r="O720" s="150"/>
      <c r="P720" s="103" t="str">
        <f t="shared" si="125"/>
        <v>n.a.</v>
      </c>
      <c r="Q720" s="147" t="str">
        <f t="shared" si="124"/>
        <v>Iron &amp; steel: Fuel as process input</v>
      </c>
      <c r="R720" s="17"/>
      <c r="S720" s="17" t="str">
        <f t="shared" si="122"/>
        <v>ConvF_Iron &amp; steel: Fuel as process input</v>
      </c>
      <c r="X720" s="69"/>
      <c r="Z720" s="21" t="b">
        <f t="shared" si="123"/>
        <v>1</v>
      </c>
      <c r="AL720" s="624" t="s">
        <v>992</v>
      </c>
      <c r="AM720" s="624" t="s">
        <v>992</v>
      </c>
      <c r="AN720" s="624" t="s">
        <v>992</v>
      </c>
      <c r="AO720" s="624" t="s">
        <v>992</v>
      </c>
      <c r="AP720" s="624" t="s">
        <v>992</v>
      </c>
    </row>
    <row r="721" spans="1:42" ht="12.75" customHeight="1" outlineLevel="1" x14ac:dyDescent="0.2">
      <c r="A721" s="21">
        <v>25</v>
      </c>
      <c r="B721" s="611" t="str">
        <f t="shared" si="126"/>
        <v>Production of iron or steel</v>
      </c>
      <c r="C721" s="17" t="str">
        <f t="shared" si="126"/>
        <v>Iron &amp; steel</v>
      </c>
      <c r="D721" s="17" t="str">
        <f t="shared" si="126"/>
        <v>Process (method A): carbonate only</v>
      </c>
      <c r="E721" s="602"/>
      <c r="F721" s="151" t="str">
        <f t="shared" si="119"/>
        <v>Standard method: Process, Article 24(2)</v>
      </c>
      <c r="G721" s="103">
        <v>1</v>
      </c>
      <c r="H721" s="149" t="str">
        <f>Translations!$B$1127</f>
        <v>Default value CF=1</v>
      </c>
      <c r="I721" s="149" t="str">
        <f>Translations!$B$527</f>
        <v>Laboratory analyses</v>
      </c>
      <c r="J721" s="151"/>
      <c r="K721" s="151"/>
      <c r="L721" s="149"/>
      <c r="M721" s="149"/>
      <c r="N721" s="149"/>
      <c r="O721" s="150"/>
      <c r="P721" s="103">
        <f t="shared" si="125"/>
        <v>1</v>
      </c>
      <c r="Q721" s="147" t="str">
        <f t="shared" si="124"/>
        <v>Iron &amp; steel: Process (method A): carbonate only</v>
      </c>
      <c r="R721" s="17"/>
      <c r="S721" s="17" t="str">
        <f t="shared" si="122"/>
        <v>ConvF_Iron &amp; steel: Process (method A): carbonate only</v>
      </c>
      <c r="W721" s="226"/>
      <c r="X721" s="69"/>
      <c r="Z721" s="21" t="b">
        <f t="shared" si="123"/>
        <v>0</v>
      </c>
      <c r="AL721" s="624">
        <v>1</v>
      </c>
      <c r="AM721" s="624">
        <v>2</v>
      </c>
      <c r="AN721" s="624" t="s">
        <v>992</v>
      </c>
      <c r="AO721" s="624" t="s">
        <v>992</v>
      </c>
      <c r="AP721" s="624" t="s">
        <v>992</v>
      </c>
    </row>
    <row r="722" spans="1:42" ht="12.75" customHeight="1" outlineLevel="1" x14ac:dyDescent="0.2">
      <c r="A722" s="21">
        <v>26</v>
      </c>
      <c r="B722" s="611" t="str">
        <f t="shared" si="126"/>
        <v>Production of iron or steel</v>
      </c>
      <c r="C722" s="17" t="str">
        <f t="shared" si="126"/>
        <v>Iron &amp; steel</v>
      </c>
      <c r="D722" s="17" t="str">
        <f t="shared" si="126"/>
        <v>Process (method A): mixed (carbonate + non-carbonate)</v>
      </c>
      <c r="E722" s="602"/>
      <c r="F722" s="151" t="str">
        <f t="shared" si="119"/>
        <v>Standard method: Process, Article 24(2)</v>
      </c>
      <c r="G722" s="103">
        <v>1</v>
      </c>
      <c r="H722" s="149" t="str">
        <f>Translations!$B$1127</f>
        <v>Default value CF=1</v>
      </c>
      <c r="I722" s="149" t="str">
        <f>Translations!$B$527</f>
        <v>Laboratory analyses</v>
      </c>
      <c r="J722" s="151"/>
      <c r="K722" s="151"/>
      <c r="L722" s="149"/>
      <c r="M722" s="149"/>
      <c r="N722" s="149"/>
      <c r="O722" s="150"/>
      <c r="P722" s="103">
        <f t="shared" si="125"/>
        <v>1</v>
      </c>
      <c r="Q722" s="147" t="str">
        <f t="shared" si="124"/>
        <v>Iron &amp; steel: Process (method A): mixed (carbonate + non-carbonate)</v>
      </c>
      <c r="R722" s="17"/>
      <c r="S722" s="17" t="str">
        <f t="shared" si="122"/>
        <v>ConvF_Iron &amp; steel: Process (method A): mixed (carbonate + non-carbonate)</v>
      </c>
      <c r="W722" s="226"/>
      <c r="X722" s="69"/>
      <c r="Z722" s="21" t="b">
        <f t="shared" si="123"/>
        <v>0</v>
      </c>
      <c r="AL722" s="624">
        <v>1</v>
      </c>
      <c r="AM722" s="624">
        <v>2</v>
      </c>
      <c r="AN722" s="624" t="s">
        <v>992</v>
      </c>
      <c r="AO722" s="624" t="s">
        <v>992</v>
      </c>
      <c r="AP722" s="624" t="s">
        <v>992</v>
      </c>
    </row>
    <row r="723" spans="1:42" ht="12.75" customHeight="1" outlineLevel="1" x14ac:dyDescent="0.2">
      <c r="A723" s="21">
        <v>27</v>
      </c>
      <c r="B723" s="611" t="str">
        <f t="shared" si="126"/>
        <v>Production of iron or steel</v>
      </c>
      <c r="C723" s="17" t="str">
        <f t="shared" si="126"/>
        <v>Iron &amp; steel</v>
      </c>
      <c r="D723" s="17" t="str">
        <f t="shared" si="126"/>
        <v>Process (method A): non-carbonate</v>
      </c>
      <c r="E723" s="602"/>
      <c r="F723" s="151" t="str">
        <f t="shared" si="119"/>
        <v>Standard method: Process, Article 24(2)</v>
      </c>
      <c r="G723" s="103">
        <v>1</v>
      </c>
      <c r="H723" s="149" t="str">
        <f>Translations!$B$1127</f>
        <v>Default value CF=1</v>
      </c>
      <c r="I723" s="149" t="str">
        <f>Translations!$B$527</f>
        <v>Laboratory analyses</v>
      </c>
      <c r="J723" s="151"/>
      <c r="K723" s="151"/>
      <c r="L723" s="149"/>
      <c r="M723" s="149"/>
      <c r="N723" s="149"/>
      <c r="O723" s="150"/>
      <c r="P723" s="103">
        <f t="shared" si="125"/>
        <v>1</v>
      </c>
      <c r="Q723" s="147" t="str">
        <f t="shared" si="124"/>
        <v>Iron &amp; steel: Process (method A): non-carbonate</v>
      </c>
      <c r="R723" s="17"/>
      <c r="S723" s="17" t="str">
        <f t="shared" si="122"/>
        <v>ConvF_Iron &amp; steel: Process (method A): non-carbonate</v>
      </c>
      <c r="W723" s="226"/>
      <c r="X723" s="69"/>
      <c r="Z723" s="21" t="b">
        <f t="shared" si="123"/>
        <v>0</v>
      </c>
      <c r="AL723" s="624">
        <v>1</v>
      </c>
      <c r="AM723" s="624">
        <v>2</v>
      </c>
      <c r="AN723" s="624" t="s">
        <v>992</v>
      </c>
      <c r="AO723" s="624" t="s">
        <v>992</v>
      </c>
      <c r="AP723" s="624" t="s">
        <v>992</v>
      </c>
    </row>
    <row r="724" spans="1:42" ht="12.75" customHeight="1" outlineLevel="1" x14ac:dyDescent="0.2">
      <c r="A724" s="21">
        <v>28</v>
      </c>
      <c r="B724" s="611" t="str">
        <f t="shared" si="126"/>
        <v>Production of iron or steel</v>
      </c>
      <c r="C724" s="17" t="str">
        <f t="shared" si="126"/>
        <v>Iron &amp; steel</v>
      </c>
      <c r="D724" s="17" t="str">
        <f t="shared" si="126"/>
        <v>Process (method B): oxide output</v>
      </c>
      <c r="E724" s="602"/>
      <c r="F724" s="151" t="str">
        <f t="shared" si="119"/>
        <v>Standard method: Process, Article 24(2)</v>
      </c>
      <c r="G724" s="103">
        <v>1</v>
      </c>
      <c r="H724" s="149" t="str">
        <f>Translations!$B$1127</f>
        <v>Default value CF=1</v>
      </c>
      <c r="I724" s="149" t="str">
        <f>Translations!$B$527</f>
        <v>Laboratory analyses</v>
      </c>
      <c r="J724" s="151"/>
      <c r="K724" s="151"/>
      <c r="L724" s="149"/>
      <c r="M724" s="149"/>
      <c r="N724" s="149"/>
      <c r="O724" s="150"/>
      <c r="P724" s="103">
        <f t="shared" si="125"/>
        <v>1</v>
      </c>
      <c r="Q724" s="147" t="str">
        <f t="shared" si="124"/>
        <v>Iron &amp; steel: Process (method B): oxide output</v>
      </c>
      <c r="R724" s="17"/>
      <c r="S724" s="17" t="str">
        <f t="shared" si="122"/>
        <v>ConvF_Iron &amp; steel: Process (method B): oxide output</v>
      </c>
      <c r="W724" s="226"/>
      <c r="X724" s="69"/>
      <c r="Z724" s="21" t="b">
        <f t="shared" si="123"/>
        <v>0</v>
      </c>
      <c r="AL724" s="624">
        <v>1</v>
      </c>
      <c r="AM724" s="624">
        <v>2</v>
      </c>
      <c r="AN724" s="624" t="s">
        <v>992</v>
      </c>
      <c r="AO724" s="624" t="s">
        <v>992</v>
      </c>
      <c r="AP724" s="624" t="s">
        <v>992</v>
      </c>
    </row>
    <row r="725" spans="1:42" ht="12.75" customHeight="1" outlineLevel="1" x14ac:dyDescent="0.2">
      <c r="A725" s="21">
        <v>29</v>
      </c>
      <c r="B725" s="611" t="str">
        <f t="shared" si="126"/>
        <v>Production of iron or steel</v>
      </c>
      <c r="C725" s="17" t="str">
        <f t="shared" si="126"/>
        <v>Iron &amp; steel</v>
      </c>
      <c r="D725" s="17" t="str">
        <f t="shared" si="126"/>
        <v>Mass balance</v>
      </c>
      <c r="E725" s="17"/>
      <c r="F725" s="151" t="str">
        <f t="shared" si="119"/>
        <v>Mass balance method, Article 25</v>
      </c>
      <c r="G725" s="103" t="str">
        <f>EUconst_NA</f>
        <v>n.a.</v>
      </c>
      <c r="H725" s="149"/>
      <c r="I725" s="149"/>
      <c r="J725" s="151"/>
      <c r="K725" s="151"/>
      <c r="L725" s="149"/>
      <c r="M725" s="149"/>
      <c r="N725" s="149"/>
      <c r="O725" s="150"/>
      <c r="P725" s="103" t="str">
        <f t="shared" si="125"/>
        <v>n.a.</v>
      </c>
      <c r="Q725" s="147" t="str">
        <f t="shared" si="124"/>
        <v>Iron &amp; steel: Mass balance</v>
      </c>
      <c r="R725" s="17"/>
      <c r="S725" s="17" t="str">
        <f t="shared" si="122"/>
        <v>ConvF_Iron &amp; steel: Mass balance</v>
      </c>
      <c r="X725" s="69"/>
      <c r="Z725" s="21" t="b">
        <f t="shared" si="123"/>
        <v>1</v>
      </c>
      <c r="AL725" s="624" t="s">
        <v>992</v>
      </c>
      <c r="AM725" s="624" t="s">
        <v>992</v>
      </c>
      <c r="AN725" s="624" t="s">
        <v>992</v>
      </c>
      <c r="AO725" s="624" t="s">
        <v>992</v>
      </c>
      <c r="AP725" s="624" t="s">
        <v>992</v>
      </c>
    </row>
    <row r="726" spans="1:42" ht="12.75" customHeight="1" outlineLevel="1" x14ac:dyDescent="0.2">
      <c r="A726" s="21">
        <v>30</v>
      </c>
      <c r="B726" s="611" t="str">
        <f t="shared" si="126"/>
        <v>Production of cement clinker</v>
      </c>
      <c r="C726" s="17" t="str">
        <f t="shared" si="126"/>
        <v>Cement clinker</v>
      </c>
      <c r="D726" s="17" t="str">
        <f t="shared" si="126"/>
        <v>Kiln input based (Method A)</v>
      </c>
      <c r="E726" s="17"/>
      <c r="F726" s="151" t="str">
        <f t="shared" si="119"/>
        <v>Standard method: Process, Article 24(2)</v>
      </c>
      <c r="G726" s="103">
        <v>1</v>
      </c>
      <c r="H726" s="149" t="str">
        <f>Translations!$B$1127</f>
        <v>Default value CF=1</v>
      </c>
      <c r="I726" s="149" t="str">
        <f>Translations!$B$527</f>
        <v>Laboratory analyses</v>
      </c>
      <c r="J726" s="151"/>
      <c r="K726" s="151"/>
      <c r="L726" s="149"/>
      <c r="M726" s="149"/>
      <c r="N726" s="149"/>
      <c r="O726" s="150"/>
      <c r="P726" s="103">
        <f t="shared" si="125"/>
        <v>1</v>
      </c>
      <c r="Q726" s="147" t="str">
        <f t="shared" si="124"/>
        <v>Cement clinker: Kiln input based (Method A)</v>
      </c>
      <c r="R726" s="17"/>
      <c r="S726" s="17" t="str">
        <f t="shared" si="122"/>
        <v>ConvF_Cement clinker: Kiln input based (Method A)</v>
      </c>
      <c r="X726" s="69"/>
      <c r="Z726" s="21" t="b">
        <f t="shared" si="123"/>
        <v>0</v>
      </c>
      <c r="AL726" s="624">
        <v>1</v>
      </c>
      <c r="AM726" s="624">
        <v>2</v>
      </c>
      <c r="AN726" s="624" t="s">
        <v>992</v>
      </c>
      <c r="AO726" s="624" t="s">
        <v>992</v>
      </c>
      <c r="AP726" s="624" t="s">
        <v>992</v>
      </c>
    </row>
    <row r="727" spans="1:42" ht="12.75" customHeight="1" outlineLevel="1" x14ac:dyDescent="0.2">
      <c r="A727" s="21">
        <v>31</v>
      </c>
      <c r="B727" s="611" t="str">
        <f t="shared" si="126"/>
        <v>Production of cement clinker</v>
      </c>
      <c r="C727" s="17" t="str">
        <f t="shared" si="126"/>
        <v>Cement clinker</v>
      </c>
      <c r="D727" s="17" t="str">
        <f t="shared" si="126"/>
        <v>Clinker output (Method B)</v>
      </c>
      <c r="E727" s="17"/>
      <c r="F727" s="151" t="str">
        <f t="shared" si="119"/>
        <v>Standard method: Process, Article 24(2)</v>
      </c>
      <c r="G727" s="103">
        <v>1</v>
      </c>
      <c r="H727" s="149" t="str">
        <f>Translations!$B$1127</f>
        <v>Default value CF=1</v>
      </c>
      <c r="I727" s="149" t="str">
        <f>Translations!$B$527</f>
        <v>Laboratory analyses</v>
      </c>
      <c r="J727" s="151"/>
      <c r="K727" s="151"/>
      <c r="L727" s="149"/>
      <c r="M727" s="149"/>
      <c r="N727" s="149"/>
      <c r="O727" s="150"/>
      <c r="P727" s="103">
        <f t="shared" si="125"/>
        <v>1</v>
      </c>
      <c r="Q727" s="147" t="str">
        <f t="shared" si="124"/>
        <v>Cement clinker: Clinker output (Method B)</v>
      </c>
      <c r="R727" s="17"/>
      <c r="S727" s="17" t="str">
        <f t="shared" si="122"/>
        <v>ConvF_Cement clinker: Clinker output (Method B)</v>
      </c>
      <c r="X727" s="69"/>
      <c r="Z727" s="21" t="b">
        <f t="shared" si="123"/>
        <v>0</v>
      </c>
      <c r="AL727" s="624">
        <v>1</v>
      </c>
      <c r="AM727" s="624">
        <v>2</v>
      </c>
      <c r="AN727" s="624" t="s">
        <v>992</v>
      </c>
      <c r="AO727" s="624" t="s">
        <v>992</v>
      </c>
      <c r="AP727" s="624" t="s">
        <v>992</v>
      </c>
    </row>
    <row r="728" spans="1:42" ht="12.75" customHeight="1" outlineLevel="1" x14ac:dyDescent="0.2">
      <c r="A728" s="21">
        <v>32</v>
      </c>
      <c r="B728" s="611" t="str">
        <f t="shared" si="126"/>
        <v>Production of cement clinker</v>
      </c>
      <c r="C728" s="17" t="str">
        <f t="shared" si="126"/>
        <v>Cement clinker</v>
      </c>
      <c r="D728" s="17" t="str">
        <f t="shared" si="126"/>
        <v>CKD</v>
      </c>
      <c r="E728" s="17"/>
      <c r="F728" s="151" t="str">
        <f t="shared" si="119"/>
        <v>Standard method: Process, Article 24(2)</v>
      </c>
      <c r="G728" s="103" t="str">
        <f>EUconst_NA</f>
        <v>n.a.</v>
      </c>
      <c r="H728" s="149"/>
      <c r="I728" s="149"/>
      <c r="J728" s="151"/>
      <c r="K728" s="151"/>
      <c r="L728" s="149"/>
      <c r="M728" s="149"/>
      <c r="N728" s="149"/>
      <c r="O728" s="150"/>
      <c r="P728" s="103" t="str">
        <f t="shared" si="125"/>
        <v>n.a.</v>
      </c>
      <c r="Q728" s="147" t="str">
        <f t="shared" si="124"/>
        <v>Cement clinker: CKD</v>
      </c>
      <c r="R728" s="17"/>
      <c r="S728" s="17" t="str">
        <f t="shared" si="122"/>
        <v>ConvF_Cement clinker: CKD</v>
      </c>
      <c r="X728" s="69"/>
      <c r="Z728" s="21" t="b">
        <f t="shared" si="123"/>
        <v>1</v>
      </c>
      <c r="AL728" s="624" t="s">
        <v>992</v>
      </c>
      <c r="AM728" s="624" t="s">
        <v>992</v>
      </c>
      <c r="AN728" s="624" t="s">
        <v>992</v>
      </c>
      <c r="AO728" s="624" t="s">
        <v>992</v>
      </c>
      <c r="AP728" s="624" t="s">
        <v>992</v>
      </c>
    </row>
    <row r="729" spans="1:42" ht="12.75" customHeight="1" outlineLevel="1" x14ac:dyDescent="0.2">
      <c r="A729" s="21">
        <v>33</v>
      </c>
      <c r="B729" s="611" t="str">
        <f t="shared" si="126"/>
        <v>Production of cement clinker</v>
      </c>
      <c r="C729" s="17" t="str">
        <f t="shared" si="126"/>
        <v>Cement clinker</v>
      </c>
      <c r="D729" s="17" t="str">
        <f t="shared" si="126"/>
        <v>Non-carbonate carbon</v>
      </c>
      <c r="E729" s="17"/>
      <c r="F729" s="151" t="str">
        <f t="shared" ref="F729:F757" si="127">F657</f>
        <v>Standard method: Process, Article 24(2)</v>
      </c>
      <c r="G729" s="103">
        <v>1</v>
      </c>
      <c r="H729" s="149" t="str">
        <f>Translations!$B$1127</f>
        <v>Default value CF=1</v>
      </c>
      <c r="I729" s="149" t="str">
        <f>Translations!$B$1085</f>
        <v>Best practice</v>
      </c>
      <c r="J729" s="151"/>
      <c r="K729" s="151"/>
      <c r="L729" s="149"/>
      <c r="M729" s="149"/>
      <c r="N729" s="149"/>
      <c r="O729" s="150"/>
      <c r="P729" s="103">
        <f t="shared" si="125"/>
        <v>1</v>
      </c>
      <c r="Q729" s="147" t="str">
        <f t="shared" si="124"/>
        <v>Cement clinker: Non-carbonate carbon</v>
      </c>
      <c r="R729" s="17"/>
      <c r="S729" s="17" t="str">
        <f t="shared" si="122"/>
        <v>ConvF_Cement clinker: Non-carbonate carbon</v>
      </c>
      <c r="Z729" s="21" t="b">
        <f t="shared" si="123"/>
        <v>0</v>
      </c>
      <c r="AL729" s="624">
        <v>1</v>
      </c>
      <c r="AM729" s="624">
        <v>2</v>
      </c>
      <c r="AN729" s="624" t="s">
        <v>992</v>
      </c>
      <c r="AO729" s="624" t="s">
        <v>992</v>
      </c>
      <c r="AP729" s="624" t="s">
        <v>992</v>
      </c>
    </row>
    <row r="730" spans="1:42" ht="12.75" customHeight="1" outlineLevel="1" x14ac:dyDescent="0.2">
      <c r="A730" s="21">
        <v>34</v>
      </c>
      <c r="B730" s="611" t="str">
        <f t="shared" si="126"/>
        <v>Production of lime, or calcination of dolomite/magnesite</v>
      </c>
      <c r="C730" s="17" t="str">
        <f t="shared" si="126"/>
        <v>Lime / dolomite / magnesite</v>
      </c>
      <c r="D730" s="17" t="str">
        <f t="shared" si="126"/>
        <v>Process (method A): carbonate only</v>
      </c>
      <c r="E730" s="602"/>
      <c r="F730" s="151" t="str">
        <f t="shared" si="127"/>
        <v>Standard method: Process, Article 24(2)</v>
      </c>
      <c r="G730" s="103">
        <v>1</v>
      </c>
      <c r="H730" s="149" t="str">
        <f>Translations!$B$1127</f>
        <v>Default value CF=1</v>
      </c>
      <c r="I730" s="149" t="str">
        <f>Translations!$B$527</f>
        <v>Laboratory analyses</v>
      </c>
      <c r="J730" s="151"/>
      <c r="K730" s="151"/>
      <c r="L730" s="149"/>
      <c r="M730" s="149"/>
      <c r="N730" s="149"/>
      <c r="O730" s="150"/>
      <c r="P730" s="103">
        <f t="shared" si="125"/>
        <v>1</v>
      </c>
      <c r="Q730" s="147" t="str">
        <f t="shared" si="124"/>
        <v>Lime / dolomite / magnesite: Process (method A): carbonate only</v>
      </c>
      <c r="R730" s="17"/>
      <c r="S730" s="17" t="str">
        <f t="shared" ref="S730:S757" si="128">EUconst_CNTR_ConversionFactor&amp;Q730</f>
        <v>ConvF_Lime / dolomite / magnesite: Process (method A): carbonate only</v>
      </c>
      <c r="Z730" s="21" t="b">
        <f t="shared" si="123"/>
        <v>0</v>
      </c>
      <c r="AL730" s="624">
        <v>1</v>
      </c>
      <c r="AM730" s="624">
        <v>2</v>
      </c>
      <c r="AN730" s="624" t="s">
        <v>992</v>
      </c>
      <c r="AO730" s="624" t="s">
        <v>992</v>
      </c>
      <c r="AP730" s="624" t="s">
        <v>992</v>
      </c>
    </row>
    <row r="731" spans="1:42" ht="12.75" customHeight="1" outlineLevel="1" x14ac:dyDescent="0.2">
      <c r="A731" s="21">
        <v>35</v>
      </c>
      <c r="B731" s="611" t="str">
        <f t="shared" si="126"/>
        <v>Production of lime, or calcination of dolomite/magnesite</v>
      </c>
      <c r="C731" s="17" t="str">
        <f t="shared" si="126"/>
        <v>Lime / dolomite / magnesite</v>
      </c>
      <c r="D731" s="17" t="str">
        <f t="shared" si="126"/>
        <v>Process (method A): mixed (carbonate + non-carbonate)</v>
      </c>
      <c r="E731" s="602"/>
      <c r="F731" s="151" t="str">
        <f t="shared" si="127"/>
        <v>Standard method: Process, Article 24(2)</v>
      </c>
      <c r="G731" s="103">
        <v>1</v>
      </c>
      <c r="H731" s="149" t="str">
        <f>Translations!$B$1127</f>
        <v>Default value CF=1</v>
      </c>
      <c r="I731" s="149" t="str">
        <f>Translations!$B$527</f>
        <v>Laboratory analyses</v>
      </c>
      <c r="J731" s="151"/>
      <c r="K731" s="151"/>
      <c r="L731" s="149"/>
      <c r="M731" s="149"/>
      <c r="N731" s="149"/>
      <c r="O731" s="150"/>
      <c r="P731" s="103">
        <f t="shared" si="125"/>
        <v>1</v>
      </c>
      <c r="Q731" s="147" t="str">
        <f t="shared" si="124"/>
        <v>Lime / dolomite / magnesite: Process (method A): mixed (carbonate + non-carbonate)</v>
      </c>
      <c r="R731" s="17"/>
      <c r="S731" s="17" t="str">
        <f t="shared" si="128"/>
        <v>ConvF_Lime / dolomite / magnesite: Process (method A): mixed (carbonate + non-carbonate)</v>
      </c>
      <c r="Z731" s="21" t="b">
        <f t="shared" si="123"/>
        <v>0</v>
      </c>
      <c r="AL731" s="624">
        <v>1</v>
      </c>
      <c r="AM731" s="624">
        <v>2</v>
      </c>
      <c r="AN731" s="624" t="s">
        <v>992</v>
      </c>
      <c r="AO731" s="624" t="s">
        <v>992</v>
      </c>
      <c r="AP731" s="624" t="s">
        <v>992</v>
      </c>
    </row>
    <row r="732" spans="1:42" ht="12.75" customHeight="1" outlineLevel="1" x14ac:dyDescent="0.2">
      <c r="A732" s="21">
        <v>36</v>
      </c>
      <c r="B732" s="611" t="str">
        <f t="shared" si="126"/>
        <v>Production of lime, or calcination of dolomite/magnesite</v>
      </c>
      <c r="C732" s="17" t="str">
        <f t="shared" si="126"/>
        <v>Lime / dolomite / magnesite</v>
      </c>
      <c r="D732" s="17" t="str">
        <f t="shared" si="126"/>
        <v>Process (method A): non-carbonate</v>
      </c>
      <c r="E732" s="602"/>
      <c r="F732" s="151" t="str">
        <f t="shared" si="127"/>
        <v>Standard method: Process, Article 24(2)</v>
      </c>
      <c r="G732" s="103">
        <v>1</v>
      </c>
      <c r="H732" s="149" t="str">
        <f>Translations!$B$1127</f>
        <v>Default value CF=1</v>
      </c>
      <c r="I732" s="612" t="str">
        <f>Translations!$B$1085</f>
        <v>Best practice</v>
      </c>
      <c r="J732" s="151"/>
      <c r="K732" s="151"/>
      <c r="L732" s="149"/>
      <c r="M732" s="149"/>
      <c r="N732" s="149"/>
      <c r="O732" s="150"/>
      <c r="P732" s="103">
        <f t="shared" si="125"/>
        <v>1</v>
      </c>
      <c r="Q732" s="147" t="str">
        <f t="shared" si="124"/>
        <v>Lime / dolomite / magnesite: Process (method A): non-carbonate</v>
      </c>
      <c r="R732" s="17"/>
      <c r="S732" s="17" t="str">
        <f t="shared" si="128"/>
        <v>ConvF_Lime / dolomite / magnesite: Process (method A): non-carbonate</v>
      </c>
      <c r="Z732" s="21" t="b">
        <f t="shared" si="123"/>
        <v>0</v>
      </c>
      <c r="AL732" s="624">
        <v>1</v>
      </c>
      <c r="AM732" s="624">
        <v>2</v>
      </c>
      <c r="AN732" s="624" t="s">
        <v>992</v>
      </c>
      <c r="AO732" s="624" t="s">
        <v>992</v>
      </c>
      <c r="AP732" s="624" t="s">
        <v>992</v>
      </c>
    </row>
    <row r="733" spans="1:42" ht="12.75" customHeight="1" outlineLevel="1" x14ac:dyDescent="0.2">
      <c r="A733" s="21">
        <v>37</v>
      </c>
      <c r="B733" s="611" t="str">
        <f t="shared" si="126"/>
        <v>Production of lime, or calcination of dolomite/magnesite</v>
      </c>
      <c r="C733" s="17" t="str">
        <f t="shared" si="126"/>
        <v>Lime / dolomite / magnesite</v>
      </c>
      <c r="D733" s="17" t="str">
        <f t="shared" si="126"/>
        <v>Process (method B): oxide output</v>
      </c>
      <c r="E733" s="602"/>
      <c r="F733" s="151" t="str">
        <f t="shared" si="127"/>
        <v>Standard method: Process, Article 24(2)</v>
      </c>
      <c r="G733" s="103">
        <v>1</v>
      </c>
      <c r="H733" s="149" t="str">
        <f>Translations!$B$1127</f>
        <v>Default value CF=1</v>
      </c>
      <c r="I733" s="149" t="str">
        <f>Translations!$B$527</f>
        <v>Laboratory analyses</v>
      </c>
      <c r="J733" s="151"/>
      <c r="K733" s="151"/>
      <c r="L733" s="149"/>
      <c r="M733" s="149"/>
      <c r="N733" s="149"/>
      <c r="O733" s="150"/>
      <c r="P733" s="103">
        <f t="shared" si="125"/>
        <v>1</v>
      </c>
      <c r="Q733" s="147" t="str">
        <f t="shared" si="124"/>
        <v>Lime / dolomite / magnesite: Process (method B): oxide output</v>
      </c>
      <c r="R733" s="17"/>
      <c r="S733" s="17" t="str">
        <f t="shared" si="128"/>
        <v>ConvF_Lime / dolomite / magnesite: Process (method B): oxide output</v>
      </c>
      <c r="Z733" s="21" t="b">
        <f t="shared" si="123"/>
        <v>0</v>
      </c>
      <c r="AL733" s="624">
        <v>1</v>
      </c>
      <c r="AM733" s="624">
        <v>2</v>
      </c>
      <c r="AN733" s="624" t="s">
        <v>992</v>
      </c>
      <c r="AO733" s="624" t="s">
        <v>992</v>
      </c>
      <c r="AP733" s="624" t="s">
        <v>992</v>
      </c>
    </row>
    <row r="734" spans="1:42" ht="12.75" customHeight="1" outlineLevel="1" x14ac:dyDescent="0.2">
      <c r="A734" s="21">
        <v>38</v>
      </c>
      <c r="B734" s="611" t="str">
        <f t="shared" si="126"/>
        <v>Production of lime, or calcination of dolomite/magnesite</v>
      </c>
      <c r="C734" s="17" t="str">
        <f t="shared" si="126"/>
        <v>Lime / dolomite / magnesite</v>
      </c>
      <c r="D734" s="17" t="str">
        <f t="shared" si="126"/>
        <v>Kiln dust (Method B)</v>
      </c>
      <c r="E734" s="17"/>
      <c r="F734" s="151" t="str">
        <f t="shared" si="127"/>
        <v>Standard method: Process, Article 24(2)</v>
      </c>
      <c r="G734" s="103">
        <v>1</v>
      </c>
      <c r="H734" s="149" t="str">
        <f>Translations!$B$1127</f>
        <v>Default value CF=1</v>
      </c>
      <c r="I734" s="149" t="str">
        <f>Translations!$B$527</f>
        <v>Laboratory analyses</v>
      </c>
      <c r="J734" s="151"/>
      <c r="K734" s="151"/>
      <c r="L734" s="149"/>
      <c r="M734" s="149"/>
      <c r="N734" s="149"/>
      <c r="O734" s="150"/>
      <c r="P734" s="103">
        <f t="shared" si="125"/>
        <v>1</v>
      </c>
      <c r="Q734" s="147" t="str">
        <f t="shared" si="124"/>
        <v>Lime / dolomite / magnesite: Kiln dust (Method B)</v>
      </c>
      <c r="R734" s="17"/>
      <c r="S734" s="17" t="str">
        <f t="shared" si="128"/>
        <v>ConvF_Lime / dolomite / magnesite: Kiln dust (Method B)</v>
      </c>
      <c r="Z734" s="21" t="b">
        <f t="shared" si="123"/>
        <v>0</v>
      </c>
      <c r="AL734" s="624">
        <v>1</v>
      </c>
      <c r="AM734" s="624">
        <v>2</v>
      </c>
      <c r="AN734" s="624" t="s">
        <v>992</v>
      </c>
      <c r="AO734" s="624" t="s">
        <v>992</v>
      </c>
      <c r="AP734" s="624" t="s">
        <v>992</v>
      </c>
    </row>
    <row r="735" spans="1:42" ht="12.75" customHeight="1" outlineLevel="1" x14ac:dyDescent="0.2">
      <c r="A735" s="21">
        <v>39</v>
      </c>
      <c r="B735" s="611" t="str">
        <f t="shared" si="126"/>
        <v>Manufacture of glass</v>
      </c>
      <c r="C735" s="17" t="str">
        <f t="shared" si="126"/>
        <v>Glass and mineral wool</v>
      </c>
      <c r="D735" s="17" t="str">
        <f t="shared" si="126"/>
        <v>Process (method A): carbonate only</v>
      </c>
      <c r="E735" s="602"/>
      <c r="F735" s="151" t="str">
        <f t="shared" si="127"/>
        <v>Standard method: Process, Article 24(2)</v>
      </c>
      <c r="G735" s="103" t="str">
        <f>EUconst_NA</f>
        <v>n.a.</v>
      </c>
      <c r="H735" s="149"/>
      <c r="I735" s="149"/>
      <c r="J735" s="151"/>
      <c r="K735" s="151"/>
      <c r="L735" s="149"/>
      <c r="M735" s="149"/>
      <c r="N735" s="149"/>
      <c r="O735" s="150"/>
      <c r="P735" s="103" t="str">
        <f t="shared" si="125"/>
        <v>n.a.</v>
      </c>
      <c r="Q735" s="147" t="str">
        <f t="shared" si="124"/>
        <v>Glass and mineral wool: Process (method A): carbonate only</v>
      </c>
      <c r="R735" s="17"/>
      <c r="S735" s="17" t="str">
        <f t="shared" si="128"/>
        <v>ConvF_Glass and mineral wool: Process (method A): carbonate only</v>
      </c>
      <c r="Z735" s="21" t="b">
        <f t="shared" si="123"/>
        <v>1</v>
      </c>
      <c r="AL735" s="624" t="s">
        <v>992</v>
      </c>
      <c r="AM735" s="624" t="s">
        <v>992</v>
      </c>
      <c r="AN735" s="624" t="s">
        <v>992</v>
      </c>
      <c r="AO735" s="624" t="s">
        <v>992</v>
      </c>
      <c r="AP735" s="624" t="s">
        <v>992</v>
      </c>
    </row>
    <row r="736" spans="1:42" ht="12.75" customHeight="1" outlineLevel="1" x14ac:dyDescent="0.2">
      <c r="A736" s="21">
        <v>40</v>
      </c>
      <c r="B736" s="611" t="str">
        <f t="shared" si="126"/>
        <v>Manufacture of glass</v>
      </c>
      <c r="C736" s="17" t="str">
        <f t="shared" si="126"/>
        <v>Glass and mineral wool</v>
      </c>
      <c r="D736" s="17" t="str">
        <f t="shared" si="126"/>
        <v>Process (method A): mixed (carbonate + non-carbonate)</v>
      </c>
      <c r="E736" s="602"/>
      <c r="F736" s="151" t="str">
        <f t="shared" si="127"/>
        <v>Standard method: Process, Article 24(2)</v>
      </c>
      <c r="G736" s="103" t="str">
        <f>EUconst_NA</f>
        <v>n.a.</v>
      </c>
      <c r="H736" s="149"/>
      <c r="I736" s="149"/>
      <c r="J736" s="151"/>
      <c r="K736" s="151"/>
      <c r="L736" s="149"/>
      <c r="M736" s="149"/>
      <c r="N736" s="149"/>
      <c r="O736" s="150"/>
      <c r="P736" s="103" t="str">
        <f t="shared" si="125"/>
        <v>n.a.</v>
      </c>
      <c r="Q736" s="147" t="str">
        <f t="shared" si="124"/>
        <v>Glass and mineral wool: Process (method A): mixed (carbonate + non-carbonate)</v>
      </c>
      <c r="R736" s="17"/>
      <c r="S736" s="17" t="str">
        <f t="shared" si="128"/>
        <v>ConvF_Glass and mineral wool: Process (method A): mixed (carbonate + non-carbonate)</v>
      </c>
      <c r="Z736" s="21" t="b">
        <f t="shared" si="123"/>
        <v>1</v>
      </c>
      <c r="AL736" s="624" t="s">
        <v>992</v>
      </c>
      <c r="AM736" s="624" t="s">
        <v>992</v>
      </c>
      <c r="AN736" s="624" t="s">
        <v>992</v>
      </c>
      <c r="AO736" s="624" t="s">
        <v>992</v>
      </c>
      <c r="AP736" s="624" t="s">
        <v>992</v>
      </c>
    </row>
    <row r="737" spans="1:42" ht="12.75" customHeight="1" outlineLevel="1" x14ac:dyDescent="0.2">
      <c r="A737" s="21">
        <v>41</v>
      </c>
      <c r="B737" s="611" t="str">
        <f t="shared" ref="B737:D756" si="129">B665</f>
        <v>Manufacture of glass</v>
      </c>
      <c r="C737" s="17" t="str">
        <f t="shared" si="129"/>
        <v>Glass and mineral wool</v>
      </c>
      <c r="D737" s="17" t="str">
        <f t="shared" si="129"/>
        <v>Process (method A): non-carbonate</v>
      </c>
      <c r="E737" s="602"/>
      <c r="F737" s="151" t="str">
        <f t="shared" si="127"/>
        <v>Standard method: Process, Article 24(2)</v>
      </c>
      <c r="G737" s="103" t="str">
        <f>EUconst_NA</f>
        <v>n.a.</v>
      </c>
      <c r="H737" s="149"/>
      <c r="I737" s="149"/>
      <c r="J737" s="151"/>
      <c r="K737" s="151"/>
      <c r="L737" s="149"/>
      <c r="M737" s="149"/>
      <c r="N737" s="149"/>
      <c r="O737" s="150"/>
      <c r="P737" s="103" t="str">
        <f t="shared" si="125"/>
        <v>n.a.</v>
      </c>
      <c r="Q737" s="147" t="str">
        <f t="shared" si="124"/>
        <v>Glass and mineral wool: Process (method A): non-carbonate</v>
      </c>
      <c r="R737" s="17"/>
      <c r="S737" s="17" t="str">
        <f t="shared" si="128"/>
        <v>ConvF_Glass and mineral wool: Process (method A): non-carbonate</v>
      </c>
      <c r="Z737" s="21" t="b">
        <f t="shared" si="123"/>
        <v>1</v>
      </c>
      <c r="AL737" s="624" t="s">
        <v>992</v>
      </c>
      <c r="AM737" s="624" t="s">
        <v>992</v>
      </c>
      <c r="AN737" s="624" t="s">
        <v>992</v>
      </c>
      <c r="AO737" s="624" t="s">
        <v>992</v>
      </c>
      <c r="AP737" s="624" t="s">
        <v>992</v>
      </c>
    </row>
    <row r="738" spans="1:42" ht="12.75" customHeight="1" outlineLevel="1" x14ac:dyDescent="0.2">
      <c r="A738" s="21">
        <v>42</v>
      </c>
      <c r="B738" s="611" t="str">
        <f t="shared" si="129"/>
        <v>Manufacture of ceramics</v>
      </c>
      <c r="C738" s="17" t="str">
        <f t="shared" si="129"/>
        <v>Ceramics</v>
      </c>
      <c r="D738" s="17" t="str">
        <f t="shared" si="129"/>
        <v>Process (method A): carbonate only</v>
      </c>
      <c r="E738" s="602"/>
      <c r="F738" s="151" t="str">
        <f t="shared" si="127"/>
        <v>Standard method: Process, Article 24(2)</v>
      </c>
      <c r="G738" s="103">
        <v>1</v>
      </c>
      <c r="H738" s="149" t="str">
        <f>Translations!$B$1127</f>
        <v>Default value CF=1</v>
      </c>
      <c r="I738" s="149" t="str">
        <f>Translations!$B$527</f>
        <v>Laboratory analyses</v>
      </c>
      <c r="J738" s="151"/>
      <c r="K738" s="151"/>
      <c r="L738" s="149"/>
      <c r="M738" s="149"/>
      <c r="N738" s="149"/>
      <c r="O738" s="150"/>
      <c r="P738" s="103">
        <f t="shared" si="125"/>
        <v>1</v>
      </c>
      <c r="Q738" s="147" t="str">
        <f t="shared" si="124"/>
        <v>Ceramics: Process (method A): carbonate only</v>
      </c>
      <c r="R738" s="17"/>
      <c r="S738" s="17" t="str">
        <f t="shared" si="128"/>
        <v>ConvF_Ceramics: Process (method A): carbonate only</v>
      </c>
      <c r="Z738" s="21" t="b">
        <f t="shared" si="123"/>
        <v>0</v>
      </c>
      <c r="AL738" s="624">
        <v>1</v>
      </c>
      <c r="AM738" s="624">
        <v>2</v>
      </c>
      <c r="AN738" s="624" t="s">
        <v>992</v>
      </c>
      <c r="AO738" s="624" t="s">
        <v>992</v>
      </c>
      <c r="AP738" s="624" t="s">
        <v>992</v>
      </c>
    </row>
    <row r="739" spans="1:42" ht="12.75" customHeight="1" outlineLevel="1" x14ac:dyDescent="0.2">
      <c r="A739" s="21">
        <v>43</v>
      </c>
      <c r="B739" s="611" t="str">
        <f t="shared" si="129"/>
        <v>Manufacture of ceramics</v>
      </c>
      <c r="C739" s="17" t="str">
        <f t="shared" si="129"/>
        <v>Ceramics</v>
      </c>
      <c r="D739" s="17" t="str">
        <f t="shared" si="129"/>
        <v>Process (method A): mixed (carbonate + non-carbonate)</v>
      </c>
      <c r="E739" s="602"/>
      <c r="F739" s="151" t="str">
        <f t="shared" si="127"/>
        <v>Standard method: Process, Article 24(2)</v>
      </c>
      <c r="G739" s="103">
        <v>1</v>
      </c>
      <c r="H739" s="149" t="str">
        <f>Translations!$B$1127</f>
        <v>Default value CF=1</v>
      </c>
      <c r="I739" s="149" t="str">
        <f>Translations!$B$527</f>
        <v>Laboratory analyses</v>
      </c>
      <c r="J739" s="151"/>
      <c r="K739" s="151"/>
      <c r="L739" s="149"/>
      <c r="M739" s="149"/>
      <c r="N739" s="149"/>
      <c r="O739" s="150"/>
      <c r="P739" s="103">
        <f t="shared" si="125"/>
        <v>1</v>
      </c>
      <c r="Q739" s="147" t="str">
        <f t="shared" si="124"/>
        <v>Ceramics: Process (method A): mixed (carbonate + non-carbonate)</v>
      </c>
      <c r="R739" s="17"/>
      <c r="S739" s="17" t="str">
        <f t="shared" si="128"/>
        <v>ConvF_Ceramics: Process (method A): mixed (carbonate + non-carbonate)</v>
      </c>
      <c r="W739" s="226"/>
      <c r="X739" s="69"/>
      <c r="Z739" s="21" t="b">
        <f t="shared" si="123"/>
        <v>0</v>
      </c>
      <c r="AL739" s="624">
        <v>1</v>
      </c>
      <c r="AM739" s="624">
        <v>2</v>
      </c>
      <c r="AN739" s="624" t="s">
        <v>992</v>
      </c>
      <c r="AO739" s="624" t="s">
        <v>992</v>
      </c>
      <c r="AP739" s="624" t="s">
        <v>992</v>
      </c>
    </row>
    <row r="740" spans="1:42" ht="12.75" customHeight="1" outlineLevel="1" x14ac:dyDescent="0.2">
      <c r="A740" s="21">
        <v>44</v>
      </c>
      <c r="B740" s="611" t="str">
        <f t="shared" si="129"/>
        <v>Manufacture of ceramics</v>
      </c>
      <c r="C740" s="17" t="str">
        <f t="shared" si="129"/>
        <v>Ceramics</v>
      </c>
      <c r="D740" s="17" t="str">
        <f t="shared" si="129"/>
        <v>Process (method A): non-carbonate</v>
      </c>
      <c r="E740" s="602"/>
      <c r="F740" s="151" t="str">
        <f t="shared" si="127"/>
        <v>Standard method: Process, Article 24(2)</v>
      </c>
      <c r="G740" s="103">
        <v>1</v>
      </c>
      <c r="H740" s="149" t="str">
        <f>Translations!$B$1127</f>
        <v>Default value CF=1</v>
      </c>
      <c r="I740" s="149" t="str">
        <f>Translations!$B$527</f>
        <v>Laboratory analyses</v>
      </c>
      <c r="J740" s="151"/>
      <c r="K740" s="151"/>
      <c r="L740" s="149"/>
      <c r="M740" s="149"/>
      <c r="N740" s="149"/>
      <c r="O740" s="150"/>
      <c r="P740" s="103">
        <f t="shared" si="125"/>
        <v>1</v>
      </c>
      <c r="Q740" s="147" t="str">
        <f t="shared" si="124"/>
        <v>Ceramics: Process (method A): non-carbonate</v>
      </c>
      <c r="R740" s="17"/>
      <c r="S740" s="17" t="str">
        <f t="shared" si="128"/>
        <v>ConvF_Ceramics: Process (method A): non-carbonate</v>
      </c>
      <c r="W740" s="226"/>
      <c r="X740" s="69"/>
      <c r="Z740" s="21" t="b">
        <f t="shared" si="123"/>
        <v>0</v>
      </c>
      <c r="AL740" s="624">
        <v>1</v>
      </c>
      <c r="AM740" s="624">
        <v>2</v>
      </c>
      <c r="AN740" s="624" t="s">
        <v>992</v>
      </c>
      <c r="AO740" s="624" t="s">
        <v>992</v>
      </c>
      <c r="AP740" s="624" t="s">
        <v>992</v>
      </c>
    </row>
    <row r="741" spans="1:42" ht="12.75" customHeight="1" outlineLevel="1" x14ac:dyDescent="0.2">
      <c r="A741" s="21">
        <v>45</v>
      </c>
      <c r="B741" s="611" t="str">
        <f t="shared" si="129"/>
        <v>Manufacture of ceramics</v>
      </c>
      <c r="C741" s="17" t="str">
        <f t="shared" si="129"/>
        <v>Ceramics</v>
      </c>
      <c r="D741" s="17" t="str">
        <f t="shared" si="129"/>
        <v>Process (method B): oxide output</v>
      </c>
      <c r="E741" s="17"/>
      <c r="F741" s="151" t="str">
        <f t="shared" si="127"/>
        <v>Standard method: Process, Article 24(2)</v>
      </c>
      <c r="G741" s="103">
        <v>1</v>
      </c>
      <c r="H741" s="149" t="str">
        <f>Translations!$B$1127</f>
        <v>Default value CF=1</v>
      </c>
      <c r="I741" s="149" t="str">
        <f>Translations!$B$527</f>
        <v>Laboratory analyses</v>
      </c>
      <c r="J741" s="151"/>
      <c r="K741" s="151"/>
      <c r="L741" s="149"/>
      <c r="M741" s="149"/>
      <c r="N741" s="149"/>
      <c r="O741" s="150"/>
      <c r="P741" s="103">
        <f t="shared" si="125"/>
        <v>1</v>
      </c>
      <c r="Q741" s="147" t="str">
        <f t="shared" si="124"/>
        <v>Ceramics: Process (method B): oxide output</v>
      </c>
      <c r="R741" s="17"/>
      <c r="S741" s="17" t="str">
        <f t="shared" si="128"/>
        <v>ConvF_Ceramics: Process (method B): oxide output</v>
      </c>
      <c r="Z741" s="21" t="b">
        <f t="shared" si="123"/>
        <v>0</v>
      </c>
      <c r="AL741" s="624">
        <v>1</v>
      </c>
      <c r="AM741" s="624">
        <v>2</v>
      </c>
      <c r="AN741" s="624" t="s">
        <v>992</v>
      </c>
      <c r="AO741" s="624" t="s">
        <v>992</v>
      </c>
      <c r="AP741" s="624" t="s">
        <v>992</v>
      </c>
    </row>
    <row r="742" spans="1:42" ht="12.75" customHeight="1" outlineLevel="1" x14ac:dyDescent="0.2">
      <c r="A742" s="21">
        <v>46</v>
      </c>
      <c r="B742" s="611" t="str">
        <f t="shared" si="129"/>
        <v>Manufacture of ceramics</v>
      </c>
      <c r="C742" s="17" t="str">
        <f t="shared" si="129"/>
        <v>Ceramics</v>
      </c>
      <c r="D742" s="17" t="str">
        <f t="shared" si="129"/>
        <v>Scrubbing</v>
      </c>
      <c r="E742" s="17"/>
      <c r="F742" s="151" t="str">
        <f t="shared" si="127"/>
        <v>Standard method: Process, Article 24(2)</v>
      </c>
      <c r="G742" s="103" t="str">
        <f t="shared" ref="G742:G748" si="130">EUconst_NA</f>
        <v>n.a.</v>
      </c>
      <c r="H742" s="149"/>
      <c r="I742" s="149"/>
      <c r="J742" s="151"/>
      <c r="K742" s="151"/>
      <c r="L742" s="149"/>
      <c r="M742" s="149"/>
      <c r="N742" s="149"/>
      <c r="O742" s="150"/>
      <c r="P742" s="103" t="str">
        <f t="shared" si="125"/>
        <v>n.a.</v>
      </c>
      <c r="Q742" s="147" t="str">
        <f t="shared" si="124"/>
        <v>Ceramics: Scrubbing</v>
      </c>
      <c r="R742" s="17"/>
      <c r="S742" s="17" t="str">
        <f t="shared" si="128"/>
        <v>ConvF_Ceramics: Scrubbing</v>
      </c>
      <c r="Z742" s="21" t="b">
        <f t="shared" si="123"/>
        <v>1</v>
      </c>
      <c r="AL742" s="624" t="s">
        <v>992</v>
      </c>
      <c r="AM742" s="624" t="s">
        <v>992</v>
      </c>
      <c r="AN742" s="624" t="s">
        <v>992</v>
      </c>
      <c r="AO742" s="624" t="s">
        <v>992</v>
      </c>
      <c r="AP742" s="624" t="s">
        <v>992</v>
      </c>
    </row>
    <row r="743" spans="1:42" ht="12.75" customHeight="1" outlineLevel="1" x14ac:dyDescent="0.2">
      <c r="A743" s="21">
        <v>47</v>
      </c>
      <c r="B743" s="611" t="str">
        <f t="shared" si="129"/>
        <v>Production of pulp</v>
      </c>
      <c r="C743" s="17" t="str">
        <f t="shared" si="129"/>
        <v>Pulp &amp; paper</v>
      </c>
      <c r="D743" s="17" t="str">
        <f t="shared" si="129"/>
        <v>Make up chemicals</v>
      </c>
      <c r="E743" s="17"/>
      <c r="F743" s="151" t="str">
        <f t="shared" si="127"/>
        <v>Standard method: Process, Article 24(2)</v>
      </c>
      <c r="G743" s="103" t="str">
        <f t="shared" si="130"/>
        <v>n.a.</v>
      </c>
      <c r="H743" s="149"/>
      <c r="I743" s="149"/>
      <c r="J743" s="151"/>
      <c r="K743" s="151"/>
      <c r="L743" s="149"/>
      <c r="M743" s="149"/>
      <c r="N743" s="149"/>
      <c r="O743" s="150"/>
      <c r="P743" s="103" t="str">
        <f t="shared" si="125"/>
        <v>n.a.</v>
      </c>
      <c r="Q743" s="147" t="str">
        <f t="shared" si="124"/>
        <v>Pulp &amp; paper: Make up chemicals</v>
      </c>
      <c r="R743" s="17"/>
      <c r="S743" s="17" t="str">
        <f t="shared" si="128"/>
        <v>ConvF_Pulp &amp; paper: Make up chemicals</v>
      </c>
      <c r="Z743" s="21" t="b">
        <f t="shared" si="123"/>
        <v>1</v>
      </c>
      <c r="AL743" s="624" t="s">
        <v>992</v>
      </c>
      <c r="AM743" s="624" t="s">
        <v>992</v>
      </c>
      <c r="AN743" s="624" t="s">
        <v>992</v>
      </c>
      <c r="AO743" s="624" t="s">
        <v>992</v>
      </c>
      <c r="AP743" s="624" t="s">
        <v>992</v>
      </c>
    </row>
    <row r="744" spans="1:42" ht="12.75" customHeight="1" outlineLevel="1" x14ac:dyDescent="0.2">
      <c r="A744" s="21">
        <v>48</v>
      </c>
      <c r="B744" s="611" t="str">
        <f t="shared" si="129"/>
        <v>Production of carbon black</v>
      </c>
      <c r="C744" s="17" t="str">
        <f t="shared" si="129"/>
        <v>Carbon black</v>
      </c>
      <c r="D744" s="17" t="str">
        <f t="shared" si="129"/>
        <v>Mass balance methodology</v>
      </c>
      <c r="E744" s="17"/>
      <c r="F744" s="151" t="str">
        <f t="shared" si="127"/>
        <v>Mass balance method, Article 25</v>
      </c>
      <c r="G744" s="103" t="str">
        <f t="shared" si="130"/>
        <v>n.a.</v>
      </c>
      <c r="H744" s="149"/>
      <c r="I744" s="149"/>
      <c r="J744" s="151"/>
      <c r="K744" s="151"/>
      <c r="L744" s="149"/>
      <c r="M744" s="149"/>
      <c r="N744" s="149"/>
      <c r="O744" s="150"/>
      <c r="P744" s="103" t="str">
        <f t="shared" si="125"/>
        <v>n.a.</v>
      </c>
      <c r="Q744" s="147" t="str">
        <f t="shared" si="124"/>
        <v>Carbon black: Mass balance methodology</v>
      </c>
      <c r="R744" s="17"/>
      <c r="S744" s="17" t="str">
        <f t="shared" si="128"/>
        <v>ConvF_Carbon black: Mass balance methodology</v>
      </c>
      <c r="Z744" s="21" t="b">
        <f t="shared" si="123"/>
        <v>1</v>
      </c>
      <c r="AL744" s="624" t="s">
        <v>992</v>
      </c>
      <c r="AM744" s="624" t="s">
        <v>992</v>
      </c>
      <c r="AN744" s="624" t="s">
        <v>992</v>
      </c>
      <c r="AO744" s="624" t="s">
        <v>992</v>
      </c>
      <c r="AP744" s="624" t="s">
        <v>992</v>
      </c>
    </row>
    <row r="745" spans="1:42" ht="12.75" customHeight="1" outlineLevel="1" x14ac:dyDescent="0.2">
      <c r="A745" s="21">
        <v>49</v>
      </c>
      <c r="B745" s="611" t="str">
        <f t="shared" si="129"/>
        <v>Production of ammonia</v>
      </c>
      <c r="C745" s="17" t="str">
        <f t="shared" si="129"/>
        <v>Ammonia</v>
      </c>
      <c r="D745" s="17" t="str">
        <f t="shared" si="129"/>
        <v>Fuel as process input</v>
      </c>
      <c r="E745" s="17"/>
      <c r="F745" s="151" t="str">
        <f t="shared" si="127"/>
        <v>Standard method: Fuel, Article 24(1)</v>
      </c>
      <c r="G745" s="103" t="str">
        <f t="shared" si="130"/>
        <v>n.a.</v>
      </c>
      <c r="H745" s="149"/>
      <c r="I745" s="149"/>
      <c r="J745" s="151"/>
      <c r="K745" s="151"/>
      <c r="L745" s="149"/>
      <c r="M745" s="149"/>
      <c r="N745" s="149"/>
      <c r="O745" s="150"/>
      <c r="P745" s="103" t="str">
        <f t="shared" si="125"/>
        <v>n.a.</v>
      </c>
      <c r="Q745" s="147" t="str">
        <f t="shared" si="124"/>
        <v>Ammonia: Fuel as process input</v>
      </c>
      <c r="R745" s="17"/>
      <c r="S745" s="17" t="str">
        <f t="shared" si="128"/>
        <v>ConvF_Ammonia: Fuel as process input</v>
      </c>
      <c r="Z745" s="21" t="b">
        <f t="shared" si="123"/>
        <v>1</v>
      </c>
      <c r="AL745" s="624" t="s">
        <v>992</v>
      </c>
      <c r="AM745" s="624" t="s">
        <v>992</v>
      </c>
      <c r="AN745" s="624" t="s">
        <v>992</v>
      </c>
      <c r="AO745" s="624" t="s">
        <v>992</v>
      </c>
      <c r="AP745" s="624" t="s">
        <v>992</v>
      </c>
    </row>
    <row r="746" spans="1:42" ht="12.75" customHeight="1" outlineLevel="1" x14ac:dyDescent="0.2">
      <c r="A746" s="21">
        <v>50</v>
      </c>
      <c r="B746" s="611" t="str">
        <f t="shared" si="129"/>
        <v>Production of hydrogen and synthesis gas</v>
      </c>
      <c r="C746" s="17" t="str">
        <f t="shared" si="129"/>
        <v>Hydrogen and synthesis gas</v>
      </c>
      <c r="D746" s="17" t="str">
        <f t="shared" si="129"/>
        <v>Fuel as process input</v>
      </c>
      <c r="E746" s="17"/>
      <c r="F746" s="151" t="str">
        <f t="shared" si="127"/>
        <v>Standard method: Fuel, Article 24(1)</v>
      </c>
      <c r="G746" s="103" t="str">
        <f t="shared" si="130"/>
        <v>n.a.</v>
      </c>
      <c r="H746" s="149"/>
      <c r="I746" s="149"/>
      <c r="J746" s="151"/>
      <c r="K746" s="151"/>
      <c r="L746" s="149"/>
      <c r="M746" s="149"/>
      <c r="N746" s="149"/>
      <c r="O746" s="150"/>
      <c r="P746" s="103" t="str">
        <f t="shared" si="125"/>
        <v>n.a.</v>
      </c>
      <c r="Q746" s="147" t="str">
        <f t="shared" si="124"/>
        <v>Hydrogen and synthesis gas: Fuel as process input</v>
      </c>
      <c r="R746" s="17"/>
      <c r="S746" s="17" t="str">
        <f t="shared" si="128"/>
        <v>ConvF_Hydrogen and synthesis gas: Fuel as process input</v>
      </c>
      <c r="Z746" s="21" t="b">
        <f t="shared" si="123"/>
        <v>1</v>
      </c>
      <c r="AL746" s="624" t="s">
        <v>992</v>
      </c>
      <c r="AM746" s="624" t="s">
        <v>992</v>
      </c>
      <c r="AN746" s="624" t="s">
        <v>992</v>
      </c>
      <c r="AO746" s="624" t="s">
        <v>992</v>
      </c>
      <c r="AP746" s="624" t="s">
        <v>992</v>
      </c>
    </row>
    <row r="747" spans="1:42" ht="12.75" customHeight="1" outlineLevel="1" x14ac:dyDescent="0.2">
      <c r="A747" s="21">
        <v>51</v>
      </c>
      <c r="B747" s="611" t="str">
        <f t="shared" si="129"/>
        <v>Production of hydrogen and synthesis gas</v>
      </c>
      <c r="C747" s="17" t="str">
        <f t="shared" si="129"/>
        <v>Hydrogen and synthesis gas</v>
      </c>
      <c r="D747" s="17" t="str">
        <f t="shared" si="129"/>
        <v>Mass balance methodology</v>
      </c>
      <c r="E747" s="17"/>
      <c r="F747" s="151" t="str">
        <f t="shared" si="127"/>
        <v>Mass balance method, Article 25</v>
      </c>
      <c r="G747" s="103" t="str">
        <f t="shared" si="130"/>
        <v>n.a.</v>
      </c>
      <c r="H747" s="149"/>
      <c r="I747" s="149"/>
      <c r="J747" s="151"/>
      <c r="K747" s="151"/>
      <c r="L747" s="149"/>
      <c r="M747" s="149"/>
      <c r="N747" s="149"/>
      <c r="O747" s="150"/>
      <c r="P747" s="103" t="str">
        <f t="shared" si="125"/>
        <v>n.a.</v>
      </c>
      <c r="Q747" s="147" t="str">
        <f t="shared" si="124"/>
        <v>Hydrogen and synthesis gas: Mass balance methodology</v>
      </c>
      <c r="R747" s="17"/>
      <c r="S747" s="17" t="str">
        <f t="shared" si="128"/>
        <v>ConvF_Hydrogen and synthesis gas: Mass balance methodology</v>
      </c>
      <c r="Z747" s="21" t="b">
        <f t="shared" si="123"/>
        <v>1</v>
      </c>
      <c r="AL747" s="624" t="s">
        <v>992</v>
      </c>
      <c r="AM747" s="624" t="s">
        <v>992</v>
      </c>
      <c r="AN747" s="624" t="s">
        <v>992</v>
      </c>
      <c r="AO747" s="624" t="s">
        <v>992</v>
      </c>
      <c r="AP747" s="624" t="s">
        <v>992</v>
      </c>
    </row>
    <row r="748" spans="1:42" ht="12.75" customHeight="1" outlineLevel="1" x14ac:dyDescent="0.2">
      <c r="A748" s="21">
        <v>52</v>
      </c>
      <c r="B748" s="611" t="str">
        <f t="shared" si="129"/>
        <v>Production of bulk chemicals</v>
      </c>
      <c r="C748" s="17" t="str">
        <f t="shared" si="129"/>
        <v>Bulk organic chemicals</v>
      </c>
      <c r="D748" s="17" t="str">
        <f t="shared" si="129"/>
        <v>Mass balance methodology</v>
      </c>
      <c r="E748" s="17"/>
      <c r="F748" s="151" t="str">
        <f t="shared" si="127"/>
        <v>Mass balance method, Article 25</v>
      </c>
      <c r="G748" s="103" t="str">
        <f t="shared" si="130"/>
        <v>n.a.</v>
      </c>
      <c r="H748" s="149"/>
      <c r="I748" s="149"/>
      <c r="J748" s="151"/>
      <c r="K748" s="151"/>
      <c r="L748" s="149"/>
      <c r="M748" s="149"/>
      <c r="N748" s="149"/>
      <c r="O748" s="150"/>
      <c r="P748" s="103" t="str">
        <f t="shared" si="125"/>
        <v>n.a.</v>
      </c>
      <c r="Q748" s="147" t="str">
        <f t="shared" si="124"/>
        <v>Bulk organic chemicals: Mass balance methodology</v>
      </c>
      <c r="R748" s="17"/>
      <c r="S748" s="17" t="str">
        <f t="shared" si="128"/>
        <v>ConvF_Bulk organic chemicals: Mass balance methodology</v>
      </c>
      <c r="Z748" s="21" t="b">
        <f t="shared" si="123"/>
        <v>1</v>
      </c>
      <c r="AL748" s="624" t="s">
        <v>992</v>
      </c>
      <c r="AM748" s="624" t="s">
        <v>992</v>
      </c>
      <c r="AN748" s="624" t="s">
        <v>992</v>
      </c>
      <c r="AO748" s="624" t="s">
        <v>992</v>
      </c>
      <c r="AP748" s="624" t="s">
        <v>992</v>
      </c>
    </row>
    <row r="749" spans="1:42" ht="12.75" customHeight="1" outlineLevel="1" x14ac:dyDescent="0.2">
      <c r="A749" s="21">
        <v>53</v>
      </c>
      <c r="B749" s="611" t="str">
        <f t="shared" si="129"/>
        <v>Production or processing of ferrous metals</v>
      </c>
      <c r="C749" s="17" t="str">
        <f t="shared" si="129"/>
        <v>(Non) ferrous, sec. aluminium</v>
      </c>
      <c r="D749" s="17" t="str">
        <f t="shared" si="129"/>
        <v>Process (method A): carbonate only</v>
      </c>
      <c r="E749" s="602"/>
      <c r="F749" s="151" t="str">
        <f t="shared" si="127"/>
        <v>Standard method: Process, Article 24(2)</v>
      </c>
      <c r="G749" s="103">
        <v>1</v>
      </c>
      <c r="H749" s="149" t="str">
        <f>Translations!$B$1127</f>
        <v>Default value CF=1</v>
      </c>
      <c r="I749" s="149" t="str">
        <f>Translations!$B$527</f>
        <v>Laboratory analyses</v>
      </c>
      <c r="J749" s="151"/>
      <c r="K749" s="151"/>
      <c r="L749" s="149"/>
      <c r="M749" s="149"/>
      <c r="N749" s="149"/>
      <c r="O749" s="150"/>
      <c r="P749" s="103">
        <f t="shared" si="125"/>
        <v>1</v>
      </c>
      <c r="Q749" s="147" t="str">
        <f t="shared" si="124"/>
        <v>(Non) ferrous, sec. aluminium: Process (method A): carbonate only</v>
      </c>
      <c r="R749" s="17"/>
      <c r="S749" s="17" t="str">
        <f t="shared" si="128"/>
        <v>ConvF_(Non) ferrous, sec. aluminium: Process (method A): carbonate only</v>
      </c>
      <c r="Z749" s="21" t="b">
        <f t="shared" si="123"/>
        <v>0</v>
      </c>
      <c r="AL749" s="624">
        <v>1</v>
      </c>
      <c r="AM749" s="624">
        <v>2</v>
      </c>
      <c r="AN749" s="624" t="s">
        <v>992</v>
      </c>
      <c r="AO749" s="624" t="s">
        <v>992</v>
      </c>
      <c r="AP749" s="624" t="s">
        <v>992</v>
      </c>
    </row>
    <row r="750" spans="1:42" ht="12.75" customHeight="1" outlineLevel="1" x14ac:dyDescent="0.2">
      <c r="A750" s="21">
        <v>54</v>
      </c>
      <c r="B750" s="611" t="str">
        <f t="shared" si="129"/>
        <v>Production or processing of ferrous metals</v>
      </c>
      <c r="C750" s="17" t="str">
        <f t="shared" si="129"/>
        <v>(Non) ferrous, sec. aluminium</v>
      </c>
      <c r="D750" s="17" t="str">
        <f t="shared" si="129"/>
        <v>Process (method A): mixed (carbonate + non-carbonate)</v>
      </c>
      <c r="E750" s="602"/>
      <c r="F750" s="151" t="str">
        <f t="shared" si="127"/>
        <v>Standard method: Process, Article 24(2)</v>
      </c>
      <c r="G750" s="103">
        <v>1</v>
      </c>
      <c r="H750" s="149" t="str">
        <f>Translations!$B$1127</f>
        <v>Default value CF=1</v>
      </c>
      <c r="I750" s="149" t="str">
        <f>Translations!$B$527</f>
        <v>Laboratory analyses</v>
      </c>
      <c r="J750" s="151"/>
      <c r="K750" s="151"/>
      <c r="L750" s="149"/>
      <c r="M750" s="149"/>
      <c r="N750" s="149"/>
      <c r="O750" s="150"/>
      <c r="P750" s="103">
        <f t="shared" si="125"/>
        <v>1</v>
      </c>
      <c r="Q750" s="147" t="str">
        <f t="shared" si="124"/>
        <v>(Non) ferrous, sec. aluminium: Process (method A): mixed (carbonate + non-carbonate)</v>
      </c>
      <c r="R750" s="17"/>
      <c r="S750" s="17" t="str">
        <f t="shared" si="128"/>
        <v>ConvF_(Non) ferrous, sec. aluminium: Process (method A): mixed (carbonate + non-carbonate)</v>
      </c>
      <c r="Z750" s="21" t="b">
        <f t="shared" si="123"/>
        <v>0</v>
      </c>
      <c r="AL750" s="624">
        <v>1</v>
      </c>
      <c r="AM750" s="624">
        <v>2</v>
      </c>
      <c r="AN750" s="624" t="s">
        <v>992</v>
      </c>
      <c r="AO750" s="624" t="s">
        <v>992</v>
      </c>
      <c r="AP750" s="624" t="s">
        <v>992</v>
      </c>
    </row>
    <row r="751" spans="1:42" ht="12.75" customHeight="1" outlineLevel="1" x14ac:dyDescent="0.2">
      <c r="A751" s="21">
        <v>55</v>
      </c>
      <c r="B751" s="611" t="str">
        <f t="shared" si="129"/>
        <v>Production or processing of ferrous metals</v>
      </c>
      <c r="C751" s="17" t="str">
        <f t="shared" si="129"/>
        <v>(Non) ferrous, sec. aluminium</v>
      </c>
      <c r="D751" s="17" t="str">
        <f t="shared" si="129"/>
        <v>Process (method A): non-carbonate</v>
      </c>
      <c r="E751" s="602"/>
      <c r="F751" s="151" t="str">
        <f t="shared" si="127"/>
        <v>Standard method: Process, Article 24(2)</v>
      </c>
      <c r="G751" s="103">
        <v>1</v>
      </c>
      <c r="H751" s="149" t="str">
        <f>Translations!$B$1127</f>
        <v>Default value CF=1</v>
      </c>
      <c r="I751" s="149" t="str">
        <f>Translations!$B$527</f>
        <v>Laboratory analyses</v>
      </c>
      <c r="J751" s="151"/>
      <c r="K751" s="151"/>
      <c r="L751" s="149"/>
      <c r="M751" s="149"/>
      <c r="N751" s="149"/>
      <c r="O751" s="150"/>
      <c r="P751" s="103">
        <f t="shared" si="125"/>
        <v>1</v>
      </c>
      <c r="Q751" s="147" t="str">
        <f t="shared" si="124"/>
        <v>(Non) ferrous, sec. aluminium: Process (method A): non-carbonate</v>
      </c>
      <c r="R751" s="17"/>
      <c r="S751" s="17" t="str">
        <f t="shared" si="128"/>
        <v>ConvF_(Non) ferrous, sec. aluminium: Process (method A): non-carbonate</v>
      </c>
      <c r="Z751" s="21" t="b">
        <f t="shared" si="123"/>
        <v>0</v>
      </c>
      <c r="AL751" s="624">
        <v>1</v>
      </c>
      <c r="AM751" s="624">
        <v>2</v>
      </c>
      <c r="AN751" s="624" t="s">
        <v>992</v>
      </c>
      <c r="AO751" s="624" t="s">
        <v>992</v>
      </c>
      <c r="AP751" s="624" t="s">
        <v>992</v>
      </c>
    </row>
    <row r="752" spans="1:42" ht="12.75" customHeight="1" outlineLevel="1" x14ac:dyDescent="0.2">
      <c r="A752" s="21">
        <v>56</v>
      </c>
      <c r="B752" s="611" t="str">
        <f t="shared" si="129"/>
        <v>Production or processing of ferrous metals</v>
      </c>
      <c r="C752" s="17" t="str">
        <f t="shared" si="129"/>
        <v>(Non) ferrous, sec. aluminium</v>
      </c>
      <c r="D752" s="17" t="str">
        <f t="shared" si="129"/>
        <v>Process (method B): oxide output</v>
      </c>
      <c r="E752" s="602"/>
      <c r="F752" s="151" t="str">
        <f t="shared" si="127"/>
        <v>Standard method: Process, Article 24(2)</v>
      </c>
      <c r="G752" s="103">
        <v>1</v>
      </c>
      <c r="H752" s="149" t="str">
        <f>Translations!$B$1127</f>
        <v>Default value CF=1</v>
      </c>
      <c r="I752" s="149" t="str">
        <f>Translations!$B$527</f>
        <v>Laboratory analyses</v>
      </c>
      <c r="J752" s="151"/>
      <c r="K752" s="151"/>
      <c r="L752" s="149"/>
      <c r="M752" s="149"/>
      <c r="N752" s="149"/>
      <c r="O752" s="150"/>
      <c r="P752" s="103">
        <f t="shared" si="125"/>
        <v>1</v>
      </c>
      <c r="Q752" s="147" t="str">
        <f t="shared" si="124"/>
        <v>(Non) ferrous, sec. aluminium: Process (method B): oxide output</v>
      </c>
      <c r="R752" s="17"/>
      <c r="S752" s="17" t="str">
        <f t="shared" si="128"/>
        <v>ConvF_(Non) ferrous, sec. aluminium: Process (method B): oxide output</v>
      </c>
      <c r="Z752" s="21" t="b">
        <f t="shared" si="123"/>
        <v>0</v>
      </c>
      <c r="AL752" s="624">
        <v>1</v>
      </c>
      <c r="AM752" s="624">
        <v>2</v>
      </c>
      <c r="AN752" s="624" t="s">
        <v>992</v>
      </c>
      <c r="AO752" s="624" t="s">
        <v>992</v>
      </c>
      <c r="AP752" s="624" t="s">
        <v>992</v>
      </c>
    </row>
    <row r="753" spans="1:44" ht="12.75" customHeight="1" outlineLevel="1" x14ac:dyDescent="0.2">
      <c r="A753" s="21">
        <v>57</v>
      </c>
      <c r="B753" s="611" t="str">
        <f t="shared" si="129"/>
        <v>Production or processing of ferrous metals</v>
      </c>
      <c r="C753" s="17" t="str">
        <f t="shared" si="129"/>
        <v>(Non) ferrous, sec. aluminium</v>
      </c>
      <c r="D753" s="17" t="str">
        <f t="shared" si="129"/>
        <v>Mass balance methodology</v>
      </c>
      <c r="E753" s="17"/>
      <c r="F753" s="151" t="str">
        <f t="shared" si="127"/>
        <v>Mass balance method, Article 25</v>
      </c>
      <c r="G753" s="103" t="str">
        <f t="shared" ref="G753:G766" si="131">EUconst_NA</f>
        <v>n.a.</v>
      </c>
      <c r="H753" s="149"/>
      <c r="I753" s="149"/>
      <c r="J753" s="151"/>
      <c r="K753" s="151"/>
      <c r="L753" s="149"/>
      <c r="M753" s="149"/>
      <c r="N753" s="149"/>
      <c r="O753" s="150"/>
      <c r="P753" s="103" t="str">
        <f>G753</f>
        <v>n.a.</v>
      </c>
      <c r="Q753" s="147" t="str">
        <f t="shared" si="124"/>
        <v>(Non) ferrous, sec. aluminium: Mass balance methodology</v>
      </c>
      <c r="R753" s="17"/>
      <c r="S753" s="17" t="str">
        <f t="shared" si="128"/>
        <v>ConvF_(Non) ferrous, sec. aluminium: Mass balance methodology</v>
      </c>
      <c r="Z753" s="21" t="b">
        <f t="shared" si="123"/>
        <v>1</v>
      </c>
      <c r="AL753" s="624" t="s">
        <v>992</v>
      </c>
      <c r="AM753" s="624" t="s">
        <v>992</v>
      </c>
      <c r="AN753" s="624" t="s">
        <v>992</v>
      </c>
      <c r="AO753" s="624" t="s">
        <v>992</v>
      </c>
      <c r="AP753" s="624" t="s">
        <v>992</v>
      </c>
    </row>
    <row r="754" spans="1:44" ht="12.75" customHeight="1" outlineLevel="1" x14ac:dyDescent="0.2">
      <c r="A754" s="21">
        <v>58</v>
      </c>
      <c r="B754" s="611" t="str">
        <f t="shared" si="129"/>
        <v>Production of soda ash and sodium bicarbonate</v>
      </c>
      <c r="C754" s="17" t="str">
        <f t="shared" si="129"/>
        <v>Soda ash / sodium bicarbonate</v>
      </c>
      <c r="D754" s="17" t="str">
        <f t="shared" si="129"/>
        <v>Mass balance methodology</v>
      </c>
      <c r="E754" s="17"/>
      <c r="F754" s="151" t="str">
        <f t="shared" si="127"/>
        <v>Mass balance method, Article 25</v>
      </c>
      <c r="G754" s="103" t="str">
        <f t="shared" si="131"/>
        <v>n.a.</v>
      </c>
      <c r="H754" s="149"/>
      <c r="I754" s="149"/>
      <c r="J754" s="151"/>
      <c r="K754" s="151"/>
      <c r="L754" s="149"/>
      <c r="M754" s="149"/>
      <c r="N754" s="149"/>
      <c r="O754" s="150"/>
      <c r="P754" s="103" t="str">
        <f>G754</f>
        <v>n.a.</v>
      </c>
      <c r="Q754" s="147" t="str">
        <f t="shared" si="124"/>
        <v>Soda ash / sodium bicarbonate: Mass balance methodology</v>
      </c>
      <c r="R754" s="17"/>
      <c r="S754" s="17" t="str">
        <f t="shared" si="128"/>
        <v>ConvF_Soda ash / sodium bicarbonate: Mass balance methodology</v>
      </c>
      <c r="W754" s="226"/>
      <c r="Z754" s="21" t="b">
        <f t="shared" si="123"/>
        <v>1</v>
      </c>
      <c r="AL754" s="624" t="s">
        <v>992</v>
      </c>
      <c r="AM754" s="624" t="s">
        <v>992</v>
      </c>
      <c r="AN754" s="624" t="s">
        <v>992</v>
      </c>
      <c r="AO754" s="624" t="s">
        <v>992</v>
      </c>
      <c r="AP754" s="624" t="s">
        <v>992</v>
      </c>
    </row>
    <row r="755" spans="1:44" ht="12.75" customHeight="1" outlineLevel="1" x14ac:dyDescent="0.2">
      <c r="A755" s="21">
        <v>59</v>
      </c>
      <c r="B755" s="611" t="str">
        <f t="shared" si="129"/>
        <v>Production of primary aluminium</v>
      </c>
      <c r="C755" s="17" t="str">
        <f t="shared" si="129"/>
        <v>Primary aluminium</v>
      </c>
      <c r="D755" s="17" t="str">
        <f t="shared" si="129"/>
        <v>Mass balance methodology</v>
      </c>
      <c r="E755" s="17"/>
      <c r="F755" s="151" t="str">
        <f t="shared" si="127"/>
        <v>Mass balance method, Article 25</v>
      </c>
      <c r="G755" s="103" t="str">
        <f t="shared" si="131"/>
        <v>n.a.</v>
      </c>
      <c r="H755" s="149"/>
      <c r="I755" s="149"/>
      <c r="J755" s="151"/>
      <c r="K755" s="151"/>
      <c r="L755" s="149"/>
      <c r="M755" s="149"/>
      <c r="N755" s="149"/>
      <c r="O755" s="150"/>
      <c r="P755" s="103" t="str">
        <f>G755</f>
        <v>n.a.</v>
      </c>
      <c r="Q755" s="147" t="str">
        <f t="shared" si="124"/>
        <v>Primary aluminium: Mass balance methodology</v>
      </c>
      <c r="R755" s="17"/>
      <c r="S755" s="17" t="str">
        <f t="shared" si="128"/>
        <v>ConvF_Primary aluminium: Mass balance methodology</v>
      </c>
      <c r="Z755" s="21" t="b">
        <f>IF(G755=EUconst_NA,TRUE,FALSE)</f>
        <v>1</v>
      </c>
      <c r="AL755" s="624" t="s">
        <v>992</v>
      </c>
      <c r="AM755" s="624" t="s">
        <v>992</v>
      </c>
      <c r="AN755" s="624" t="s">
        <v>992</v>
      </c>
      <c r="AO755" s="624" t="s">
        <v>992</v>
      </c>
      <c r="AP755" s="624" t="s">
        <v>992</v>
      </c>
    </row>
    <row r="756" spans="1:44" ht="12.75" customHeight="1" outlineLevel="1" x14ac:dyDescent="0.2">
      <c r="A756" s="21">
        <v>60</v>
      </c>
      <c r="B756" s="611" t="str">
        <f t="shared" si="129"/>
        <v>Production of primary aluminium</v>
      </c>
      <c r="C756" s="17" t="str">
        <f t="shared" si="129"/>
        <v>Primary aluminium</v>
      </c>
      <c r="D756" s="17" t="str">
        <f t="shared" si="129"/>
        <v>PFC emissions (slope method)</v>
      </c>
      <c r="E756" s="17"/>
      <c r="F756" s="151" t="str">
        <f t="shared" si="127"/>
        <v>Calculation with special provisions for PFC (Annex IV section 8)</v>
      </c>
      <c r="G756" s="103" t="str">
        <f t="shared" si="131"/>
        <v>n.a.</v>
      </c>
      <c r="H756" s="149"/>
      <c r="I756" s="149"/>
      <c r="J756" s="151"/>
      <c r="K756" s="151"/>
      <c r="L756" s="149"/>
      <c r="M756" s="149"/>
      <c r="N756" s="149"/>
      <c r="O756" s="150"/>
      <c r="P756" s="103" t="str">
        <f>G756</f>
        <v>n.a.</v>
      </c>
      <c r="Q756" s="147" t="str">
        <f t="shared" si="124"/>
        <v>Primary aluminium: PFC emissions (slope method)</v>
      </c>
      <c r="R756" s="17"/>
      <c r="S756" s="17" t="str">
        <f t="shared" si="128"/>
        <v>ConvF_Primary aluminium: PFC emissions (slope method)</v>
      </c>
      <c r="Z756" s="21" t="b">
        <f t="shared" si="123"/>
        <v>1</v>
      </c>
      <c r="AL756" s="624" t="s">
        <v>992</v>
      </c>
      <c r="AM756" s="624" t="s">
        <v>992</v>
      </c>
      <c r="AN756" s="624" t="s">
        <v>992</v>
      </c>
      <c r="AO756" s="624" t="s">
        <v>992</v>
      </c>
      <c r="AP756" s="624" t="s">
        <v>992</v>
      </c>
    </row>
    <row r="757" spans="1:44" ht="12.75" customHeight="1" outlineLevel="1" x14ac:dyDescent="0.2">
      <c r="A757" s="21">
        <v>61</v>
      </c>
      <c r="B757" s="611" t="str">
        <f t="shared" ref="B757:D766" si="132">B685</f>
        <v>Production of primary aluminium</v>
      </c>
      <c r="C757" s="17" t="str">
        <f t="shared" si="132"/>
        <v>Primary aluminium</v>
      </c>
      <c r="D757" s="17" t="str">
        <f t="shared" si="132"/>
        <v>PFC emissions (overvoltage method)</v>
      </c>
      <c r="E757" s="17"/>
      <c r="F757" s="151" t="str">
        <f t="shared" si="127"/>
        <v>Calculation with special provisions for PFC (Annex IV section 8)</v>
      </c>
      <c r="G757" s="103" t="str">
        <f t="shared" si="131"/>
        <v>n.a.</v>
      </c>
      <c r="H757" s="149"/>
      <c r="I757" s="149"/>
      <c r="J757" s="151"/>
      <c r="K757" s="151"/>
      <c r="L757" s="149"/>
      <c r="M757" s="149"/>
      <c r="N757" s="149"/>
      <c r="O757" s="150"/>
      <c r="P757" s="103" t="str">
        <f>G757</f>
        <v>n.a.</v>
      </c>
      <c r="Q757" s="147" t="str">
        <f t="shared" si="124"/>
        <v>Primary aluminium: PFC emissions (overvoltage method)</v>
      </c>
      <c r="R757" s="17"/>
      <c r="S757" s="17" t="str">
        <f t="shared" si="128"/>
        <v>ConvF_Primary aluminium: PFC emissions (overvoltage method)</v>
      </c>
      <c r="Z757" s="21" t="b">
        <f t="shared" si="123"/>
        <v>1</v>
      </c>
      <c r="AL757" s="624" t="s">
        <v>992</v>
      </c>
      <c r="AM757" s="624" t="s">
        <v>992</v>
      </c>
      <c r="AN757" s="624" t="s">
        <v>992</v>
      </c>
      <c r="AO757" s="624" t="s">
        <v>992</v>
      </c>
      <c r="AP757" s="624" t="s">
        <v>992</v>
      </c>
    </row>
    <row r="758" spans="1:44" ht="12.75" customHeight="1" outlineLevel="1" x14ac:dyDescent="0.2">
      <c r="A758" s="21">
        <v>62</v>
      </c>
      <c r="B758" s="611" t="str">
        <f t="shared" si="132"/>
        <v>Capture of greenhouse gases under Directive 2009/31/EC</v>
      </c>
      <c r="C758" s="17" t="str">
        <f t="shared" si="132"/>
        <v>CCS: Capture</v>
      </c>
      <c r="D758" s="17" t="str">
        <f t="shared" si="132"/>
        <v>CO2 transferred</v>
      </c>
      <c r="E758" s="17"/>
      <c r="F758" s="151" t="str">
        <f t="shared" ref="F758:F766" si="133">F686</f>
        <v>Mass balance method, Article 25</v>
      </c>
      <c r="G758" s="103" t="str">
        <f t="shared" si="131"/>
        <v>n.a.</v>
      </c>
      <c r="H758" s="149"/>
      <c r="I758" s="149"/>
      <c r="J758" s="151"/>
      <c r="K758" s="151"/>
      <c r="L758" s="149"/>
      <c r="M758" s="149"/>
      <c r="N758" s="149"/>
      <c r="O758" s="150"/>
      <c r="P758" s="103" t="str">
        <f t="shared" ref="P758:P766" si="134">G758</f>
        <v>n.a.</v>
      </c>
      <c r="Q758" s="147" t="str">
        <f t="shared" ref="Q758:Q766" si="135">C758 &amp; ": " &amp;D758</f>
        <v>CCS: Capture: CO2 transferred</v>
      </c>
      <c r="R758" s="17"/>
      <c r="S758" s="17" t="str">
        <f t="shared" ref="S758:S766" si="136">EUconst_CNTR_ConversionFactor&amp;Q758</f>
        <v>ConvF_CCS: Capture: CO2 transferred</v>
      </c>
      <c r="Z758" s="21" t="b">
        <f t="shared" ref="Z758:Z766" si="137">IF(G758=EUconst_NA,TRUE,FALSE)</f>
        <v>1</v>
      </c>
      <c r="AL758" s="624"/>
      <c r="AM758" s="624"/>
      <c r="AN758" s="624"/>
      <c r="AO758" s="624"/>
      <c r="AP758" s="624"/>
    </row>
    <row r="759" spans="1:44" ht="12.75" customHeight="1" outlineLevel="1" x14ac:dyDescent="0.2">
      <c r="A759" s="21">
        <v>63</v>
      </c>
      <c r="B759" s="611" t="str">
        <f t="shared" si="132"/>
        <v>Transport of greenhouse gases under Directive 2009/31/EC</v>
      </c>
      <c r="C759" s="17" t="str">
        <f t="shared" si="132"/>
        <v>CCS: Transport</v>
      </c>
      <c r="D759" s="17" t="str">
        <f t="shared" si="132"/>
        <v>CO2 transferred</v>
      </c>
      <c r="E759" s="17"/>
      <c r="F759" s="151" t="str">
        <f t="shared" si="133"/>
        <v>Mass balance method, Article 25</v>
      </c>
      <c r="G759" s="103" t="str">
        <f t="shared" si="131"/>
        <v>n.a.</v>
      </c>
      <c r="H759" s="149"/>
      <c r="I759" s="149"/>
      <c r="J759" s="151"/>
      <c r="K759" s="151"/>
      <c r="L759" s="149"/>
      <c r="M759" s="149"/>
      <c r="N759" s="149"/>
      <c r="O759" s="150"/>
      <c r="P759" s="103" t="str">
        <f t="shared" si="134"/>
        <v>n.a.</v>
      </c>
      <c r="Q759" s="147" t="str">
        <f t="shared" si="135"/>
        <v>CCS: Transport: CO2 transferred</v>
      </c>
      <c r="R759" s="17"/>
      <c r="S759" s="17" t="str">
        <f t="shared" si="136"/>
        <v>ConvF_CCS: Transport: CO2 transferred</v>
      </c>
      <c r="Z759" s="21" t="b">
        <f t="shared" si="137"/>
        <v>1</v>
      </c>
      <c r="AL759" s="624"/>
      <c r="AM759" s="624"/>
      <c r="AN759" s="624"/>
      <c r="AO759" s="624"/>
      <c r="AP759" s="624"/>
    </row>
    <row r="760" spans="1:44" ht="12.75" customHeight="1" outlineLevel="1" x14ac:dyDescent="0.2">
      <c r="A760" s="21">
        <v>64</v>
      </c>
      <c r="B760" s="611" t="str">
        <f t="shared" si="132"/>
        <v>Transport of greenhouse gases under Directive 2009/31/EC</v>
      </c>
      <c r="C760" s="17" t="str">
        <f t="shared" si="132"/>
        <v>CCS: Transport</v>
      </c>
      <c r="D760" s="17" t="str">
        <f t="shared" si="132"/>
        <v>CO2 vented</v>
      </c>
      <c r="E760" s="17"/>
      <c r="F760" s="151" t="str">
        <f t="shared" si="133"/>
        <v>Standard method: Process, Article 24(2)</v>
      </c>
      <c r="G760" s="103" t="str">
        <f t="shared" si="131"/>
        <v>n.a.</v>
      </c>
      <c r="H760" s="149"/>
      <c r="I760" s="149"/>
      <c r="J760" s="151"/>
      <c r="K760" s="151"/>
      <c r="L760" s="149"/>
      <c r="M760" s="149"/>
      <c r="N760" s="149"/>
      <c r="O760" s="150"/>
      <c r="P760" s="103" t="str">
        <f t="shared" si="134"/>
        <v>n.a.</v>
      </c>
      <c r="Q760" s="147" t="str">
        <f t="shared" si="135"/>
        <v>CCS: Transport: CO2 vented</v>
      </c>
      <c r="R760" s="17"/>
      <c r="S760" s="17" t="str">
        <f t="shared" si="136"/>
        <v>ConvF_CCS: Transport: CO2 vented</v>
      </c>
      <c r="Z760" s="21" t="b">
        <f t="shared" si="137"/>
        <v>1</v>
      </c>
      <c r="AL760" s="624"/>
      <c r="AM760" s="624"/>
      <c r="AN760" s="624"/>
      <c r="AO760" s="624"/>
      <c r="AP760" s="624"/>
    </row>
    <row r="761" spans="1:44" ht="12.75" customHeight="1" outlineLevel="1" x14ac:dyDescent="0.2">
      <c r="A761" s="21">
        <v>65</v>
      </c>
      <c r="B761" s="611" t="str">
        <f t="shared" si="132"/>
        <v>Transport of greenhouse gases under Directive 2009/31/EC</v>
      </c>
      <c r="C761" s="17" t="str">
        <f t="shared" si="132"/>
        <v>CCS: Transport</v>
      </c>
      <c r="D761" s="17" t="str">
        <f t="shared" si="132"/>
        <v>CO2 leaked</v>
      </c>
      <c r="E761" s="17"/>
      <c r="F761" s="151" t="str">
        <f t="shared" si="133"/>
        <v>Standard method: Process, Article 24(2)</v>
      </c>
      <c r="G761" s="103" t="str">
        <f t="shared" si="131"/>
        <v>n.a.</v>
      </c>
      <c r="H761" s="149"/>
      <c r="I761" s="149"/>
      <c r="J761" s="151"/>
      <c r="K761" s="151"/>
      <c r="L761" s="149"/>
      <c r="M761" s="149"/>
      <c r="N761" s="149"/>
      <c r="O761" s="150"/>
      <c r="P761" s="103" t="str">
        <f t="shared" si="134"/>
        <v>n.a.</v>
      </c>
      <c r="Q761" s="147" t="str">
        <f t="shared" si="135"/>
        <v>CCS: Transport: CO2 leaked</v>
      </c>
      <c r="R761" s="17"/>
      <c r="S761" s="17" t="str">
        <f t="shared" si="136"/>
        <v>ConvF_CCS: Transport: CO2 leaked</v>
      </c>
      <c r="Z761" s="21" t="b">
        <f t="shared" si="137"/>
        <v>1</v>
      </c>
      <c r="AL761" s="624"/>
      <c r="AM761" s="624"/>
      <c r="AN761" s="624"/>
      <c r="AO761" s="624"/>
      <c r="AP761" s="624"/>
    </row>
    <row r="762" spans="1:44" ht="12.75" customHeight="1" outlineLevel="1" x14ac:dyDescent="0.2">
      <c r="A762" s="21">
        <v>66</v>
      </c>
      <c r="B762" s="611" t="str">
        <f t="shared" si="132"/>
        <v>Transport of greenhouse gases under Directive 2009/31/EC</v>
      </c>
      <c r="C762" s="17" t="str">
        <f t="shared" si="132"/>
        <v>CCS: Transport</v>
      </c>
      <c r="D762" s="17" t="str">
        <f t="shared" si="132"/>
        <v>CO2 fugitive</v>
      </c>
      <c r="E762" s="17"/>
      <c r="F762" s="151" t="str">
        <f t="shared" si="133"/>
        <v>Standard method: Process, Article 24(2)</v>
      </c>
      <c r="G762" s="103" t="str">
        <f t="shared" si="131"/>
        <v>n.a.</v>
      </c>
      <c r="H762" s="149"/>
      <c r="I762" s="149"/>
      <c r="J762" s="151"/>
      <c r="K762" s="151"/>
      <c r="L762" s="149"/>
      <c r="M762" s="149"/>
      <c r="N762" s="149"/>
      <c r="O762" s="150"/>
      <c r="P762" s="103" t="str">
        <f t="shared" si="134"/>
        <v>n.a.</v>
      </c>
      <c r="Q762" s="147" t="str">
        <f t="shared" si="135"/>
        <v>CCS: Transport: CO2 fugitive</v>
      </c>
      <c r="R762" s="17"/>
      <c r="S762" s="17" t="str">
        <f t="shared" si="136"/>
        <v>ConvF_CCS: Transport: CO2 fugitive</v>
      </c>
      <c r="Z762" s="21" t="b">
        <f t="shared" si="137"/>
        <v>1</v>
      </c>
      <c r="AL762" s="624"/>
      <c r="AM762" s="624"/>
      <c r="AN762" s="624"/>
      <c r="AO762" s="624"/>
      <c r="AP762" s="624"/>
    </row>
    <row r="763" spans="1:44" ht="12.75" customHeight="1" outlineLevel="1" x14ac:dyDescent="0.2">
      <c r="A763" s="21">
        <v>67</v>
      </c>
      <c r="B763" s="611" t="str">
        <f t="shared" si="132"/>
        <v>Storage of greenhouse gases under Directive 2009/31/EC</v>
      </c>
      <c r="C763" s="17" t="str">
        <f t="shared" si="132"/>
        <v>CCS: Storage</v>
      </c>
      <c r="D763" s="17" t="str">
        <f t="shared" si="132"/>
        <v>CO2 transferred</v>
      </c>
      <c r="E763" s="17"/>
      <c r="F763" s="151" t="str">
        <f t="shared" si="133"/>
        <v>Mass balance method, Article 25</v>
      </c>
      <c r="G763" s="103" t="str">
        <f t="shared" si="131"/>
        <v>n.a.</v>
      </c>
      <c r="H763" s="149"/>
      <c r="I763" s="149"/>
      <c r="J763" s="151"/>
      <c r="K763" s="151"/>
      <c r="L763" s="149"/>
      <c r="M763" s="149"/>
      <c r="N763" s="149"/>
      <c r="O763" s="150"/>
      <c r="P763" s="103" t="str">
        <f t="shared" si="134"/>
        <v>n.a.</v>
      </c>
      <c r="Q763" s="147" t="str">
        <f t="shared" si="135"/>
        <v>CCS: Storage: CO2 transferred</v>
      </c>
      <c r="R763" s="17"/>
      <c r="S763" s="17" t="str">
        <f t="shared" si="136"/>
        <v>ConvF_CCS: Storage: CO2 transferred</v>
      </c>
      <c r="Z763" s="21" t="b">
        <f t="shared" si="137"/>
        <v>1</v>
      </c>
      <c r="AL763" s="624"/>
      <c r="AM763" s="624"/>
      <c r="AN763" s="624"/>
      <c r="AO763" s="624"/>
      <c r="AP763" s="624"/>
    </row>
    <row r="764" spans="1:44" ht="12.75" customHeight="1" outlineLevel="1" x14ac:dyDescent="0.2">
      <c r="A764" s="21">
        <v>68</v>
      </c>
      <c r="B764" s="611" t="str">
        <f t="shared" si="132"/>
        <v>Storage of greenhouse gases under Directive 2009/31/EC</v>
      </c>
      <c r="C764" s="17" t="str">
        <f t="shared" si="132"/>
        <v>CCS: Storage</v>
      </c>
      <c r="D764" s="17" t="str">
        <f t="shared" si="132"/>
        <v>CO2 vented</v>
      </c>
      <c r="E764" s="17"/>
      <c r="F764" s="151" t="str">
        <f t="shared" si="133"/>
        <v>Standard method: Process, Article 24(2)</v>
      </c>
      <c r="G764" s="103" t="str">
        <f t="shared" si="131"/>
        <v>n.a.</v>
      </c>
      <c r="H764" s="149"/>
      <c r="I764" s="149"/>
      <c r="J764" s="151"/>
      <c r="K764" s="151"/>
      <c r="L764" s="149"/>
      <c r="M764" s="149"/>
      <c r="N764" s="149"/>
      <c r="O764" s="150"/>
      <c r="P764" s="103" t="str">
        <f t="shared" si="134"/>
        <v>n.a.</v>
      </c>
      <c r="Q764" s="147" t="str">
        <f t="shared" si="135"/>
        <v>CCS: Storage: CO2 vented</v>
      </c>
      <c r="R764" s="17"/>
      <c r="S764" s="17" t="str">
        <f t="shared" si="136"/>
        <v>ConvF_CCS: Storage: CO2 vented</v>
      </c>
      <c r="Z764" s="21" t="b">
        <f t="shared" si="137"/>
        <v>1</v>
      </c>
      <c r="AL764" s="624"/>
      <c r="AM764" s="624"/>
      <c r="AN764" s="624"/>
      <c r="AO764" s="624"/>
      <c r="AP764" s="624"/>
    </row>
    <row r="765" spans="1:44" ht="12.75" customHeight="1" outlineLevel="1" x14ac:dyDescent="0.2">
      <c r="A765" s="21">
        <v>69</v>
      </c>
      <c r="B765" s="611" t="str">
        <f t="shared" si="132"/>
        <v>Storage of greenhouse gases under Directive 2009/31/EC</v>
      </c>
      <c r="C765" s="17" t="str">
        <f t="shared" si="132"/>
        <v>CCS: Storage</v>
      </c>
      <c r="D765" s="17" t="str">
        <f t="shared" si="132"/>
        <v>CO2 leaked</v>
      </c>
      <c r="E765" s="17"/>
      <c r="F765" s="151" t="str">
        <f t="shared" si="133"/>
        <v>Standard method: Process, Article 24(2)</v>
      </c>
      <c r="G765" s="103" t="str">
        <f t="shared" si="131"/>
        <v>n.a.</v>
      </c>
      <c r="H765" s="149"/>
      <c r="I765" s="149"/>
      <c r="J765" s="151"/>
      <c r="K765" s="151"/>
      <c r="L765" s="149"/>
      <c r="M765" s="149"/>
      <c r="N765" s="149"/>
      <c r="O765" s="150"/>
      <c r="P765" s="103" t="str">
        <f t="shared" si="134"/>
        <v>n.a.</v>
      </c>
      <c r="Q765" s="147" t="str">
        <f t="shared" si="135"/>
        <v>CCS: Storage: CO2 leaked</v>
      </c>
      <c r="R765" s="17"/>
      <c r="S765" s="17" t="str">
        <f t="shared" si="136"/>
        <v>ConvF_CCS: Storage: CO2 leaked</v>
      </c>
      <c r="Z765" s="21" t="b">
        <f t="shared" si="137"/>
        <v>1</v>
      </c>
      <c r="AL765" s="624"/>
      <c r="AM765" s="624"/>
      <c r="AN765" s="624"/>
      <c r="AO765" s="624"/>
      <c r="AP765" s="624"/>
    </row>
    <row r="766" spans="1:44" ht="12.75" customHeight="1" outlineLevel="1" x14ac:dyDescent="0.2">
      <c r="A766" s="21">
        <v>70</v>
      </c>
      <c r="B766" s="611" t="str">
        <f t="shared" si="132"/>
        <v>Storage of greenhouse gases under Directive 2009/31/EC</v>
      </c>
      <c r="C766" s="17" t="str">
        <f t="shared" si="132"/>
        <v>CCS: Storage</v>
      </c>
      <c r="D766" s="17" t="str">
        <f t="shared" si="132"/>
        <v>CO2 fugitive</v>
      </c>
      <c r="E766" s="17"/>
      <c r="F766" s="151" t="str">
        <f t="shared" si="133"/>
        <v>Standard method: Process, Article 24(2)</v>
      </c>
      <c r="G766" s="103" t="str">
        <f t="shared" si="131"/>
        <v>n.a.</v>
      </c>
      <c r="H766" s="149"/>
      <c r="I766" s="149"/>
      <c r="J766" s="151"/>
      <c r="K766" s="151"/>
      <c r="L766" s="149"/>
      <c r="M766" s="149"/>
      <c r="N766" s="149"/>
      <c r="O766" s="150"/>
      <c r="P766" s="103" t="str">
        <f t="shared" si="134"/>
        <v>n.a.</v>
      </c>
      <c r="Q766" s="147" t="str">
        <f t="shared" si="135"/>
        <v>CCS: Storage: CO2 fugitive</v>
      </c>
      <c r="R766" s="17"/>
      <c r="S766" s="17" t="str">
        <f t="shared" si="136"/>
        <v>ConvF_CCS: Storage: CO2 fugitive</v>
      </c>
      <c r="Z766" s="21" t="b">
        <f t="shared" si="137"/>
        <v>1</v>
      </c>
      <c r="AL766" s="624"/>
      <c r="AM766" s="624"/>
      <c r="AN766" s="624"/>
      <c r="AO766" s="624"/>
      <c r="AP766" s="624"/>
    </row>
    <row r="767" spans="1:44" ht="12.75" customHeight="1" outlineLevel="1" x14ac:dyDescent="0.2">
      <c r="B767" s="17"/>
      <c r="C767" s="17"/>
      <c r="D767" s="17"/>
      <c r="E767" s="17"/>
      <c r="F767" s="17"/>
      <c r="G767" s="17"/>
      <c r="H767" s="88"/>
      <c r="I767" s="88"/>
      <c r="J767" s="17"/>
      <c r="K767" s="17"/>
      <c r="L767" s="88"/>
      <c r="M767" s="88"/>
      <c r="N767" s="88"/>
      <c r="O767" s="88"/>
      <c r="P767" s="103"/>
      <c r="Q767" s="17"/>
      <c r="R767" s="17"/>
      <c r="S767" s="17"/>
      <c r="Z767" s="21" t="b">
        <f>IF(G767=EUconst_NA,TRUE,FALSE)</f>
        <v>0</v>
      </c>
    </row>
    <row r="768" spans="1:44" s="137" customFormat="1" x14ac:dyDescent="0.2">
      <c r="A768" s="684" t="s">
        <v>1793</v>
      </c>
      <c r="B768" s="143"/>
      <c r="C768" s="143" t="str">
        <f>Translations!$B$957</f>
        <v>Short name</v>
      </c>
      <c r="D768" s="143" t="str">
        <f>Translations!$B$958</f>
        <v>Sub-activity</v>
      </c>
      <c r="E768" s="143" t="str">
        <f>Translations!$B$389</f>
        <v>Parameter</v>
      </c>
      <c r="F768" s="143" t="str">
        <f>Translations!$B$959</f>
        <v>Source type</v>
      </c>
      <c r="G768" s="144" t="str">
        <f>Translations!$B$960</f>
        <v>Minimum</v>
      </c>
      <c r="H768" s="144">
        <v>1</v>
      </c>
      <c r="I768" s="144">
        <v>2</v>
      </c>
      <c r="J768" s="144" t="s">
        <v>1325</v>
      </c>
      <c r="K768" s="144" t="str">
        <f>Translations!$B$928</f>
        <v>2b</v>
      </c>
      <c r="L768" s="144">
        <v>3</v>
      </c>
      <c r="M768" s="144" t="s">
        <v>1759</v>
      </c>
      <c r="N768" s="144" t="s">
        <v>1760</v>
      </c>
      <c r="O768" s="144">
        <v>4</v>
      </c>
      <c r="P768" s="144" t="str">
        <f>Translations!$B$961</f>
        <v>Highest</v>
      </c>
      <c r="Q768" s="145"/>
      <c r="R768" s="142"/>
      <c r="S768" s="142"/>
      <c r="T768" s="142"/>
      <c r="U768" s="142"/>
      <c r="V768" s="142"/>
      <c r="W768" s="142"/>
      <c r="X768" s="142"/>
      <c r="Y768" s="142"/>
      <c r="Z768" s="142" t="str">
        <f>Translations!$B$962</f>
        <v>make grey?</v>
      </c>
      <c r="AA768" s="142"/>
      <c r="AB768" s="142"/>
      <c r="AC768" s="142"/>
      <c r="AD768" s="142"/>
      <c r="AE768" s="142"/>
      <c r="AF768" s="142"/>
      <c r="AG768" s="142"/>
      <c r="AH768" s="142"/>
      <c r="AI768" s="142"/>
      <c r="AJ768" s="142"/>
      <c r="AK768" s="142" t="s">
        <v>1651</v>
      </c>
      <c r="AL768" s="206">
        <v>1</v>
      </c>
      <c r="AM768" s="206">
        <v>2</v>
      </c>
      <c r="AN768" s="206" t="s">
        <v>1325</v>
      </c>
      <c r="AO768" s="206" t="str">
        <f>Translations!$B$928</f>
        <v>2b</v>
      </c>
      <c r="AP768" s="206">
        <v>3</v>
      </c>
      <c r="AQ768" s="206" t="s">
        <v>1759</v>
      </c>
      <c r="AR768" s="206" t="s">
        <v>1760</v>
      </c>
    </row>
    <row r="769" spans="2:44" ht="12.75" customHeight="1" outlineLevel="1" x14ac:dyDescent="0.2">
      <c r="B769" s="611"/>
      <c r="C769" s="17" t="s">
        <v>1794</v>
      </c>
      <c r="D769" s="17" t="s">
        <v>1795</v>
      </c>
      <c r="E769" s="17" t="str">
        <f>Translations!$B$974</f>
        <v>Each input and output material [t]</v>
      </c>
      <c r="F769" s="151" t="str">
        <f t="shared" ref="F769:F775" si="138">EUconst_MassBalance</f>
        <v>Mass balance method, Article 25</v>
      </c>
      <c r="G769" s="103">
        <v>4</v>
      </c>
      <c r="H769" s="149" t="str">
        <f>Translations!$B$966</f>
        <v>± 7,5%</v>
      </c>
      <c r="I769" s="149" t="str">
        <f>Translations!$B$967</f>
        <v>± 5,0%</v>
      </c>
      <c r="J769" s="151"/>
      <c r="K769" s="151"/>
      <c r="L769" s="149" t="str">
        <f>Translations!$B$968</f>
        <v>± 2,5%</v>
      </c>
      <c r="M769" s="149"/>
      <c r="N769" s="149"/>
      <c r="O769" s="150" t="str">
        <f>Translations!$B$969</f>
        <v>± 1,5%</v>
      </c>
      <c r="P769" s="103">
        <v>4</v>
      </c>
      <c r="Q769" s="147" t="str">
        <f>C769 &amp; ": " &amp;D769</f>
        <v>CCU: Process inputs &amp; outputs</v>
      </c>
      <c r="R769" s="17"/>
      <c r="S769" s="17" t="str">
        <f>EUconst_CNTR_ActivityData&amp;Q769</f>
        <v>ActivityData_CCU: Process inputs &amp; outputs</v>
      </c>
      <c r="AL769" s="624" t="s">
        <v>992</v>
      </c>
      <c r="AM769" s="624" t="s">
        <v>992</v>
      </c>
      <c r="AN769" s="624" t="s">
        <v>992</v>
      </c>
      <c r="AO769" s="624" t="s">
        <v>992</v>
      </c>
      <c r="AP769" s="624" t="s">
        <v>992</v>
      </c>
      <c r="AQ769" s="624" t="s">
        <v>992</v>
      </c>
      <c r="AR769" s="624" t="s">
        <v>992</v>
      </c>
    </row>
    <row r="770" spans="2:44" ht="12.75" customHeight="1" outlineLevel="1" x14ac:dyDescent="0.2">
      <c r="B770" s="611"/>
      <c r="C770" s="17" t="str">
        <f t="shared" ref="C770:D775" si="139">C769</f>
        <v>CCU</v>
      </c>
      <c r="D770" s="17" t="str">
        <f t="shared" si="139"/>
        <v>Process inputs &amp; outputs</v>
      </c>
      <c r="E770" s="602"/>
      <c r="F770" s="151" t="str">
        <f t="shared" si="138"/>
        <v>Mass balance method, Article 25</v>
      </c>
      <c r="G770" s="103" t="str">
        <f>EUconst_NA</f>
        <v>n.a.</v>
      </c>
      <c r="H770" s="149"/>
      <c r="I770" s="149"/>
      <c r="J770" s="151"/>
      <c r="K770" s="151"/>
      <c r="L770" s="149"/>
      <c r="M770" s="149"/>
      <c r="N770" s="149"/>
      <c r="O770" s="150"/>
      <c r="P770" s="103" t="str">
        <f>G770</f>
        <v>n.a.</v>
      </c>
      <c r="Q770" s="147" t="str">
        <f t="shared" ref="Q770:Q775" si="140">C770 &amp; ": " &amp;D770</f>
        <v>CCU: Process inputs &amp; outputs</v>
      </c>
      <c r="R770" s="17"/>
      <c r="S770" s="17" t="str">
        <f>EUconst_CNTR_EF&amp;Q770</f>
        <v>EF_CCU: Process inputs &amp; outputs</v>
      </c>
      <c r="AL770" s="624" t="s">
        <v>992</v>
      </c>
      <c r="AM770" s="624" t="s">
        <v>992</v>
      </c>
      <c r="AN770" s="624" t="s">
        <v>992</v>
      </c>
      <c r="AO770" s="624" t="s">
        <v>992</v>
      </c>
      <c r="AP770" s="624" t="s">
        <v>992</v>
      </c>
      <c r="AQ770" s="624" t="s">
        <v>992</v>
      </c>
      <c r="AR770" s="624" t="s">
        <v>992</v>
      </c>
    </row>
    <row r="771" spans="2:44" ht="12.75" customHeight="1" outlineLevel="1" x14ac:dyDescent="0.2">
      <c r="B771" s="611"/>
      <c r="C771" s="17" t="str">
        <f t="shared" si="139"/>
        <v>CCU</v>
      </c>
      <c r="D771" s="17" t="str">
        <f t="shared" si="139"/>
        <v>Process inputs &amp; outputs</v>
      </c>
      <c r="E771" s="602"/>
      <c r="F771" s="151" t="str">
        <f t="shared" si="138"/>
        <v>Mass balance method, Article 25</v>
      </c>
      <c r="G771" s="103">
        <v>3</v>
      </c>
      <c r="H771" s="149" t="str">
        <f>Translations!$B$493</f>
        <v>Type I default values</v>
      </c>
      <c r="I771" s="149"/>
      <c r="J771" s="151" t="str">
        <f>Translations!$B$528</f>
        <v>Type II default values</v>
      </c>
      <c r="K771" s="151" t="str">
        <f>Translations!$B$1109</f>
        <v>Purchasing records (if applicable)</v>
      </c>
      <c r="L771" s="149" t="str">
        <f>Translations!$B$527</f>
        <v>Laboratory analyses</v>
      </c>
      <c r="M771" s="149"/>
      <c r="N771" s="149"/>
      <c r="O771" s="150"/>
      <c r="P771" s="103">
        <f>IF(G771=EUconst_NA,EUconst_NA,IF(ISBLANK(J771),COUNTA(H771:O771),COUNTA(H771,J771,L771)))</f>
        <v>3</v>
      </c>
      <c r="Q771" s="147" t="str">
        <f t="shared" si="140"/>
        <v>CCU: Process inputs &amp; outputs</v>
      </c>
      <c r="R771" s="17"/>
      <c r="S771" s="17" t="str">
        <f>EUconst_CNTR_NCV&amp;Q771</f>
        <v>NCV_CCU: Process inputs &amp; outputs</v>
      </c>
      <c r="AL771" s="624">
        <v>1</v>
      </c>
      <c r="AM771" s="624">
        <v>1</v>
      </c>
      <c r="AN771" s="624">
        <v>1</v>
      </c>
      <c r="AO771" s="624">
        <v>2</v>
      </c>
      <c r="AP771" s="624">
        <v>2</v>
      </c>
      <c r="AQ771" s="624"/>
      <c r="AR771" s="624"/>
    </row>
    <row r="772" spans="2:44" ht="12.75" customHeight="1" outlineLevel="1" x14ac:dyDescent="0.2">
      <c r="B772" s="611"/>
      <c r="C772" s="17" t="str">
        <f t="shared" si="139"/>
        <v>CCU</v>
      </c>
      <c r="D772" s="17" t="str">
        <f t="shared" si="139"/>
        <v>Process inputs &amp; outputs</v>
      </c>
      <c r="E772" s="602"/>
      <c r="F772" s="151" t="str">
        <f t="shared" si="138"/>
        <v>Mass balance method, Article 25</v>
      </c>
      <c r="G772" s="103">
        <v>3</v>
      </c>
      <c r="H772" s="149" t="str">
        <f>Translations!$B$493</f>
        <v>Type I default values</v>
      </c>
      <c r="I772" s="149"/>
      <c r="J772" s="151" t="str">
        <f>Translations!$B$528</f>
        <v>Type II default values</v>
      </c>
      <c r="K772" s="151" t="str">
        <f>Translations!$B$1061</f>
        <v>Established proxies (if applicable)</v>
      </c>
      <c r="L772" s="149" t="str">
        <f>Translations!$B$527</f>
        <v>Laboratory analyses</v>
      </c>
      <c r="M772" s="149"/>
      <c r="N772" s="149"/>
      <c r="O772" s="150"/>
      <c r="P772" s="103">
        <f>IF(G772=EUconst_NA,EUconst_NA,IF(ISBLANK(J772),COUNTA(H772:O772),COUNTA(H772,J772,L772)))</f>
        <v>3</v>
      </c>
      <c r="Q772" s="147" t="str">
        <f t="shared" si="140"/>
        <v>CCU: Process inputs &amp; outputs</v>
      </c>
      <c r="R772" s="17"/>
      <c r="S772" s="17" t="str">
        <f>EUconst_CNTR_CarbonContent&amp;Q772</f>
        <v>CarbC_CCU: Process inputs &amp; outputs</v>
      </c>
      <c r="AL772" s="624">
        <v>1</v>
      </c>
      <c r="AM772" s="624">
        <v>1</v>
      </c>
      <c r="AN772" s="624">
        <v>1</v>
      </c>
      <c r="AO772" s="624">
        <v>2</v>
      </c>
      <c r="AP772" s="624">
        <v>2</v>
      </c>
      <c r="AQ772" s="624"/>
      <c r="AR772" s="624"/>
    </row>
    <row r="773" spans="2:44" ht="12.75" customHeight="1" outlineLevel="1" x14ac:dyDescent="0.2">
      <c r="B773" s="611"/>
      <c r="C773" s="17" t="str">
        <f t="shared" si="139"/>
        <v>CCU</v>
      </c>
      <c r="D773" s="17" t="str">
        <f t="shared" si="139"/>
        <v>Process inputs &amp; outputs</v>
      </c>
      <c r="E773" s="602"/>
      <c r="F773" s="151" t="str">
        <f t="shared" si="138"/>
        <v>Mass balance method, Article 25</v>
      </c>
      <c r="G773" s="103">
        <v>3</v>
      </c>
      <c r="H773" s="149" t="str">
        <f>Translations!$B$505</f>
        <v>Type I biomass fraction</v>
      </c>
      <c r="I773" s="149" t="str">
        <f>Translations!$B$510</f>
        <v>Type II biomass fraction</v>
      </c>
      <c r="J773" s="151"/>
      <c r="K773" s="151"/>
      <c r="L773" s="149"/>
      <c r="M773" s="149" t="str">
        <f>Translations!$B$1266</f>
        <v>Analyse biomass fraction</v>
      </c>
      <c r="N773" s="149" t="s">
        <v>1761</v>
      </c>
      <c r="O773" s="150"/>
      <c r="P773" s="103">
        <v>3</v>
      </c>
      <c r="Q773" s="147" t="str">
        <f t="shared" si="140"/>
        <v>CCU: Process inputs &amp; outputs</v>
      </c>
      <c r="R773" s="17"/>
      <c r="S773" s="17" t="str">
        <f>EUconst_CNTR_BiomassContent&amp;Q773</f>
        <v>BioC_CCU: Process inputs &amp; outputs</v>
      </c>
      <c r="AL773" s="624">
        <v>1</v>
      </c>
      <c r="AM773" s="624" t="s">
        <v>992</v>
      </c>
      <c r="AN773" s="624" t="s">
        <v>992</v>
      </c>
      <c r="AO773" s="624" t="s">
        <v>992</v>
      </c>
      <c r="AP773" s="624" t="s">
        <v>992</v>
      </c>
      <c r="AQ773" s="624">
        <v>2</v>
      </c>
      <c r="AR773" s="624">
        <v>3</v>
      </c>
    </row>
    <row r="774" spans="2:44" ht="12.75" customHeight="1" outlineLevel="1" x14ac:dyDescent="0.2">
      <c r="B774" s="611"/>
      <c r="C774" s="17" t="str">
        <f t="shared" si="139"/>
        <v>CCU</v>
      </c>
      <c r="D774" s="17" t="str">
        <f t="shared" si="139"/>
        <v>Process inputs &amp; outputs</v>
      </c>
      <c r="E774" s="602"/>
      <c r="F774" s="151" t="str">
        <f t="shared" si="138"/>
        <v>Mass balance method, Article 25</v>
      </c>
      <c r="G774" s="103" t="str">
        <f>EUconst_NA</f>
        <v>n.a.</v>
      </c>
      <c r="H774" s="149"/>
      <c r="I774" s="149"/>
      <c r="J774" s="151"/>
      <c r="K774" s="151"/>
      <c r="L774" s="149"/>
      <c r="M774" s="149"/>
      <c r="N774" s="149"/>
      <c r="O774" s="150"/>
      <c r="P774" s="103" t="str">
        <f>G774</f>
        <v>n.a.</v>
      </c>
      <c r="Q774" s="147" t="str">
        <f t="shared" si="140"/>
        <v>CCU: Process inputs &amp; outputs</v>
      </c>
      <c r="R774" s="17"/>
      <c r="S774" s="17" t="str">
        <f>EUconst_CNTR_OxidationFactor&amp;Q774</f>
        <v>OxF_CCU: Process inputs &amp; outputs</v>
      </c>
      <c r="AL774" s="624" t="s">
        <v>992</v>
      </c>
      <c r="AM774" s="624" t="s">
        <v>992</v>
      </c>
      <c r="AN774" s="624" t="s">
        <v>992</v>
      </c>
      <c r="AO774" s="624" t="s">
        <v>992</v>
      </c>
      <c r="AP774" s="624" t="s">
        <v>992</v>
      </c>
      <c r="AQ774" s="624" t="s">
        <v>992</v>
      </c>
      <c r="AR774" s="624" t="s">
        <v>992</v>
      </c>
    </row>
    <row r="775" spans="2:44" ht="12.75" customHeight="1" outlineLevel="1" x14ac:dyDescent="0.2">
      <c r="B775" s="611"/>
      <c r="C775" s="17" t="str">
        <f t="shared" si="139"/>
        <v>CCU</v>
      </c>
      <c r="D775" s="17" t="str">
        <f t="shared" si="139"/>
        <v>Process inputs &amp; outputs</v>
      </c>
      <c r="E775" s="602"/>
      <c r="F775" s="151" t="str">
        <f t="shared" si="138"/>
        <v>Mass balance method, Article 25</v>
      </c>
      <c r="G775" s="103" t="str">
        <f>EUconst_NA</f>
        <v>n.a.</v>
      </c>
      <c r="H775" s="149"/>
      <c r="I775" s="149"/>
      <c r="J775" s="151"/>
      <c r="K775" s="151"/>
      <c r="L775" s="149"/>
      <c r="M775" s="149"/>
      <c r="N775" s="149"/>
      <c r="O775" s="150"/>
      <c r="P775" s="103" t="str">
        <f>G775</f>
        <v>n.a.</v>
      </c>
      <c r="Q775" s="147" t="str">
        <f t="shared" si="140"/>
        <v>CCU: Process inputs &amp; outputs</v>
      </c>
      <c r="R775" s="17"/>
      <c r="S775" s="17" t="str">
        <f>EUconst_CNTR_ConversionFactor&amp;Q775</f>
        <v>ConvF_CCU: Process inputs &amp; outputs</v>
      </c>
      <c r="AL775" s="624" t="s">
        <v>992</v>
      </c>
      <c r="AM775" s="624" t="s">
        <v>992</v>
      </c>
      <c r="AN775" s="624" t="s">
        <v>992</v>
      </c>
      <c r="AO775" s="624" t="s">
        <v>992</v>
      </c>
      <c r="AP775" s="624" t="s">
        <v>992</v>
      </c>
      <c r="AQ775" s="624" t="s">
        <v>992</v>
      </c>
      <c r="AR775" s="624" t="s">
        <v>992</v>
      </c>
    </row>
    <row r="776" spans="2:44" ht="12.75" customHeight="1" outlineLevel="1" x14ac:dyDescent="0.2">
      <c r="B776" s="17"/>
      <c r="C776" s="17"/>
      <c r="D776" s="17"/>
      <c r="E776" s="17"/>
      <c r="F776" s="17"/>
      <c r="G776" s="17"/>
      <c r="H776" s="17"/>
      <c r="I776" s="17"/>
      <c r="J776" s="17"/>
      <c r="K776" s="17"/>
      <c r="L776" s="17"/>
      <c r="M776" s="17"/>
      <c r="N776" s="17"/>
      <c r="O776" s="17"/>
      <c r="P776" s="17"/>
      <c r="Q776" s="17"/>
      <c r="R776" s="17"/>
      <c r="S776" s="17"/>
      <c r="AL776" s="624" t="s">
        <v>992</v>
      </c>
      <c r="AM776" s="624" t="s">
        <v>992</v>
      </c>
      <c r="AN776" s="624" t="s">
        <v>992</v>
      </c>
      <c r="AO776" s="624" t="s">
        <v>992</v>
      </c>
      <c r="AP776" s="624" t="s">
        <v>992</v>
      </c>
      <c r="AQ776" s="624" t="s">
        <v>992</v>
      </c>
      <c r="AR776" s="624" t="s">
        <v>992</v>
      </c>
    </row>
    <row r="777" spans="2:44" s="137" customFormat="1" x14ac:dyDescent="0.2">
      <c r="B777" s="143" t="str">
        <f>Translations!$B$1131</f>
        <v>Measurement</v>
      </c>
      <c r="C777" s="142"/>
      <c r="D777" s="142"/>
      <c r="E777" s="142"/>
      <c r="F777" s="143"/>
      <c r="G777" s="144" t="str">
        <f>Translations!$B$960</f>
        <v>Minimum</v>
      </c>
      <c r="H777" s="144">
        <v>1</v>
      </c>
      <c r="I777" s="144">
        <v>2</v>
      </c>
      <c r="J777" s="144" t="s">
        <v>1325</v>
      </c>
      <c r="K777" s="144" t="str">
        <f>Translations!$B$928</f>
        <v>2b</v>
      </c>
      <c r="L777" s="144">
        <v>3</v>
      </c>
      <c r="M777" s="144" t="s">
        <v>1759</v>
      </c>
      <c r="N777" s="144" t="s">
        <v>1760</v>
      </c>
      <c r="O777" s="206">
        <v>4</v>
      </c>
      <c r="P777" s="144" t="str">
        <f>Translations!$B$961</f>
        <v>Highest</v>
      </c>
    </row>
    <row r="778" spans="2:44" ht="12.75" customHeight="1" outlineLevel="1" x14ac:dyDescent="0.2">
      <c r="B778" s="17" t="str">
        <f>B51</f>
        <v>CO2</v>
      </c>
      <c r="C778" s="17"/>
      <c r="D778" s="17"/>
      <c r="E778" s="17"/>
      <c r="F778" s="17"/>
      <c r="G778" s="17">
        <v>2</v>
      </c>
      <c r="H778" s="146" t="str">
        <f>Translations!$B$1132</f>
        <v>± 10,0%</v>
      </c>
      <c r="I778" s="146" t="str">
        <f>Translations!$B$966</f>
        <v>± 7,5%</v>
      </c>
      <c r="J778" s="17"/>
      <c r="K778" s="17"/>
      <c r="L778" s="146" t="str">
        <f>Translations!$B$967</f>
        <v>± 5,0%</v>
      </c>
      <c r="M778" s="146"/>
      <c r="N778" s="146"/>
      <c r="O778" s="146" t="str">
        <f>Translations!$B$968</f>
        <v>± 2,5%</v>
      </c>
      <c r="P778" s="103">
        <f>IF(G778=EUconst_NA,EUconst_NA,IF(ISBLANK(J778),COUNTA(H778:O778),COUNTA(H778,J778,L778)))</f>
        <v>4</v>
      </c>
      <c r="Q778" s="17"/>
      <c r="R778" s="17"/>
      <c r="S778" s="17"/>
    </row>
    <row r="779" spans="2:44" ht="12.75" customHeight="1" outlineLevel="1" x14ac:dyDescent="0.2">
      <c r="B779" s="17" t="str">
        <f>C51</f>
        <v>N2O</v>
      </c>
      <c r="C779" s="17"/>
      <c r="D779" s="17"/>
      <c r="E779" s="17"/>
      <c r="F779" s="17"/>
      <c r="G779" s="17">
        <v>2</v>
      </c>
      <c r="H779" s="146" t="str">
        <f>Translations!$B$1132</f>
        <v>± 10,0%</v>
      </c>
      <c r="I779" s="146" t="str">
        <f>Translations!$B$966</f>
        <v>± 7,5%</v>
      </c>
      <c r="J779" s="17"/>
      <c r="K779" s="17"/>
      <c r="L779" s="146" t="str">
        <f>Translations!$B$967</f>
        <v>± 5,0%</v>
      </c>
      <c r="M779" s="146"/>
      <c r="N779" s="146"/>
      <c r="O779" s="191" t="str">
        <f>EUconst_NA</f>
        <v>n.a.</v>
      </c>
      <c r="P779" s="103">
        <v>3</v>
      </c>
      <c r="Q779" s="17"/>
      <c r="R779" s="17"/>
      <c r="S779" s="17"/>
    </row>
    <row r="780" spans="2:44" ht="12.75" customHeight="1" outlineLevel="1" x14ac:dyDescent="0.2">
      <c r="B780" s="17" t="str">
        <f>D51</f>
        <v>CO2 transfer</v>
      </c>
      <c r="C780" s="17"/>
      <c r="D780" s="17"/>
      <c r="E780" s="17"/>
      <c r="F780" s="17"/>
      <c r="G780" s="602">
        <v>2</v>
      </c>
      <c r="H780" s="146" t="str">
        <f>Translations!$B$1132</f>
        <v>± 10,0%</v>
      </c>
      <c r="I780" s="146" t="str">
        <f>Translations!$B$966</f>
        <v>± 7,5%</v>
      </c>
      <c r="J780" s="17"/>
      <c r="K780" s="17"/>
      <c r="L780" s="146" t="str">
        <f>Translations!$B$967</f>
        <v>± 5,0%</v>
      </c>
      <c r="M780" s="146"/>
      <c r="N780" s="146"/>
      <c r="O780" s="146" t="str">
        <f>Translations!$B$968</f>
        <v>± 2,5%</v>
      </c>
      <c r="P780" s="103">
        <f>IF(G780=EUconst_NA,EUconst_NA,IF(ISBLANK(J780),COUNTA(H780:O780),COUNTA(H780,J780,L780)))</f>
        <v>4</v>
      </c>
      <c r="Q780" s="17"/>
      <c r="R780" s="17"/>
      <c r="S780" s="17"/>
    </row>
    <row r="781" spans="2:44" ht="12.75" customHeight="1" outlineLevel="1" x14ac:dyDescent="0.2">
      <c r="B781" s="602" t="str">
        <f>Translations!$B$1241</f>
        <v>N2O transfer</v>
      </c>
      <c r="C781" s="17"/>
      <c r="D781" s="17"/>
      <c r="E781" s="17"/>
      <c r="F781" s="17"/>
      <c r="G781" s="602">
        <v>2</v>
      </c>
      <c r="H781" s="614" t="str">
        <f>Translations!$B$1132</f>
        <v>± 10,0%</v>
      </c>
      <c r="I781" s="614" t="str">
        <f>Translations!$B$966</f>
        <v>± 7,5%</v>
      </c>
      <c r="J781" s="602"/>
      <c r="K781" s="602"/>
      <c r="L781" s="614" t="str">
        <f>Translations!$B$967</f>
        <v>± 5,0%</v>
      </c>
      <c r="M781" s="614"/>
      <c r="N781" s="614"/>
      <c r="O781" s="617" t="str">
        <f>EUconst_NA</f>
        <v>n.a.</v>
      </c>
      <c r="P781" s="617">
        <v>3</v>
      </c>
      <c r="Q781" s="17"/>
      <c r="R781" s="17"/>
      <c r="S781" s="17"/>
    </row>
    <row r="782" spans="2:44" ht="12.75" customHeight="1" outlineLevel="1" x14ac:dyDescent="0.2">
      <c r="B782" s="17"/>
      <c r="C782" s="17"/>
      <c r="D782" s="17"/>
      <c r="E782" s="17"/>
      <c r="F782" s="17"/>
      <c r="G782" s="17"/>
      <c r="H782" s="17"/>
      <c r="I782" s="17"/>
      <c r="J782" s="17"/>
      <c r="K782" s="17"/>
      <c r="L782" s="17"/>
      <c r="M782" s="17"/>
      <c r="N782" s="17"/>
      <c r="O782" s="17"/>
      <c r="P782" s="17"/>
      <c r="Q782" s="17"/>
      <c r="R782" s="17"/>
      <c r="S782" s="17"/>
    </row>
    <row r="783" spans="2:44" ht="12.75" customHeight="1" outlineLevel="1" x14ac:dyDescent="0.2">
      <c r="B783" s="17"/>
      <c r="C783" s="17"/>
      <c r="D783" s="17"/>
      <c r="E783" s="17"/>
      <c r="F783" s="17"/>
      <c r="G783" s="17"/>
      <c r="H783" s="17"/>
      <c r="I783" s="17"/>
      <c r="J783" s="17"/>
      <c r="K783" s="17"/>
      <c r="L783" s="17"/>
      <c r="M783" s="17"/>
      <c r="N783" s="17"/>
      <c r="O783" s="17"/>
      <c r="P783" s="17"/>
      <c r="Q783" s="17"/>
      <c r="R783" s="17"/>
      <c r="S783" s="17"/>
    </row>
    <row r="784" spans="2:44" ht="12.75" customHeight="1" outlineLevel="1" x14ac:dyDescent="0.2">
      <c r="B784" s="17"/>
      <c r="C784" s="17"/>
      <c r="D784" s="17"/>
      <c r="E784" s="17"/>
      <c r="F784" s="17"/>
      <c r="G784" s="17"/>
      <c r="H784" s="17"/>
      <c r="I784" s="17"/>
      <c r="J784" s="17"/>
      <c r="K784" s="17"/>
      <c r="L784" s="17"/>
      <c r="M784" s="17"/>
      <c r="N784" s="17"/>
      <c r="O784" s="17"/>
      <c r="P784" s="17"/>
      <c r="Q784" s="17"/>
      <c r="R784" s="17"/>
      <c r="S784" s="17"/>
    </row>
    <row r="785" spans="2:19" ht="12.75" customHeight="1" outlineLevel="1" x14ac:dyDescent="0.2">
      <c r="B785" s="17"/>
      <c r="C785" s="17"/>
      <c r="D785" s="17"/>
      <c r="E785" s="17"/>
      <c r="F785" s="17"/>
      <c r="G785" s="17"/>
      <c r="H785" s="17"/>
      <c r="I785" s="17"/>
      <c r="J785" s="17"/>
      <c r="K785" s="17"/>
      <c r="L785" s="17"/>
      <c r="M785" s="17"/>
      <c r="N785" s="17"/>
      <c r="O785" s="17"/>
      <c r="P785" s="17"/>
      <c r="Q785" s="17"/>
      <c r="R785" s="17"/>
      <c r="S785" s="17"/>
    </row>
    <row r="786" spans="2:19" ht="12.75" customHeight="1" outlineLevel="1" x14ac:dyDescent="0.2">
      <c r="B786" s="17"/>
      <c r="C786" s="17"/>
      <c r="D786" s="17"/>
      <c r="E786" s="17"/>
      <c r="F786" s="17"/>
      <c r="G786" s="17"/>
      <c r="H786" s="17"/>
      <c r="I786" s="17"/>
      <c r="J786" s="17"/>
      <c r="K786" s="17"/>
      <c r="L786" s="17"/>
      <c r="M786" s="17"/>
      <c r="N786" s="17"/>
      <c r="O786" s="17"/>
      <c r="P786" s="17"/>
      <c r="Q786" s="17"/>
      <c r="R786" s="17"/>
      <c r="S786" s="17"/>
    </row>
    <row r="787" spans="2:19" ht="12.75" customHeight="1" outlineLevel="1" x14ac:dyDescent="0.2">
      <c r="B787" s="17"/>
      <c r="C787" s="17"/>
      <c r="D787" s="17"/>
      <c r="E787" s="17"/>
      <c r="F787" s="17"/>
      <c r="G787" s="17"/>
      <c r="H787" s="17"/>
      <c r="I787" s="17"/>
      <c r="J787" s="17"/>
      <c r="K787" s="17"/>
      <c r="L787" s="17"/>
      <c r="M787" s="17"/>
      <c r="N787" s="17"/>
      <c r="O787" s="17"/>
      <c r="P787" s="17"/>
      <c r="Q787" s="17"/>
      <c r="R787" s="17"/>
      <c r="S787" s="17"/>
    </row>
    <row r="788" spans="2:19" ht="12.75" customHeight="1" outlineLevel="1" x14ac:dyDescent="0.2">
      <c r="B788" s="17"/>
      <c r="C788" s="17"/>
      <c r="D788" s="17"/>
      <c r="E788" s="17"/>
      <c r="F788" s="17"/>
      <c r="G788" s="17"/>
      <c r="H788" s="17"/>
      <c r="I788" s="17"/>
      <c r="J788" s="17"/>
      <c r="K788" s="17"/>
      <c r="L788" s="17"/>
      <c r="M788" s="17"/>
      <c r="N788" s="17"/>
      <c r="O788" s="17"/>
      <c r="P788" s="17"/>
      <c r="Q788" s="17"/>
      <c r="R788" s="17"/>
      <c r="S788" s="17"/>
    </row>
    <row r="789" spans="2:19" ht="12.75" customHeight="1" outlineLevel="1" x14ac:dyDescent="0.2">
      <c r="B789" s="17"/>
      <c r="C789" s="17"/>
      <c r="D789" s="17"/>
      <c r="E789" s="17"/>
      <c r="F789" s="17"/>
      <c r="G789" s="17"/>
      <c r="H789" s="17"/>
      <c r="I789" s="17"/>
      <c r="J789" s="17"/>
      <c r="K789" s="17"/>
      <c r="L789" s="17"/>
      <c r="M789" s="17"/>
      <c r="N789" s="17"/>
      <c r="O789" s="17"/>
      <c r="P789" s="17"/>
      <c r="Q789" s="17"/>
      <c r="R789" s="17"/>
      <c r="S789" s="17"/>
    </row>
    <row r="790" spans="2:19" s="137" customFormat="1" x14ac:dyDescent="0.2"/>
    <row r="791" spans="2:19" x14ac:dyDescent="0.2">
      <c r="B791" s="96"/>
      <c r="C791" s="141"/>
      <c r="D791" s="154"/>
      <c r="E791" s="154"/>
      <c r="F791" s="141"/>
      <c r="G791" s="154"/>
      <c r="H791" s="154"/>
      <c r="J791" s="96"/>
      <c r="K791" s="154"/>
      <c r="L791" s="154"/>
      <c r="M791" s="154"/>
      <c r="N791" s="154"/>
      <c r="O791" s="141"/>
      <c r="P791" s="141"/>
      <c r="Q791" s="154"/>
      <c r="R791" s="141"/>
    </row>
    <row r="792" spans="2:19" s="137" customFormat="1" x14ac:dyDescent="0.2">
      <c r="B792" s="143" t="str">
        <f>Translations!$B$1267</f>
        <v>Tier conversion</v>
      </c>
      <c r="D792" s="155" t="str">
        <f>Translations!$B$1133</f>
        <v>Tiers</v>
      </c>
    </row>
    <row r="793" spans="2:19" customFormat="1" x14ac:dyDescent="0.2">
      <c r="B793" s="72"/>
      <c r="C793" s="75">
        <v>1</v>
      </c>
      <c r="D793" s="75">
        <v>1</v>
      </c>
      <c r="E793" s="21"/>
      <c r="F793" s="21"/>
    </row>
    <row r="794" spans="2:19" customFormat="1" x14ac:dyDescent="0.2">
      <c r="B794" s="72"/>
      <c r="C794" s="75">
        <v>2</v>
      </c>
      <c r="D794" s="75">
        <v>2</v>
      </c>
      <c r="E794" s="21"/>
      <c r="F794" s="21"/>
    </row>
    <row r="795" spans="2:19" customFormat="1" x14ac:dyDescent="0.2">
      <c r="B795" s="72"/>
      <c r="C795" s="75">
        <v>3</v>
      </c>
      <c r="D795" s="75" t="s">
        <v>1325</v>
      </c>
      <c r="E795" s="21"/>
      <c r="F795" s="21"/>
    </row>
    <row r="796" spans="2:19" customFormat="1" x14ac:dyDescent="0.2">
      <c r="B796" s="72"/>
      <c r="C796" s="75">
        <v>4</v>
      </c>
      <c r="D796" s="75" t="str">
        <f>Translations!$B$928</f>
        <v>2b</v>
      </c>
      <c r="E796" s="21"/>
      <c r="F796" s="21"/>
    </row>
    <row r="797" spans="2:19" customFormat="1" x14ac:dyDescent="0.2">
      <c r="B797" s="72"/>
      <c r="C797" s="75">
        <v>5</v>
      </c>
      <c r="D797" s="75">
        <v>3</v>
      </c>
      <c r="E797" s="21"/>
      <c r="F797" s="21"/>
    </row>
    <row r="798" spans="2:19" customFormat="1" x14ac:dyDescent="0.2">
      <c r="B798" s="72"/>
      <c r="C798" s="75">
        <v>6</v>
      </c>
      <c r="D798" s="103" t="s">
        <v>1759</v>
      </c>
      <c r="E798" s="21"/>
      <c r="F798" s="21"/>
    </row>
    <row r="799" spans="2:19" customFormat="1" x14ac:dyDescent="0.2">
      <c r="B799" s="72"/>
      <c r="C799" s="75">
        <v>7</v>
      </c>
      <c r="D799" s="103" t="s">
        <v>1760</v>
      </c>
      <c r="E799" s="21"/>
      <c r="F799" s="21"/>
    </row>
    <row r="800" spans="2:19" customFormat="1" x14ac:dyDescent="0.2">
      <c r="B800" s="72"/>
      <c r="C800" s="75">
        <v>8</v>
      </c>
      <c r="D800" s="75">
        <v>4</v>
      </c>
      <c r="E800" s="21"/>
      <c r="F800" s="21"/>
    </row>
    <row r="801" spans="1:7" s="156" customFormat="1" x14ac:dyDescent="0.2">
      <c r="A801" s="143" t="str">
        <f>Translations!$B$1134</f>
        <v>Calculation - applicable tiers</v>
      </c>
    </row>
    <row r="802" spans="1:7" customFormat="1" x14ac:dyDescent="0.2">
      <c r="B802" s="103" t="str">
        <f>Translations!$B$1135</f>
        <v>Small emitter</v>
      </c>
      <c r="C802" s="75" t="str">
        <f>Translations!$B$1136</f>
        <v>Category</v>
      </c>
      <c r="D802" s="88" t="str">
        <f>Translations!$B$1137</f>
        <v>source stream cat.</v>
      </c>
      <c r="E802" s="75"/>
      <c r="F802" s="103" t="str">
        <f>Translations!$B$1138</f>
        <v>Message</v>
      </c>
    </row>
    <row r="803" spans="1:7" customFormat="1" x14ac:dyDescent="0.2">
      <c r="B803" s="72" t="str">
        <f>EUconst_CNTR_SmallEmitter</f>
        <v>SmallEmitter_</v>
      </c>
      <c r="C803" s="103" t="s">
        <v>801</v>
      </c>
      <c r="D803" s="75">
        <v>1</v>
      </c>
      <c r="E803" s="189" t="str">
        <f>B803 &amp; C803 &amp; "_" &amp; D803</f>
        <v>SmallEmitter_A_1</v>
      </c>
      <c r="F803" s="17" t="str">
        <f>Translations!$B$1139</f>
        <v>Art. 47(6) Installation with low emissions (small emitter): for all source streams tier 1 may be used as a minimum for activity data and calculation factors, unless higher accuracy is achievable without additional effort for the operator, without providing evidence that applying higher tiers is technically not feasible or would incur unreasonable costs.</v>
      </c>
      <c r="G803" s="157"/>
    </row>
    <row r="804" spans="1:7" customFormat="1" x14ac:dyDescent="0.2">
      <c r="B804" s="72" t="str">
        <f>EUconst_CNTR_SmallEmitter</f>
        <v>SmallEmitter_</v>
      </c>
      <c r="C804" s="103" t="s">
        <v>801</v>
      </c>
      <c r="D804" s="75">
        <v>2</v>
      </c>
      <c r="E804" s="189" t="str">
        <f t="shared" ref="E804:E814" si="141">B804 &amp; C804 &amp; "_" &amp; D804</f>
        <v>SmallEmitter_A_2</v>
      </c>
      <c r="F804" s="72" t="str">
        <f>Translations!$B$1139</f>
        <v>Art. 47(6) Installation with low emissions (small emitter): for all source streams tier 1 may be used as a minimum for activity data and calculation factors, unless higher accuracy is achievable without additional effort for the operator, without providing evidence that applying higher tiers is technically not feasible or would incur unreasonable costs.</v>
      </c>
    </row>
    <row r="805" spans="1:7" customFormat="1" x14ac:dyDescent="0.2">
      <c r="B805" s="72" t="str">
        <f>EUconst_CNTR_SmallEmitter</f>
        <v>SmallEmitter_</v>
      </c>
      <c r="C805" s="103" t="s">
        <v>801</v>
      </c>
      <c r="D805" s="75">
        <v>3</v>
      </c>
      <c r="E805" s="189" t="str">
        <f t="shared" si="141"/>
        <v>SmallEmitter_A_3</v>
      </c>
      <c r="F805" s="602" t="str">
        <f>Translations!$B$1142</f>
        <v>Art. 26(3) De-minimis source stream: Activity data and each calculation factor may be determined by using conservative estimations instead of using tiers, unless a defined tier is achievable without additional effort.</v>
      </c>
    </row>
    <row r="806" spans="1:7" customFormat="1" x14ac:dyDescent="0.2">
      <c r="B806" s="72" t="str">
        <f t="shared" ref="B806:B814" si="142">EUconst_CNTR_NoSmallEmitter</f>
        <v>NoSmallEmitter_</v>
      </c>
      <c r="C806" s="103" t="s">
        <v>801</v>
      </c>
      <c r="D806" s="75">
        <v>1</v>
      </c>
      <c r="E806" s="189" t="str">
        <f t="shared" si="141"/>
        <v>NoSmallEmitter_A_1</v>
      </c>
      <c r="F806" s="17" t="str">
        <f>Translations!$B$1140</f>
        <v>Art. 26(1): The minimum tiers displayed below shall at least apply. 
However, you may apply a tier up to two levels lower, with a minimum of tier 1, where you can show to the satisfaction of the competent authority that the tier required in accordance with the first subparagraph is technically not feasible or incurs unreasonable costs.</v>
      </c>
    </row>
    <row r="807" spans="1:7" customFormat="1" x14ac:dyDescent="0.2">
      <c r="B807" s="72" t="str">
        <f t="shared" si="142"/>
        <v>NoSmallEmitter_</v>
      </c>
      <c r="C807" s="103" t="s">
        <v>801</v>
      </c>
      <c r="D807" s="75">
        <v>2</v>
      </c>
      <c r="E807" s="189" t="str">
        <f t="shared" si="141"/>
        <v>NoSmallEmitter_A_2</v>
      </c>
      <c r="F807" s="17" t="str">
        <f>Translations!$B$1141</f>
        <v>Art. 26(2) Minor source stream: For activity data and each calculation factor, the highest tier which is technically feasible and does not incur unreasonable costs, with a minimum of tier 1, shall apply.</v>
      </c>
    </row>
    <row r="808" spans="1:7" customFormat="1" x14ac:dyDescent="0.2">
      <c r="B808" s="72" t="str">
        <f t="shared" si="142"/>
        <v>NoSmallEmitter_</v>
      </c>
      <c r="C808" s="103" t="s">
        <v>801</v>
      </c>
      <c r="D808" s="75">
        <v>3</v>
      </c>
      <c r="E808" s="189" t="str">
        <f t="shared" si="141"/>
        <v>NoSmallEmitter_A_3</v>
      </c>
      <c r="F808" s="17" t="str">
        <f>Translations!$B$1142</f>
        <v>Art. 26(3) De-minimis source stream: Activity data and each calculation factor may be determined by using conservative estimations instead of using tiers, unless a defined tier is achievable without additional effort.</v>
      </c>
    </row>
    <row r="809" spans="1:7" customFormat="1" x14ac:dyDescent="0.2">
      <c r="B809" s="72" t="str">
        <f t="shared" si="142"/>
        <v>NoSmallEmitter_</v>
      </c>
      <c r="C809" s="103" t="s">
        <v>1047</v>
      </c>
      <c r="D809" s="75">
        <v>1</v>
      </c>
      <c r="E809" s="189" t="str">
        <f t="shared" si="141"/>
        <v>NoSmallEmitter_B_1</v>
      </c>
      <c r="F809" s="17" t="str">
        <f>Translations!$B$453</f>
        <v>Art. 26(1): The minimum tiers displayed below shall at least apply.
However, you may apply a tier up to two levels lower, with a minimum of tier 1, where you can show to the satisfaction of the competent authority that the tier required in accordance with the first subparagraph is technically not feasible or incurs unreasonable costs.</v>
      </c>
    </row>
    <row r="810" spans="1:7" customFormat="1" x14ac:dyDescent="0.2">
      <c r="B810" s="72" t="str">
        <f t="shared" si="142"/>
        <v>NoSmallEmitter_</v>
      </c>
      <c r="C810" s="75" t="s">
        <v>1047</v>
      </c>
      <c r="D810" s="75">
        <v>2</v>
      </c>
      <c r="E810" s="189" t="str">
        <f t="shared" si="141"/>
        <v>NoSmallEmitter_B_2</v>
      </c>
      <c r="F810" s="17" t="str">
        <f>Translations!$B$1141</f>
        <v>Art. 26(2) Minor source stream: For activity data and each calculation factor, the highest tier which is technically feasible and does not incur unreasonable costs, with a minimum of tier 1, shall apply.</v>
      </c>
    </row>
    <row r="811" spans="1:7" customFormat="1" x14ac:dyDescent="0.2">
      <c r="B811" s="72" t="str">
        <f t="shared" si="142"/>
        <v>NoSmallEmitter_</v>
      </c>
      <c r="C811" s="75" t="s">
        <v>1047</v>
      </c>
      <c r="D811" s="75">
        <v>3</v>
      </c>
      <c r="E811" s="189" t="str">
        <f t="shared" si="141"/>
        <v>NoSmallEmitter_B_3</v>
      </c>
      <c r="F811" s="17" t="str">
        <f>Translations!$B$1142</f>
        <v>Art. 26(3) De-minimis source stream: Activity data and each calculation factor may be determined by using conservative estimations instead of using tiers, unless a defined tier is achievable without additional effort.</v>
      </c>
    </row>
    <row r="812" spans="1:7" customFormat="1" x14ac:dyDescent="0.2">
      <c r="B812" s="72" t="str">
        <f t="shared" si="142"/>
        <v>NoSmallEmitter_</v>
      </c>
      <c r="C812" s="75" t="s">
        <v>1188</v>
      </c>
      <c r="D812" s="75">
        <v>1</v>
      </c>
      <c r="E812" s="189" t="str">
        <f t="shared" si="141"/>
        <v>NoSmallEmitter_C_1</v>
      </c>
      <c r="F812" s="17" t="str">
        <f>Translations!$B$1143</f>
        <v>Art. 26(1): The minimum tiers displayed below shall at least apply.
However, you may apply a tier one level lower, with a minimum of tier 1, where you can show to the satisfaction of the competent authority that the tier required in accordance with the first subparagraph is technically not feasible or incurs unreasonable costs.</v>
      </c>
    </row>
    <row r="813" spans="1:7" customFormat="1" x14ac:dyDescent="0.2">
      <c r="B813" s="72" t="str">
        <f t="shared" si="142"/>
        <v>NoSmallEmitter_</v>
      </c>
      <c r="C813" s="75" t="s">
        <v>1188</v>
      </c>
      <c r="D813" s="75">
        <v>2</v>
      </c>
      <c r="E813" s="189" t="str">
        <f t="shared" si="141"/>
        <v>NoSmallEmitter_C_2</v>
      </c>
      <c r="F813" s="17" t="str">
        <f>Translations!$B$1141</f>
        <v>Art. 26(2) Minor source stream: For activity data and each calculation factor, the highest tier which is technically feasible and does not incur unreasonable costs, with a minimum of tier 1, shall apply.</v>
      </c>
    </row>
    <row r="814" spans="1:7" customFormat="1" x14ac:dyDescent="0.2">
      <c r="B814" s="72" t="str">
        <f t="shared" si="142"/>
        <v>NoSmallEmitter_</v>
      </c>
      <c r="C814" s="75" t="s">
        <v>1188</v>
      </c>
      <c r="D814" s="75">
        <v>3</v>
      </c>
      <c r="E814" s="189" t="str">
        <f t="shared" si="141"/>
        <v>NoSmallEmitter_C_3</v>
      </c>
      <c r="F814" s="17" t="str">
        <f>Translations!$B$1142</f>
        <v>Art. 26(3) De-minimis source stream: Activity data and each calculation factor may be determined by using conservative estimations instead of using tiers, unless a defined tier is achievable without additional effort.</v>
      </c>
    </row>
    <row r="815" spans="1:7" s="156" customFormat="1" x14ac:dyDescent="0.2">
      <c r="A815" s="143" t="str">
        <f>Translations!$B$1144</f>
        <v>Measurement - applicable tiers</v>
      </c>
    </row>
    <row r="816" spans="1:7" customFormat="1" x14ac:dyDescent="0.2">
      <c r="B816" s="72"/>
      <c r="C816" s="75"/>
      <c r="D816" s="75" t="str">
        <f>Translations!$B$1145</f>
        <v>Emission source cat.</v>
      </c>
      <c r="E816" s="189"/>
      <c r="F816" s="103" t="str">
        <f>Translations!$B$1138</f>
        <v>Message</v>
      </c>
    </row>
    <row r="817" spans="1:6" customFormat="1" x14ac:dyDescent="0.2">
      <c r="B817" s="72" t="str">
        <f>EUconst_CNTR_SmallEmitter</f>
        <v>SmallEmitter_</v>
      </c>
      <c r="C817" s="75"/>
      <c r="D817" s="75">
        <v>1</v>
      </c>
      <c r="E817" s="189" t="str">
        <f>B817 &amp; "_" &amp; D817</f>
        <v>SmallEmitter__1</v>
      </c>
      <c r="F817" s="602" t="str">
        <f>Translations!$B$1268</f>
        <v>Installation with low emissions / major emission source: you may apply tier 1, unless higher accuracy is achievable without additional effort for the operator.</v>
      </c>
    </row>
    <row r="818" spans="1:6" customFormat="1" x14ac:dyDescent="0.2">
      <c r="B818" s="72" t="str">
        <f>EUconst_CNTR_SmallEmitter</f>
        <v>SmallEmitter_</v>
      </c>
      <c r="C818" s="75"/>
      <c r="D818" s="75">
        <v>2</v>
      </c>
      <c r="E818" s="189" t="str">
        <f>B818 &amp; "_" &amp; D818</f>
        <v>SmallEmitter__2</v>
      </c>
      <c r="F818" s="602" t="str">
        <f>Translations!$B$1269</f>
        <v>Installation with low emissions / minor emission source: you may apply tier 1, unless higher accuracy is achievable without additional effort for the operator.</v>
      </c>
    </row>
    <row r="819" spans="1:6" customFormat="1" x14ac:dyDescent="0.2">
      <c r="B819" s="72" t="str">
        <f>EUconst_CNTR_NoSmallEmitter</f>
        <v>NoSmallEmitter_</v>
      </c>
      <c r="C819" s="75"/>
      <c r="D819" s="75">
        <v>1</v>
      </c>
      <c r="E819" s="189" t="str">
        <f>B819 &amp; "_" &amp; D819</f>
        <v>NoSmallEmitter__1</v>
      </c>
      <c r="F819" s="602" t="str">
        <f>Translations!$B$1270</f>
        <v>Major emission source: The minimum tier displayed below shall apply.
However, you may apply a tier one level lower, with a minimum of tier 1, where you can show to the satisfaction of the competent authority that the tier required in accordance with the first subparagraph is technically not feasible or incurs unreasonable costs.</v>
      </c>
    </row>
    <row r="820" spans="1:6" customFormat="1" x14ac:dyDescent="0.2">
      <c r="B820" s="72" t="str">
        <f>EUconst_CNTR_NoSmallEmitter</f>
        <v>NoSmallEmitter_</v>
      </c>
      <c r="C820" s="75"/>
      <c r="D820" s="75">
        <v>2</v>
      </c>
      <c r="E820" s="189" t="str">
        <f>B820 &amp; "_" &amp; D820</f>
        <v>NoSmallEmitter__2</v>
      </c>
      <c r="F820" s="602" t="str">
        <f>Translations!$B$1271</f>
        <v>Minor emission source: You may apply a low apply a lower tier than the one shown below as required, with a minimum of tier 1, where you can demonstrate that applying that tier is technically not feasible or incurs unreasonable costs.</v>
      </c>
    </row>
    <row r="821" spans="1:6" s="156" customFormat="1" x14ac:dyDescent="0.2"/>
    <row r="822" spans="1:6" customFormat="1" x14ac:dyDescent="0.2"/>
    <row r="823" spans="1:6" s="72" customFormat="1" x14ac:dyDescent="0.2">
      <c r="A823" s="72" t="s">
        <v>1048</v>
      </c>
    </row>
  </sheetData>
  <sheetProtection sheet="1" objects="1" scenarios="1" formatCells="0" formatColumns="0" formatRows="0"/>
  <mergeCells count="1">
    <mergeCell ref="E229:I229"/>
  </mergeCells>
  <phoneticPr fontId="61" type="noConversion"/>
  <conditionalFormatting sqref="P778:P780 B777:L777 O777:P777">
    <cfRule type="expression" dxfId="52" priority="5127" stopIfTrue="1">
      <formula>$Z777</formula>
    </cfRule>
  </conditionalFormatting>
  <conditionalFormatting sqref="B777:I777 L778:P780 H778:I780 B335:I335 L767:Q767 C767:I767 L335:Q335 L777 O777:P777">
    <cfRule type="containsText" dxfId="51" priority="5126" stopIfTrue="1" operator="containsText" text="!">
      <formula>NOT(ISERROR(SEARCH("!",B335)))</formula>
    </cfRule>
  </conditionalFormatting>
  <conditionalFormatting sqref="L407:Q407 B407:I407">
    <cfRule type="containsText" dxfId="50" priority="4991" stopIfTrue="1" operator="containsText" text="!">
      <formula>NOT(ISERROR(SEARCH("!",B407)))</formula>
    </cfRule>
  </conditionalFormatting>
  <conditionalFormatting sqref="B767">
    <cfRule type="containsText" dxfId="49" priority="4541" stopIfTrue="1" operator="containsText" text="!">
      <formula>NOT(ISERROR(SEARCH("!",B767)))</formula>
    </cfRule>
  </conditionalFormatting>
  <conditionalFormatting sqref="B792">
    <cfRule type="expression" dxfId="48" priority="62" stopIfTrue="1">
      <formula>$Z792</formula>
    </cfRule>
  </conditionalFormatting>
  <conditionalFormatting sqref="B792">
    <cfRule type="containsText" dxfId="47" priority="61" stopIfTrue="1" operator="containsText" text="!">
      <formula>NOT(ISERROR(SEARCH("!",B792)))</formula>
    </cfRule>
  </conditionalFormatting>
  <conditionalFormatting sqref="P781">
    <cfRule type="expression" dxfId="46" priority="60" stopIfTrue="1">
      <formula>$Z781</formula>
    </cfRule>
  </conditionalFormatting>
  <conditionalFormatting sqref="L781:P781 H781:I781">
    <cfRule type="containsText" dxfId="45" priority="59" stopIfTrue="1" operator="containsText" text="!">
      <formula>NOT(ISERROR(SEARCH("!",H781)))</formula>
    </cfRule>
  </conditionalFormatting>
  <conditionalFormatting sqref="B337:S365 B366:G366 B409:S479 B408:L408 O408:S408 B480:L480 O480:S480 B552:L552 O552:S552 B625:S695 B624:L624 O624:S624 B697:S766 B696:L696 O696:S696 B367:S407 B481:S551 B553:S623">
    <cfRule type="expression" dxfId="44" priority="48" stopIfTrue="1">
      <formula>$Z337</formula>
    </cfRule>
  </conditionalFormatting>
  <conditionalFormatting sqref="H366:S366">
    <cfRule type="expression" dxfId="43" priority="52" stopIfTrue="1">
      <formula>$B365&lt;&gt;$B366</formula>
    </cfRule>
  </conditionalFormatting>
  <conditionalFormatting sqref="H366:S366">
    <cfRule type="expression" dxfId="42" priority="49" stopIfTrue="1">
      <formula>$Z366</formula>
    </cfRule>
  </conditionalFormatting>
  <conditionalFormatting sqref="H337:N766">
    <cfRule type="expression" dxfId="41" priority="53" stopIfTrue="1">
      <formula>AL337=3</formula>
    </cfRule>
    <cfRule type="expression" dxfId="40" priority="54" stopIfTrue="1">
      <formula>AL337=2</formula>
    </cfRule>
    <cfRule type="expression" dxfId="39" priority="55" stopIfTrue="1">
      <formula>AL337=1</formula>
    </cfRule>
  </conditionalFormatting>
  <conditionalFormatting sqref="B265:S334">
    <cfRule type="expression" dxfId="38" priority="29" stopIfTrue="1">
      <formula>$B264&lt;&gt;$B265</formula>
    </cfRule>
    <cfRule type="expression" dxfId="37" priority="5144" stopIfTrue="1">
      <formula>$Z196</formula>
    </cfRule>
  </conditionalFormatting>
  <conditionalFormatting sqref="B768:L768 O768:S768">
    <cfRule type="expression" dxfId="36" priority="21" stopIfTrue="1">
      <formula>$Z768</formula>
    </cfRule>
  </conditionalFormatting>
  <conditionalFormatting sqref="H768:N768">
    <cfRule type="expression" dxfId="35" priority="22" stopIfTrue="1">
      <formula>AL768=3</formula>
    </cfRule>
    <cfRule type="expression" dxfId="34" priority="23" stopIfTrue="1">
      <formula>AL768=2</formula>
    </cfRule>
    <cfRule type="expression" dxfId="33" priority="24" stopIfTrue="1">
      <formula>AL768=1</formula>
    </cfRule>
  </conditionalFormatting>
  <conditionalFormatting sqref="B769:S775">
    <cfRule type="expression" dxfId="32" priority="1" stopIfTrue="1">
      <formula>$Z769</formula>
    </cfRule>
  </conditionalFormatting>
  <conditionalFormatting sqref="H769:N775">
    <cfRule type="expression" dxfId="31" priority="2" stopIfTrue="1">
      <formula>AL769=3</formula>
    </cfRule>
    <cfRule type="expression" dxfId="30" priority="3" stopIfTrue="1">
      <formula>AL769=2</formula>
    </cfRule>
    <cfRule type="expression" dxfId="29" priority="4" stopIfTrue="1">
      <formula>AL769=1</formula>
    </cfRule>
  </conditionalFormatting>
  <pageMargins left="0.70866141732283472" right="0.70866141732283472" top="0.78740157480314965" bottom="0.78740157480314965" header="0.31496062992125984" footer="0.31496062992125984"/>
  <pageSetup paperSize="9" scale="49" fitToWidth="3" fitToHeight="10" orientation="portrait" r:id="rId1"/>
  <headerFooter>
    <oddHeader>&amp;L&amp;F, &amp;A&amp;R&amp;D, &amp;T</oddHeader>
    <oddFooter>&amp;C&amp;P /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9"/>
    <pageSetUpPr fitToPage="1"/>
  </sheetPr>
  <dimension ref="A1:M118"/>
  <sheetViews>
    <sheetView zoomScaleNormal="100" workbookViewId="0">
      <selection sqref="A1:B3"/>
    </sheetView>
  </sheetViews>
  <sheetFormatPr defaultColWidth="9.140625" defaultRowHeight="12.75" x14ac:dyDescent="0.2"/>
  <cols>
    <col min="1" max="2" width="4.7109375" style="11" customWidth="1"/>
    <col min="3" max="12" width="12.7109375" style="11" customWidth="1"/>
    <col min="13" max="13" width="4.7109375" style="11" customWidth="1"/>
    <col min="14" max="16384" width="9.140625" style="11"/>
  </cols>
  <sheetData>
    <row r="1" spans="1:13" s="8" customFormat="1" ht="13.5" thickBot="1" x14ac:dyDescent="0.25">
      <c r="A1" s="781" t="str">
        <f>Translations!$B$58</f>
        <v>b.
Guide-lines</v>
      </c>
      <c r="B1" s="782"/>
      <c r="C1" s="779" t="str">
        <f>Translations!$B$59</f>
        <v>Navigation area:</v>
      </c>
      <c r="D1" s="780"/>
      <c r="E1" s="771" t="str">
        <f>Translations!$B$60</f>
        <v>Table of contents</v>
      </c>
      <c r="F1" s="772"/>
      <c r="G1" s="771" t="str">
        <f>Translations!$B$61</f>
        <v>Previous sheet</v>
      </c>
      <c r="H1" s="772"/>
      <c r="I1" s="771" t="str">
        <f>Translations!$B$62</f>
        <v>Next sheet</v>
      </c>
      <c r="J1" s="772"/>
      <c r="K1" s="773"/>
      <c r="L1" s="774"/>
      <c r="M1" s="7"/>
    </row>
    <row r="2" spans="1:13" s="8" customFormat="1" x14ac:dyDescent="0.2">
      <c r="A2" s="783"/>
      <c r="B2" s="784"/>
      <c r="C2" s="775" t="str">
        <f>Translations!$B$63</f>
        <v>Top of sheet</v>
      </c>
      <c r="D2" s="776"/>
      <c r="E2" s="776"/>
      <c r="F2" s="776"/>
      <c r="G2" s="776"/>
      <c r="H2" s="776"/>
      <c r="I2" s="776"/>
      <c r="J2" s="776"/>
      <c r="K2" s="777"/>
      <c r="L2" s="778"/>
      <c r="M2" s="7"/>
    </row>
    <row r="3" spans="1:13" s="8" customFormat="1" ht="13.5" thickBot="1" x14ac:dyDescent="0.25">
      <c r="A3" s="785"/>
      <c r="B3" s="786"/>
      <c r="C3" s="775" t="str">
        <f>Translations!$B$64</f>
        <v>End of sheet</v>
      </c>
      <c r="D3" s="776"/>
      <c r="E3" s="776"/>
      <c r="F3" s="776"/>
      <c r="G3" s="776"/>
      <c r="H3" s="776"/>
      <c r="I3" s="776"/>
      <c r="J3" s="776"/>
      <c r="K3" s="777"/>
      <c r="L3" s="778"/>
      <c r="M3" s="7"/>
    </row>
    <row r="5" spans="1:13" ht="18" x14ac:dyDescent="0.2">
      <c r="B5" s="766" t="str">
        <f>Translations!$B$65</f>
        <v>GUIDELINES AND CONDITIONS</v>
      </c>
      <c r="C5" s="766"/>
      <c r="D5" s="766"/>
      <c r="E5" s="766"/>
      <c r="F5" s="766"/>
      <c r="G5" s="766"/>
      <c r="H5" s="766"/>
      <c r="I5" s="766"/>
      <c r="J5" s="766"/>
    </row>
    <row r="6" spans="1:13" x14ac:dyDescent="0.2">
      <c r="B6" s="767"/>
      <c r="C6" s="767"/>
      <c r="D6" s="767"/>
      <c r="E6" s="767"/>
      <c r="F6" s="767"/>
      <c r="G6" s="767"/>
      <c r="H6" s="767"/>
      <c r="I6" s="767"/>
      <c r="J6" s="767"/>
      <c r="K6" s="767"/>
      <c r="L6" s="767"/>
    </row>
    <row r="7" spans="1:13" ht="42" customHeight="1" x14ac:dyDescent="0.2">
      <c r="A7" s="296">
        <v>1</v>
      </c>
      <c r="B7" s="733" t="str">
        <f>Translations!$B$66</f>
        <v>Directive 2003/87/EC (the "ETS Directive") requires operators of installations which are included in the Union Emission Trading Scheme (the EU ETS) to hold a valid GHG emission permit issued by the relevant Competent Authority and to monitor and report their emissions, and have the reports verified by an independent and accredited verifier.</v>
      </c>
      <c r="C7" s="733"/>
      <c r="D7" s="733"/>
      <c r="E7" s="733"/>
      <c r="F7" s="733"/>
      <c r="G7" s="733"/>
      <c r="H7" s="733"/>
      <c r="I7" s="733"/>
      <c r="J7" s="733"/>
      <c r="K7" s="733"/>
      <c r="L7" s="733"/>
    </row>
    <row r="8" spans="1:13" ht="12.75" customHeight="1" x14ac:dyDescent="0.2">
      <c r="A8" s="296"/>
      <c r="B8" s="733" t="str">
        <f>Translations!$B$67</f>
        <v>The Directive can be downloaded from:</v>
      </c>
      <c r="C8" s="733"/>
      <c r="D8" s="733"/>
      <c r="E8" s="733"/>
      <c r="F8" s="733"/>
      <c r="G8" s="733"/>
      <c r="H8" s="733"/>
      <c r="I8" s="733"/>
      <c r="J8" s="733"/>
      <c r="K8" s="733"/>
      <c r="L8" s="733"/>
    </row>
    <row r="9" spans="1:13" x14ac:dyDescent="0.2">
      <c r="A9" s="297"/>
      <c r="B9" s="760" t="s">
        <v>1812</v>
      </c>
      <c r="C9" s="761"/>
      <c r="D9" s="761"/>
      <c r="E9" s="761"/>
      <c r="F9" s="761"/>
      <c r="G9" s="761"/>
      <c r="H9" s="761"/>
      <c r="I9" s="761"/>
      <c r="J9" s="761"/>
      <c r="K9" s="761"/>
      <c r="L9" s="769"/>
    </row>
    <row r="10" spans="1:13" ht="5.0999999999999996" customHeight="1" x14ac:dyDescent="0.2">
      <c r="A10" s="297"/>
      <c r="B10" s="484"/>
      <c r="C10" s="484"/>
      <c r="D10" s="484"/>
      <c r="E10" s="484"/>
      <c r="F10" s="484"/>
      <c r="G10" s="484"/>
      <c r="H10" s="484"/>
      <c r="I10" s="484"/>
      <c r="J10" s="484"/>
      <c r="K10" s="484"/>
      <c r="L10" s="586"/>
    </row>
    <row r="11" spans="1:13" ht="26.25" customHeight="1" x14ac:dyDescent="0.2">
      <c r="A11" s="296">
        <v>2</v>
      </c>
      <c r="B11" s="733" t="str">
        <f>Translations!$B$1155</f>
        <v>The Monitoring and Reporting Regulation (Commission Regulation (EU) No 2018/2066, as amended, hereinafter the "MRR"), defines further requirements for monitoring and reporting. The MRR can be downloaded from:</v>
      </c>
      <c r="C11" s="733"/>
      <c r="D11" s="733"/>
      <c r="E11" s="733"/>
      <c r="F11" s="733"/>
      <c r="G11" s="733"/>
      <c r="H11" s="733"/>
      <c r="I11" s="733"/>
      <c r="J11" s="733"/>
      <c r="K11" s="733"/>
      <c r="L11" s="733"/>
    </row>
    <row r="12" spans="1:13" ht="12.75" customHeight="1" x14ac:dyDescent="0.2">
      <c r="A12" s="296"/>
      <c r="B12" s="768" t="s">
        <v>1813</v>
      </c>
      <c r="C12" s="768"/>
      <c r="D12" s="768"/>
      <c r="E12" s="768"/>
      <c r="F12" s="768"/>
      <c r="G12" s="768"/>
      <c r="H12" s="768"/>
      <c r="I12" s="768"/>
      <c r="J12" s="768"/>
      <c r="K12" s="768"/>
      <c r="L12" s="768"/>
    </row>
    <row r="13" spans="1:13" ht="25.5" customHeight="1" x14ac:dyDescent="0.2">
      <c r="A13" s="296"/>
      <c r="B13" s="733" t="str">
        <f>Translations!$B$71</f>
        <v>Article 12 of the MRR sets out specific requirements for the content and submission of the monitoring plan and its updates. Article 12 outlines the importance of the Monitoring plan as follows:</v>
      </c>
      <c r="C13" s="733"/>
      <c r="D13" s="733"/>
      <c r="E13" s="733"/>
      <c r="F13" s="733"/>
      <c r="G13" s="733"/>
      <c r="H13" s="733"/>
      <c r="I13" s="733"/>
      <c r="J13" s="733"/>
      <c r="K13" s="733"/>
      <c r="L13" s="733"/>
    </row>
    <row r="14" spans="1:13" ht="31.5" customHeight="1" x14ac:dyDescent="0.2">
      <c r="A14" s="296"/>
      <c r="B14" s="757" t="str">
        <f>Translations!$B$72</f>
        <v>The monitoring plan shall consist of a detailed, complete and transparent documentation of the monitoring methodology of a specific installation [or aircraft operator] and shall contain at least the elements laid down in Annex I.</v>
      </c>
      <c r="C14" s="757"/>
      <c r="D14" s="757"/>
      <c r="E14" s="757"/>
      <c r="F14" s="757"/>
      <c r="G14" s="757"/>
      <c r="H14" s="757"/>
      <c r="I14" s="757"/>
      <c r="J14" s="757"/>
      <c r="K14" s="757"/>
      <c r="L14" s="757"/>
    </row>
    <row r="15" spans="1:13" x14ac:dyDescent="0.2">
      <c r="A15" s="296"/>
      <c r="B15" s="733" t="str">
        <f>Translations!$B$73</f>
        <v>Furthermore, Article 74(1) states:</v>
      </c>
      <c r="C15" s="733"/>
      <c r="D15" s="733"/>
      <c r="E15" s="733"/>
      <c r="F15" s="733"/>
      <c r="G15" s="733"/>
      <c r="H15" s="733"/>
      <c r="I15" s="733"/>
      <c r="J15" s="733"/>
      <c r="K15" s="733"/>
      <c r="L15" s="733"/>
    </row>
    <row r="16" spans="1:13" ht="69.95" customHeight="1" x14ac:dyDescent="0.2">
      <c r="A16" s="296"/>
      <c r="B16" s="757" t="str">
        <f>Translations!$B$74</f>
        <v>Member States may require the operator and aircraft operator to use electronic templates or specific file formats for submission of monitoring plans and changes to the monitoring plan, as well as for submission of annual emissions reports, tonne-kilometre data reports, verification reports and improvement reports. 
Those templates or file format specifications established by the Member States shall, at least, contain the information contained in electronic templates or file format specifications published by the Commission.</v>
      </c>
      <c r="C16" s="757"/>
      <c r="D16" s="757"/>
      <c r="E16" s="757"/>
      <c r="F16" s="757"/>
      <c r="G16" s="757"/>
      <c r="H16" s="757"/>
      <c r="I16" s="757"/>
      <c r="J16" s="757"/>
      <c r="K16" s="757"/>
      <c r="L16" s="757"/>
    </row>
    <row r="17" spans="1:12" ht="42" customHeight="1" x14ac:dyDescent="0.2">
      <c r="A17" s="296">
        <v>3</v>
      </c>
      <c r="B17" s="733" t="str">
        <f>Translations!$B$75</f>
        <v xml:space="preserve">This file constitutes the said template for monitoring plans of installations developed by the Commission services and includes the requirements defined in Annex I as well as further requirements to assist the operator in demonstrating compliance with the MRR. Under certain conditions as described below, it may have been amended to a limited extent by a Member State's competent authority. </v>
      </c>
      <c r="C17" s="733"/>
      <c r="D17" s="733"/>
      <c r="E17" s="733"/>
      <c r="F17" s="733"/>
      <c r="G17" s="733"/>
      <c r="H17" s="733"/>
      <c r="I17" s="733"/>
      <c r="J17" s="733"/>
      <c r="K17" s="733"/>
      <c r="L17" s="733"/>
    </row>
    <row r="18" spans="1:12" ht="15.95" customHeight="1" x14ac:dyDescent="0.2">
      <c r="A18" s="296"/>
      <c r="B18" s="733" t="str">
        <f>Translations!$B$1147</f>
        <v xml:space="preserve">This monitoring plan template represents the views of the Commission services at the time of publication. </v>
      </c>
      <c r="C18" s="733"/>
      <c r="D18" s="733"/>
      <c r="E18" s="733"/>
      <c r="F18" s="733"/>
      <c r="G18" s="733"/>
      <c r="H18" s="733"/>
      <c r="I18" s="733"/>
      <c r="J18" s="733"/>
      <c r="K18" s="733"/>
      <c r="L18" s="733"/>
    </row>
    <row r="19" spans="1:12" ht="60" customHeight="1" x14ac:dyDescent="0.2">
      <c r="A19" s="296"/>
      <c r="B19" s="763" t="str">
        <f>Translations!$B$1335</f>
        <v>This is the updated version of the monitoring plan template for installations, as of 17 December 2024.</v>
      </c>
      <c r="C19" s="764"/>
      <c r="D19" s="764"/>
      <c r="E19" s="764"/>
      <c r="F19" s="764"/>
      <c r="G19" s="764"/>
      <c r="H19" s="764"/>
      <c r="I19" s="764"/>
      <c r="J19" s="764"/>
      <c r="K19" s="764"/>
      <c r="L19" s="765"/>
    </row>
    <row r="20" spans="1:12" ht="12.75" customHeight="1" x14ac:dyDescent="0.2">
      <c r="A20" s="296"/>
      <c r="B20" s="733"/>
      <c r="C20" s="733"/>
      <c r="D20" s="733"/>
      <c r="E20" s="733"/>
      <c r="F20" s="733"/>
      <c r="G20" s="733"/>
      <c r="H20" s="733"/>
      <c r="I20" s="733"/>
      <c r="J20" s="733"/>
      <c r="K20" s="733"/>
      <c r="L20" s="733"/>
    </row>
    <row r="21" spans="1:12" x14ac:dyDescent="0.2">
      <c r="A21" s="296">
        <v>4</v>
      </c>
      <c r="B21" s="733" t="str">
        <f>Translations!$B$76</f>
        <v xml:space="preserve">Furthermore the MRR (Article 13) allows the Member States to develop simplified and standardised monitoring plans for "simple" installations. </v>
      </c>
      <c r="C21" s="733"/>
      <c r="D21" s="733"/>
      <c r="E21" s="733"/>
      <c r="F21" s="733"/>
      <c r="G21" s="733"/>
      <c r="H21" s="733"/>
      <c r="I21" s="733"/>
      <c r="J21" s="733"/>
      <c r="K21" s="733"/>
      <c r="L21" s="733"/>
    </row>
    <row r="22" spans="1:12" ht="51" customHeight="1" x14ac:dyDescent="0.2">
      <c r="A22" s="296"/>
      <c r="B22" s="757" t="str">
        <f>Translations!$B$1336</f>
        <v>Member States may allow operators and aircraft operators to use standardised or simplified monitoring plans, without prejudice to Article 12(3). 
For that purpose, Member States may publish templates for those monitoring plans, including the description of data flow and control procedures referred to in Article 58 and Article 59, based on the templates and guidelines published by the Commission.</v>
      </c>
      <c r="C22" s="757"/>
      <c r="D22" s="757"/>
      <c r="E22" s="757"/>
      <c r="F22" s="757"/>
      <c r="G22" s="757"/>
      <c r="H22" s="757"/>
      <c r="I22" s="757"/>
      <c r="J22" s="757"/>
      <c r="K22" s="757"/>
      <c r="L22" s="757"/>
    </row>
    <row r="23" spans="1:12" ht="25.5" customHeight="1" x14ac:dyDescent="0.2">
      <c r="A23" s="296"/>
      <c r="B23" s="733" t="str">
        <f>Translations!$B$78</f>
        <v>According to the Commission's guidance document No. 1 ("General guidance for installations"), such standardised templates should be provided by adding standard texts where appropriate in this template here.</v>
      </c>
      <c r="C23" s="733"/>
      <c r="D23" s="733"/>
      <c r="E23" s="733"/>
      <c r="F23" s="733"/>
      <c r="G23" s="733"/>
      <c r="H23" s="733"/>
      <c r="I23" s="733"/>
      <c r="J23" s="733"/>
      <c r="K23" s="733"/>
      <c r="L23" s="733"/>
    </row>
    <row r="24" spans="1:12" ht="25.5" customHeight="1" x14ac:dyDescent="0.2">
      <c r="A24" s="296"/>
      <c r="B24" s="733" t="str">
        <f>Translations!$B$79</f>
        <v>If your installation is eligible for such simplified and/or standardised monitoring plan in accordance with the requirements laid down in guidance document 1, please check with your competent authority or its website whether your Member State provides such simplified templates.</v>
      </c>
      <c r="C24" s="733"/>
      <c r="D24" s="733"/>
      <c r="E24" s="733"/>
      <c r="F24" s="733"/>
      <c r="G24" s="733"/>
      <c r="H24" s="733"/>
      <c r="I24" s="733"/>
      <c r="J24" s="733"/>
      <c r="K24" s="733"/>
      <c r="L24" s="733"/>
    </row>
    <row r="25" spans="1:12" ht="4.9000000000000004" customHeight="1" x14ac:dyDescent="0.2">
      <c r="A25" s="296"/>
      <c r="B25" s="298"/>
      <c r="C25" s="298"/>
      <c r="D25" s="298"/>
      <c r="E25" s="298"/>
      <c r="F25" s="298"/>
      <c r="G25" s="298"/>
      <c r="H25" s="298"/>
      <c r="I25" s="298"/>
      <c r="J25" s="298"/>
      <c r="K25" s="298"/>
      <c r="L25" s="298"/>
    </row>
    <row r="26" spans="1:12" ht="12.75" customHeight="1" x14ac:dyDescent="0.2">
      <c r="A26" s="296">
        <v>5</v>
      </c>
      <c r="B26" s="733" t="str">
        <f>Translations!$B$80</f>
        <v>All Commission guidance documents on the Monitoring and Reporting Regulation can be found at:</v>
      </c>
      <c r="C26" s="733"/>
      <c r="D26" s="733"/>
      <c r="E26" s="733"/>
      <c r="F26" s="733"/>
      <c r="G26" s="733"/>
      <c r="H26" s="733"/>
      <c r="I26" s="733"/>
      <c r="J26" s="733"/>
      <c r="K26" s="733"/>
      <c r="L26" s="733"/>
    </row>
    <row r="27" spans="1:12" ht="12.75" customHeight="1" x14ac:dyDescent="0.2">
      <c r="A27" s="296"/>
      <c r="B27" s="760" t="s">
        <v>1815</v>
      </c>
      <c r="C27" s="761"/>
      <c r="D27" s="761"/>
      <c r="E27" s="761"/>
      <c r="F27" s="761"/>
      <c r="G27" s="761"/>
      <c r="H27" s="761"/>
      <c r="I27" s="761"/>
      <c r="J27" s="761"/>
      <c r="K27" s="761"/>
      <c r="L27" s="762"/>
    </row>
    <row r="28" spans="1:12" ht="12.75" customHeight="1" x14ac:dyDescent="0.2">
      <c r="A28" s="296"/>
      <c r="B28" s="733" t="str">
        <f>Translations!$B$1159</f>
        <v>It is recommended to start with the "Quick guide for operators of stationary installations" and "Guidance Document 1"</v>
      </c>
      <c r="C28" s="733"/>
      <c r="D28" s="733"/>
      <c r="E28" s="733"/>
      <c r="F28" s="733"/>
      <c r="G28" s="733"/>
      <c r="H28" s="733"/>
      <c r="I28" s="733"/>
      <c r="J28" s="733"/>
      <c r="K28" s="733"/>
      <c r="L28" s="733"/>
    </row>
    <row r="29" spans="1:12" x14ac:dyDescent="0.2">
      <c r="A29" s="296"/>
      <c r="B29" s="299"/>
      <c r="C29" s="299"/>
      <c r="D29" s="299"/>
      <c r="E29" s="299"/>
      <c r="F29" s="299"/>
      <c r="G29" s="299"/>
      <c r="H29" s="299"/>
      <c r="I29" s="299"/>
      <c r="J29" s="299"/>
      <c r="K29" s="299"/>
      <c r="L29" s="299"/>
    </row>
    <row r="30" spans="1:12" x14ac:dyDescent="0.2">
      <c r="A30" s="296">
        <v>6</v>
      </c>
      <c r="B30" s="749" t="str">
        <f>Translations!$B$82</f>
        <v>Before you use this file, please carry out the following steps:</v>
      </c>
      <c r="C30" s="749"/>
      <c r="D30" s="749"/>
      <c r="E30" s="749"/>
      <c r="F30" s="749"/>
      <c r="G30" s="749"/>
      <c r="H30" s="749"/>
      <c r="I30" s="749"/>
      <c r="J30" s="749"/>
      <c r="K30" s="749"/>
      <c r="L30" s="749"/>
    </row>
    <row r="31" spans="1:12" x14ac:dyDescent="0.2">
      <c r="A31" s="296"/>
      <c r="B31" s="300" t="s">
        <v>1018</v>
      </c>
      <c r="C31" s="746" t="str">
        <f>Translations!$B$83</f>
        <v>Read carefully the instructions below for filling this template.</v>
      </c>
      <c r="D31" s="746"/>
      <c r="E31" s="746"/>
      <c r="F31" s="746"/>
      <c r="G31" s="746"/>
      <c r="H31" s="746"/>
      <c r="I31" s="746"/>
      <c r="J31" s="746"/>
      <c r="K31" s="746"/>
      <c r="L31" s="746"/>
    </row>
    <row r="32" spans="1:12" ht="29.25" customHeight="1" x14ac:dyDescent="0.2">
      <c r="A32" s="296"/>
      <c r="B32" s="300" t="s">
        <v>1020</v>
      </c>
      <c r="C32" s="733" t="str">
        <f>Translations!$B$84</f>
        <v>Identify the Competent Authority (CA) responsible for your installation in the Member State where the installation is situated (there may be more than one CA per Member State). Note that "Member State" here means all States which are participating in the EU ETS, not only EU Member States.</v>
      </c>
      <c r="D32" s="733"/>
      <c r="E32" s="733"/>
      <c r="F32" s="733"/>
      <c r="G32" s="733"/>
      <c r="H32" s="733"/>
      <c r="I32" s="733"/>
      <c r="J32" s="733"/>
      <c r="K32" s="733"/>
      <c r="L32" s="733"/>
    </row>
    <row r="33" spans="1:12" ht="30.75" customHeight="1" x14ac:dyDescent="0.2">
      <c r="A33" s="296"/>
      <c r="B33" s="300" t="s">
        <v>554</v>
      </c>
      <c r="C33" s="733" t="str">
        <f>Translations!$B$85</f>
        <v>Check the CA's webpage or directly contact the CA in order to find out if you have the correct version of the template. The template version (in particular the reference file name) is clearly indicated on the cover page of this file.</v>
      </c>
      <c r="D33" s="733"/>
      <c r="E33" s="733"/>
      <c r="F33" s="733"/>
      <c r="G33" s="733"/>
      <c r="H33" s="733"/>
      <c r="I33" s="733"/>
      <c r="J33" s="733"/>
      <c r="K33" s="733"/>
      <c r="L33" s="733"/>
    </row>
    <row r="34" spans="1:12" ht="29.25" customHeight="1" x14ac:dyDescent="0.2">
      <c r="A34" s="296"/>
      <c r="B34" s="300" t="s">
        <v>1022</v>
      </c>
      <c r="C34" s="733" t="str">
        <f>Translations!$B$86</f>
        <v>Some Member States may require you to use an alternative system, such as internet-based form instead of a spreadsheet. Check your Member State requirements. In this case the CA will provide further information to you.</v>
      </c>
      <c r="D34" s="733"/>
      <c r="E34" s="733"/>
      <c r="F34" s="733"/>
      <c r="G34" s="733"/>
      <c r="H34" s="733"/>
      <c r="I34" s="733"/>
      <c r="J34" s="733"/>
      <c r="K34" s="733"/>
      <c r="L34" s="733"/>
    </row>
    <row r="35" spans="1:12" x14ac:dyDescent="0.2">
      <c r="A35" s="296"/>
      <c r="B35" s="733"/>
      <c r="C35" s="733"/>
      <c r="D35" s="733"/>
      <c r="E35" s="733"/>
      <c r="F35" s="733"/>
      <c r="G35" s="733"/>
      <c r="H35" s="733"/>
      <c r="I35" s="733"/>
      <c r="J35" s="733"/>
      <c r="K35" s="733"/>
      <c r="L35" s="733"/>
    </row>
    <row r="36" spans="1:12" ht="15" customHeight="1" x14ac:dyDescent="0.2">
      <c r="A36" s="296">
        <v>7</v>
      </c>
      <c r="B36" s="733" t="str">
        <f>Translations!$B$87</f>
        <v>This monitoring plan must be submitted to your competent authority at the following address:</v>
      </c>
      <c r="C36" s="733"/>
      <c r="D36" s="733"/>
      <c r="E36" s="733"/>
      <c r="F36" s="733"/>
      <c r="G36" s="733"/>
      <c r="H36" s="733"/>
      <c r="I36" s="733"/>
      <c r="J36" s="733"/>
      <c r="K36" s="733"/>
      <c r="L36" s="733"/>
    </row>
    <row r="37" spans="1:12" x14ac:dyDescent="0.2">
      <c r="A37" s="296"/>
      <c r="B37" s="301"/>
      <c r="C37" s="301"/>
      <c r="D37" s="301"/>
      <c r="E37" s="301"/>
      <c r="F37" s="301"/>
      <c r="G37" s="301"/>
      <c r="H37" s="301"/>
      <c r="I37" s="301"/>
      <c r="J37" s="301"/>
      <c r="K37" s="301"/>
      <c r="L37" s="301"/>
    </row>
    <row r="38" spans="1:12" x14ac:dyDescent="0.2">
      <c r="E38" s="758" t="str">
        <f>Translations!$B$88</f>
        <v>Detail address to be provided by the Member State</v>
      </c>
      <c r="F38" s="758"/>
      <c r="G38" s="758"/>
      <c r="H38" s="758"/>
    </row>
    <row r="39" spans="1:12" x14ac:dyDescent="0.2">
      <c r="E39" s="759"/>
      <c r="F39" s="759"/>
      <c r="G39" s="759"/>
      <c r="H39" s="759"/>
    </row>
    <row r="40" spans="1:12" x14ac:dyDescent="0.2">
      <c r="E40" s="759"/>
      <c r="F40" s="759"/>
      <c r="G40" s="759"/>
      <c r="H40" s="759"/>
    </row>
    <row r="41" spans="1:12" x14ac:dyDescent="0.2">
      <c r="E41" s="759"/>
      <c r="F41" s="759"/>
      <c r="G41" s="759"/>
      <c r="H41" s="759"/>
    </row>
    <row r="42" spans="1:12" x14ac:dyDescent="0.2">
      <c r="E42" s="759"/>
      <c r="F42" s="759"/>
      <c r="G42" s="759"/>
      <c r="H42" s="759"/>
    </row>
    <row r="43" spans="1:12" x14ac:dyDescent="0.2">
      <c r="E43" s="759"/>
      <c r="F43" s="759"/>
      <c r="G43" s="759"/>
      <c r="H43" s="759"/>
    </row>
    <row r="44" spans="1:12" x14ac:dyDescent="0.2">
      <c r="E44" s="759"/>
      <c r="F44" s="759"/>
      <c r="G44" s="759"/>
      <c r="H44" s="759"/>
    </row>
    <row r="45" spans="1:12" x14ac:dyDescent="0.2">
      <c r="E45" s="759"/>
      <c r="F45" s="759"/>
      <c r="G45" s="759"/>
      <c r="H45" s="759"/>
    </row>
    <row r="47" spans="1:12" ht="64.5" customHeight="1" x14ac:dyDescent="0.2">
      <c r="A47" s="296">
        <v>8</v>
      </c>
      <c r="B47" s="733" t="str">
        <f>Translations!$B$89</f>
        <v>The CA may contact you to discuss modifications to your monitoring plan to ensure the accurate and verifiable monitoring and reporting of annual emissions, according to the general and specific requirements of the MRR. Notwithstanding Article 16(1) of the MRR, upon notification of approval from the CA you will use the latest approved version of the monitoring plan as the methodology to determine annual emissions and implement your data acquisition and handling activities and control activities. It will serve also as a reference for verification of your annual emissions report.</v>
      </c>
      <c r="C47" s="733"/>
      <c r="D47" s="733"/>
      <c r="E47" s="733"/>
      <c r="F47" s="733"/>
      <c r="G47" s="733"/>
      <c r="H47" s="733"/>
      <c r="I47" s="733"/>
      <c r="J47" s="733"/>
      <c r="K47" s="733"/>
      <c r="L47" s="733"/>
    </row>
    <row r="48" spans="1:12" ht="63.75" customHeight="1" x14ac:dyDescent="0.2">
      <c r="A48" s="296">
        <v>9</v>
      </c>
      <c r="B48" s="733" t="str">
        <f>Translations!$B$90</f>
        <v>You must notify any proposals for significant modifications to the monitoring plan to the CA without undue delay. Any significant change in your monitoring methodology shall be subject to approval by the CA, as set in Article 14 and 15 of the MRR. Where you can assume reasonably (in accordance with Article 15) that necessary updates of the monitoring plan are not significant, you may notify the CA of those updates jointly once per year in accordance with the deadline specified in that Article (subject to competent authority agreement).</v>
      </c>
      <c r="C48" s="733"/>
      <c r="D48" s="733"/>
      <c r="E48" s="733"/>
      <c r="F48" s="733"/>
      <c r="G48" s="733"/>
      <c r="H48" s="733"/>
      <c r="I48" s="733"/>
      <c r="J48" s="733"/>
      <c r="K48" s="733"/>
      <c r="L48" s="733"/>
    </row>
    <row r="49" spans="1:12" ht="25.5" customHeight="1" x14ac:dyDescent="0.2">
      <c r="A49" s="296">
        <v>10</v>
      </c>
      <c r="B49" s="733" t="str">
        <f>Translations!$B$91</f>
        <v>You must implement and keep records of all modifications to the monitoring plan in accordance with Article 16 of the MRR.</v>
      </c>
      <c r="C49" s="733"/>
      <c r="D49" s="733"/>
      <c r="E49" s="733"/>
      <c r="F49" s="733"/>
      <c r="G49" s="733"/>
      <c r="H49" s="733"/>
      <c r="I49" s="733"/>
      <c r="J49" s="733"/>
      <c r="K49" s="733"/>
      <c r="L49" s="733"/>
    </row>
    <row r="50" spans="1:12" ht="25.5" customHeight="1" x14ac:dyDescent="0.2">
      <c r="A50" s="296">
        <v>11</v>
      </c>
      <c r="B50" s="733" t="str">
        <f>Translations!$B$92</f>
        <v>Contact your CA if you need assistance to complete your Monitoring Plan. Some Member States have produced guidance documents which you may find useful.</v>
      </c>
      <c r="C50" s="733"/>
      <c r="D50" s="733"/>
      <c r="E50" s="733"/>
      <c r="F50" s="733"/>
      <c r="G50" s="733"/>
      <c r="H50" s="733"/>
      <c r="I50" s="733"/>
      <c r="J50" s="733"/>
      <c r="K50" s="733"/>
      <c r="L50" s="733"/>
    </row>
    <row r="51" spans="1:12" ht="54.75" customHeight="1" x14ac:dyDescent="0.2">
      <c r="A51" s="296">
        <v>12</v>
      </c>
      <c r="B51" s="749" t="str">
        <f>Translations!$B$93</f>
        <v>Confidentiality statement- 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CA know. You should be aware that under the provisions Directive 2003/4/EC, the CA may be obliged to disclose information even where the applicant requests that it is kept confidential.</v>
      </c>
      <c r="C51" s="733"/>
      <c r="D51" s="733"/>
      <c r="E51" s="733"/>
      <c r="F51" s="733"/>
      <c r="G51" s="733"/>
      <c r="H51" s="733"/>
      <c r="I51" s="733"/>
      <c r="J51" s="733"/>
      <c r="K51" s="733"/>
      <c r="L51" s="733"/>
    </row>
    <row r="52" spans="1:12" x14ac:dyDescent="0.2">
      <c r="A52" s="296"/>
      <c r="B52" s="299"/>
      <c r="C52" s="299"/>
      <c r="D52" s="299"/>
      <c r="E52" s="299"/>
      <c r="F52" s="299"/>
      <c r="G52" s="299"/>
      <c r="H52" s="299"/>
      <c r="I52" s="299"/>
      <c r="J52" s="299"/>
      <c r="K52" s="299"/>
      <c r="L52" s="299"/>
    </row>
    <row r="53" spans="1:12" ht="15" x14ac:dyDescent="0.2">
      <c r="A53" s="296">
        <v>13</v>
      </c>
      <c r="B53" s="754" t="str">
        <f>Translations!$B$94</f>
        <v>Information sources:</v>
      </c>
      <c r="C53" s="754"/>
      <c r="D53" s="754"/>
      <c r="E53" s="754"/>
      <c r="F53" s="754"/>
      <c r="G53" s="754"/>
      <c r="H53" s="754"/>
      <c r="I53" s="754"/>
      <c r="J53" s="754"/>
      <c r="K53" s="754"/>
      <c r="L53" s="754"/>
    </row>
    <row r="54" spans="1:12" x14ac:dyDescent="0.2">
      <c r="A54" s="296"/>
      <c r="B54" s="302" t="str">
        <f>Translations!$B$95</f>
        <v>EU Websites:</v>
      </c>
      <c r="C54" s="299"/>
      <c r="D54" s="299"/>
      <c r="E54" s="299"/>
      <c r="F54" s="299"/>
      <c r="G54" s="299"/>
      <c r="H54" s="299"/>
      <c r="I54" s="299"/>
      <c r="J54" s="299"/>
      <c r="K54" s="299"/>
      <c r="L54" s="299"/>
    </row>
    <row r="55" spans="1:12" x14ac:dyDescent="0.2">
      <c r="A55" s="296"/>
      <c r="B55" s="299" t="str">
        <f>Translations!$B$96</f>
        <v>EU-Legislation:</v>
      </c>
      <c r="C55" s="299"/>
      <c r="D55" s="755" t="str">
        <f>Translations!$B$97</f>
        <v xml:space="preserve">http://eur-lex.europa.eu/en/index.htm </v>
      </c>
      <c r="E55" s="756"/>
      <c r="F55" s="756"/>
      <c r="G55" s="756"/>
      <c r="H55" s="756"/>
      <c r="I55" s="756"/>
      <c r="J55" s="299"/>
      <c r="K55" s="299"/>
      <c r="L55" s="299"/>
    </row>
    <row r="56" spans="1:12" x14ac:dyDescent="0.2">
      <c r="A56" s="296"/>
      <c r="B56" s="299" t="str">
        <f>Translations!$B$98</f>
        <v>EU ETS general:</v>
      </c>
      <c r="C56" s="299"/>
      <c r="D56" s="303" t="str">
        <f>Translations!$B$99</f>
        <v>http://ec.europa.eu/clima/policies/ets/index_en.htm</v>
      </c>
      <c r="E56" s="299"/>
      <c r="F56" s="299"/>
      <c r="G56" s="299"/>
      <c r="H56" s="299"/>
      <c r="I56" s="299"/>
      <c r="J56" s="299"/>
      <c r="K56" s="299"/>
      <c r="L56" s="299"/>
    </row>
    <row r="57" spans="1:12" x14ac:dyDescent="0.2">
      <c r="A57" s="296"/>
      <c r="B57" s="299" t="str">
        <f>Translations!$B$100</f>
        <v xml:space="preserve">Monitoring and Reporting in the EU ETS: </v>
      </c>
      <c r="C57" s="299"/>
      <c r="D57" s="299"/>
      <c r="E57" s="299"/>
      <c r="F57" s="299"/>
      <c r="G57" s="299"/>
      <c r="H57" s="299"/>
      <c r="I57" s="299"/>
      <c r="J57" s="299"/>
      <c r="K57" s="299"/>
      <c r="L57" s="299"/>
    </row>
    <row r="58" spans="1:12" x14ac:dyDescent="0.2">
      <c r="A58" s="296"/>
      <c r="B58" s="299"/>
      <c r="C58" s="299"/>
      <c r="D58" s="755" t="str">
        <f>Translations!$B$81</f>
        <v>http://ec.europa.eu/clima/policies/ets/monitoring/index_en.htm</v>
      </c>
      <c r="E58" s="756"/>
      <c r="F58" s="756"/>
      <c r="G58" s="756"/>
      <c r="H58" s="756"/>
      <c r="I58" s="756"/>
      <c r="J58" s="299"/>
      <c r="K58" s="299"/>
      <c r="L58" s="299"/>
    </row>
    <row r="59" spans="1:12" x14ac:dyDescent="0.2">
      <c r="B59" s="302" t="str">
        <f>Translations!$B$101</f>
        <v>Other Websites:</v>
      </c>
    </row>
    <row r="60" spans="1:12" x14ac:dyDescent="0.2">
      <c r="B60" s="731" t="str">
        <f>Translations!$B$102</f>
        <v>&lt;to be provided by Member State&gt;</v>
      </c>
      <c r="C60" s="732"/>
      <c r="D60" s="732"/>
      <c r="E60" s="732"/>
      <c r="F60" s="732"/>
      <c r="G60" s="732"/>
      <c r="H60" s="732"/>
      <c r="I60" s="732"/>
      <c r="J60" s="732"/>
      <c r="K60" s="732"/>
      <c r="L60" s="732"/>
    </row>
    <row r="61" spans="1:12" x14ac:dyDescent="0.2">
      <c r="B61" s="731"/>
      <c r="C61" s="732"/>
      <c r="D61" s="732"/>
      <c r="E61" s="732"/>
      <c r="F61" s="732"/>
      <c r="G61" s="732"/>
      <c r="H61" s="732"/>
      <c r="I61" s="732"/>
      <c r="J61" s="732"/>
      <c r="K61" s="732"/>
      <c r="L61" s="732"/>
    </row>
    <row r="62" spans="1:12" x14ac:dyDescent="0.2">
      <c r="B62" s="302" t="str">
        <f>Translations!$B$103</f>
        <v>Helpdesk:</v>
      </c>
      <c r="C62" s="7"/>
      <c r="D62" s="7"/>
      <c r="E62" s="7"/>
      <c r="F62" s="7"/>
      <c r="G62" s="7"/>
      <c r="H62" s="7"/>
      <c r="I62" s="7"/>
      <c r="J62" s="7"/>
      <c r="K62" s="7"/>
      <c r="L62" s="7"/>
    </row>
    <row r="63" spans="1:12" x14ac:dyDescent="0.2">
      <c r="B63" s="731" t="str">
        <f>Translations!$B$104</f>
        <v>&lt;to be provided by Member State, if relevant&gt;</v>
      </c>
      <c r="C63" s="732"/>
      <c r="D63" s="732"/>
      <c r="E63" s="732"/>
      <c r="F63" s="732"/>
      <c r="G63" s="732"/>
      <c r="H63" s="732"/>
      <c r="I63" s="732"/>
      <c r="J63" s="732"/>
      <c r="K63" s="732"/>
      <c r="L63" s="732"/>
    </row>
    <row r="64" spans="1:12" x14ac:dyDescent="0.2">
      <c r="B64" s="731"/>
      <c r="C64" s="732"/>
      <c r="D64" s="732"/>
      <c r="E64" s="732"/>
      <c r="F64" s="732"/>
      <c r="G64" s="732"/>
      <c r="H64" s="732"/>
      <c r="I64" s="732"/>
      <c r="J64" s="732"/>
      <c r="K64" s="732"/>
      <c r="L64" s="732"/>
    </row>
    <row r="65" spans="1:12" ht="25.5" customHeight="1" x14ac:dyDescent="0.2"/>
    <row r="66" spans="1:12" ht="15.75" customHeight="1" x14ac:dyDescent="0.2">
      <c r="A66" s="296">
        <v>14</v>
      </c>
      <c r="B66" s="741" t="str">
        <f>Translations!$B$105</f>
        <v>How to use this file:</v>
      </c>
      <c r="C66" s="741"/>
      <c r="D66" s="741"/>
      <c r="E66" s="741"/>
      <c r="F66" s="741"/>
      <c r="G66" s="741"/>
      <c r="H66" s="741"/>
      <c r="I66" s="741"/>
      <c r="J66" s="741"/>
      <c r="K66" s="741"/>
      <c r="L66" s="741"/>
    </row>
    <row r="67" spans="1:12" ht="26.25" customHeight="1" x14ac:dyDescent="0.2">
      <c r="A67" s="296"/>
      <c r="B67" s="733" t="str">
        <f>Translations!$B$106</f>
        <v>This template has been developed to accommodate the minimum content of a monitoring plan required by the MRR. Operators should therefore refer to the MRR and additional Member State requirements (if any) when completing.</v>
      </c>
      <c r="C67" s="733"/>
      <c r="D67" s="733"/>
      <c r="E67" s="733"/>
      <c r="F67" s="733"/>
      <c r="G67" s="733"/>
      <c r="H67" s="733"/>
      <c r="I67" s="733"/>
      <c r="J67" s="733"/>
      <c r="K67" s="733"/>
      <c r="L67" s="733"/>
    </row>
    <row r="68" spans="1:12" ht="26.25" customHeight="1" x14ac:dyDescent="0.2">
      <c r="A68" s="296"/>
      <c r="B68" s="733" t="str">
        <f>Translations!$B$107</f>
        <v>It is recommended that you go through the file from start to end. There are a few functions which will guide you through the form which depend on previous input, such as cells changing colour if an input is not needed (see colour codes below).</v>
      </c>
      <c r="C68" s="733"/>
      <c r="D68" s="733"/>
      <c r="E68" s="733"/>
      <c r="F68" s="733"/>
      <c r="G68" s="733"/>
      <c r="H68" s="733"/>
      <c r="I68" s="733"/>
      <c r="J68" s="733"/>
      <c r="K68" s="733"/>
      <c r="L68" s="733"/>
    </row>
    <row r="69" spans="1:12" ht="43.5" customHeight="1" x14ac:dyDescent="0.2">
      <c r="A69" s="296"/>
      <c r="B69" s="733" t="str">
        <f>Translations!$B$108</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C69" s="733"/>
      <c r="D69" s="733"/>
      <c r="E69" s="733"/>
      <c r="F69" s="733"/>
      <c r="G69" s="733"/>
      <c r="H69" s="733"/>
      <c r="I69" s="733"/>
      <c r="J69" s="733"/>
      <c r="K69" s="733"/>
      <c r="L69" s="733"/>
    </row>
    <row r="70" spans="1:12" x14ac:dyDescent="0.2">
      <c r="A70" s="296"/>
      <c r="B70" s="746" t="str">
        <f>Translations!$B$109</f>
        <v>Colour codes and fonts:</v>
      </c>
      <c r="C70" s="746"/>
      <c r="D70" s="746"/>
      <c r="E70" s="746"/>
      <c r="F70" s="746"/>
      <c r="G70" s="746"/>
      <c r="H70" s="746"/>
      <c r="I70" s="746"/>
      <c r="J70" s="746"/>
      <c r="K70" s="746"/>
      <c r="L70" s="746"/>
    </row>
    <row r="71" spans="1:12" x14ac:dyDescent="0.2">
      <c r="C71" s="717" t="str">
        <f>Translations!$B$110</f>
        <v>Black bold text:</v>
      </c>
      <c r="D71" s="732"/>
      <c r="E71" s="733" t="str">
        <f>Translations!$B$111</f>
        <v>This is text provided by the Commission template. It should be kept as it is.</v>
      </c>
      <c r="F71" s="733"/>
      <c r="G71" s="733"/>
      <c r="H71" s="733"/>
      <c r="I71" s="733"/>
      <c r="J71" s="733"/>
      <c r="K71" s="733"/>
      <c r="L71" s="733"/>
    </row>
    <row r="72" spans="1:12" x14ac:dyDescent="0.2">
      <c r="C72" s="742" t="str">
        <f>Translations!$B$112</f>
        <v>Smaller italic text:</v>
      </c>
      <c r="D72" s="742"/>
      <c r="E72" s="733" t="str">
        <f>Translations!$B$113</f>
        <v>This text gives further explanations. Member States may add further explanations in MS specific versions of the template.</v>
      </c>
      <c r="F72" s="733"/>
      <c r="G72" s="733"/>
      <c r="H72" s="733"/>
      <c r="I72" s="733"/>
      <c r="J72" s="733"/>
      <c r="K72" s="733"/>
      <c r="L72" s="733"/>
    </row>
    <row r="73" spans="1:12" ht="25.5" customHeight="1" x14ac:dyDescent="0.2">
      <c r="C73" s="747"/>
      <c r="D73" s="748"/>
      <c r="E73" s="749" t="str">
        <f>Translations!$B$114</f>
        <v>Yellow fields indicate mandatory inputs. However, if the topic is not relevant for the installation, no input is required.</v>
      </c>
      <c r="F73" s="749"/>
      <c r="G73" s="749"/>
      <c r="H73" s="749"/>
      <c r="I73" s="749"/>
      <c r="J73" s="749"/>
      <c r="K73" s="749"/>
      <c r="L73" s="749"/>
    </row>
    <row r="74" spans="1:12" x14ac:dyDescent="0.2">
      <c r="C74" s="753"/>
      <c r="D74" s="748"/>
      <c r="E74" s="733" t="str">
        <f>Translations!$B$115</f>
        <v>Light yellow fields indicate that an input is optional.</v>
      </c>
      <c r="F74" s="735"/>
      <c r="G74" s="735"/>
      <c r="H74" s="735"/>
      <c r="I74" s="735"/>
      <c r="J74" s="735"/>
      <c r="K74" s="735"/>
      <c r="L74" s="735"/>
    </row>
    <row r="75" spans="1:12" x14ac:dyDescent="0.2">
      <c r="C75" s="744"/>
      <c r="D75" s="745"/>
      <c r="E75" s="733" t="str">
        <f>Translations!$B$116</f>
        <v>Green fields show automatically calculated results. Red text indicates error messages (missing data etc).</v>
      </c>
      <c r="F75" s="735"/>
      <c r="G75" s="735"/>
      <c r="H75" s="735"/>
      <c r="I75" s="735"/>
      <c r="J75" s="735"/>
      <c r="K75" s="735"/>
      <c r="L75" s="735"/>
    </row>
    <row r="76" spans="1:12" x14ac:dyDescent="0.2">
      <c r="C76" s="750"/>
      <c r="D76" s="745"/>
      <c r="E76" s="733" t="str">
        <f>Translations!$B$117</f>
        <v>Shaded fields indicate that an input in another field makes the input here irrelevant.</v>
      </c>
      <c r="F76" s="733"/>
      <c r="G76" s="733"/>
      <c r="H76" s="733"/>
      <c r="I76" s="733"/>
      <c r="J76" s="733"/>
      <c r="K76" s="733"/>
      <c r="L76" s="733"/>
    </row>
    <row r="77" spans="1:12" x14ac:dyDescent="0.2">
      <c r="C77" s="743"/>
      <c r="D77" s="743"/>
      <c r="E77" s="733" t="str">
        <f>Translations!$B$118</f>
        <v>Grey shaded areas should be filled by Member States before publishing customized version of the template.</v>
      </c>
      <c r="F77" s="735"/>
      <c r="G77" s="735"/>
      <c r="H77" s="735"/>
      <c r="I77" s="735"/>
      <c r="J77" s="735"/>
      <c r="K77" s="735"/>
      <c r="L77" s="735"/>
    </row>
    <row r="78" spans="1:12" x14ac:dyDescent="0.2">
      <c r="C78" s="734"/>
      <c r="D78" s="734"/>
      <c r="E78" s="733" t="str">
        <f>Translations!$B$119</f>
        <v>Light grey areas are dedicated for navigation and hyperlinks.</v>
      </c>
      <c r="F78" s="735"/>
      <c r="G78" s="735"/>
      <c r="H78" s="735"/>
      <c r="I78" s="735"/>
      <c r="J78" s="735"/>
      <c r="K78" s="735"/>
      <c r="L78" s="735"/>
    </row>
    <row r="80" spans="1:12" ht="38.25" customHeight="1" x14ac:dyDescent="0.2">
      <c r="A80" s="296">
        <v>15</v>
      </c>
      <c r="B80" s="733" t="str">
        <f>Translations!$B$120</f>
        <v>Navigation panels on top of each sheet provide hyperlinks for quick jumps to individual input sections. The first line ("Table of contents", "Previous sheet", "next sheet") and the points "Top of sheet" and "End of sheet" are the same for all sheets. Depending on the sheet, further menu items are added.</v>
      </c>
      <c r="C80" s="733"/>
      <c r="D80" s="733"/>
      <c r="E80" s="733"/>
      <c r="F80" s="733"/>
      <c r="G80" s="733"/>
      <c r="H80" s="733"/>
      <c r="I80" s="733"/>
      <c r="J80" s="733"/>
      <c r="K80" s="733"/>
      <c r="L80" s="733"/>
    </row>
    <row r="81" spans="1:12" ht="51" customHeight="1" x14ac:dyDescent="0.2">
      <c r="A81" s="296">
        <v>16</v>
      </c>
      <c r="B81" s="733" t="str">
        <f>Translations!$B$121</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81" s="733"/>
      <c r="D81" s="733"/>
      <c r="E81" s="733"/>
      <c r="F81" s="733"/>
      <c r="G81" s="733"/>
      <c r="H81" s="733"/>
      <c r="I81" s="733"/>
      <c r="J81" s="733"/>
      <c r="K81" s="733"/>
      <c r="L81" s="733"/>
    </row>
    <row r="82" spans="1:12" ht="51" customHeight="1" x14ac:dyDescent="0.2">
      <c r="A82" s="296">
        <v>17</v>
      </c>
      <c r="B82" s="751" t="str">
        <f>Translations!$B$122</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82" s="752"/>
      <c r="D82" s="752"/>
      <c r="E82" s="752"/>
      <c r="F82" s="752"/>
      <c r="G82" s="752"/>
      <c r="H82" s="752"/>
      <c r="I82" s="752"/>
      <c r="J82" s="752"/>
      <c r="K82" s="752"/>
      <c r="L82" s="732"/>
    </row>
    <row r="83" spans="1:12" ht="51" customHeight="1" x14ac:dyDescent="0.2">
      <c r="A83" s="296">
        <v>18</v>
      </c>
      <c r="B83" s="733" t="str">
        <f>Translations!$B$123</f>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In principle the option "Precision as displayed" of MS Excel should be deactivated. For more details, consult MS Excel's "Help" function on this topic.</v>
      </c>
      <c r="C83" s="733"/>
      <c r="D83" s="733"/>
      <c r="E83" s="733"/>
      <c r="F83" s="733"/>
      <c r="G83" s="733"/>
      <c r="H83" s="733"/>
      <c r="I83" s="733"/>
      <c r="J83" s="733"/>
      <c r="K83" s="733"/>
      <c r="L83" s="733"/>
    </row>
    <row r="84" spans="1:12" ht="4.9000000000000004" customHeight="1" thickBot="1" x14ac:dyDescent="0.25">
      <c r="B84" s="739"/>
      <c r="C84" s="740"/>
      <c r="D84" s="740"/>
      <c r="E84" s="740"/>
      <c r="F84" s="740"/>
      <c r="G84" s="740"/>
      <c r="H84" s="740"/>
      <c r="I84" s="740"/>
      <c r="J84" s="740"/>
      <c r="K84" s="740"/>
    </row>
    <row r="85" spans="1:12" ht="89.25" customHeight="1" thickBot="1" x14ac:dyDescent="0.25">
      <c r="A85" s="296">
        <v>19</v>
      </c>
      <c r="B85" s="736" t="str">
        <f>Translations!$B$124</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EU ETS installation) to ensure that correct data is reported to the competent authority.</v>
      </c>
      <c r="C85" s="737"/>
      <c r="D85" s="737"/>
      <c r="E85" s="737"/>
      <c r="F85" s="737"/>
      <c r="G85" s="737"/>
      <c r="H85" s="737"/>
      <c r="I85" s="737"/>
      <c r="J85" s="737"/>
      <c r="K85" s="737"/>
      <c r="L85" s="738"/>
    </row>
    <row r="87" spans="1:12" ht="38.25" customHeight="1" x14ac:dyDescent="0.2">
      <c r="A87" s="296">
        <v>20</v>
      </c>
      <c r="B87" s="733" t="str">
        <f>Translations!$B$125</f>
        <v>In many cases in this template you are required to fill in descriptions of the installation, its functioning, and specific methods which you apply for monitoring. In such situations text fields are provided for your input, which may be sometimes insufficient for the information you want to enter.</v>
      </c>
      <c r="C87" s="733"/>
      <c r="D87" s="733"/>
      <c r="E87" s="733"/>
      <c r="F87" s="733"/>
      <c r="G87" s="733"/>
      <c r="H87" s="733"/>
      <c r="I87" s="733"/>
      <c r="J87" s="733"/>
      <c r="K87" s="733"/>
      <c r="L87" s="733"/>
    </row>
    <row r="88" spans="1:12" ht="51" customHeight="1" x14ac:dyDescent="0.2">
      <c r="A88" s="296">
        <v>21</v>
      </c>
      <c r="B88" s="733" t="str">
        <f>Translations!$B$126</f>
        <v xml:space="preserve"> In such cases please attach your information (text, formulae, reference data, diagrams and drawings) as separate files when sending them to the competent authority. You are then requested to provide a reference to that file. Please indicate in such situations the filename of the attachment. It is furthermore advisable to add the date of the last change of the document to the reference, and to include a clearly readable indicator for that date directly in the (printable) file.</v>
      </c>
      <c r="C88" s="733"/>
      <c r="D88" s="733"/>
      <c r="E88" s="733"/>
      <c r="F88" s="733"/>
      <c r="G88" s="733"/>
      <c r="H88" s="733"/>
      <c r="I88" s="733"/>
      <c r="J88" s="733"/>
      <c r="K88" s="733"/>
      <c r="L88" s="733"/>
    </row>
    <row r="89" spans="1:12" ht="38.25" customHeight="1" thickBot="1" x14ac:dyDescent="0.25">
      <c r="A89" s="296">
        <v>22</v>
      </c>
      <c r="B89" s="733" t="str">
        <f>Translations!$B$127</f>
        <v>The competent authority may restrict the acceptable file formats. Please ensure that you use only standard office file types such as .doc, .xls, .pdf. For further acceptable file types contact your competent authority or its website.</v>
      </c>
      <c r="C89" s="733"/>
      <c r="D89" s="733"/>
      <c r="E89" s="733"/>
      <c r="F89" s="733"/>
      <c r="G89" s="733"/>
      <c r="H89" s="733"/>
      <c r="I89" s="733"/>
      <c r="J89" s="733"/>
      <c r="K89" s="733"/>
      <c r="L89" s="733"/>
    </row>
    <row r="90" spans="1:12" ht="63.75" customHeight="1" thickBot="1" x14ac:dyDescent="0.25">
      <c r="A90" s="296">
        <v>23</v>
      </c>
      <c r="B90" s="736" t="str">
        <f>Translations!$B$128</f>
        <v>This file contains macros for a few functions (adding items to lists, and showing/hiding examples). If macros are disabled on your computer, you will still be able to use the template, but without those functions. 
For ensuring that the macros don't contain a virus, they have been electronically signed. Please check on the Commission's or the competent authority's website for instructions on checking the authenticity of the template file.</v>
      </c>
      <c r="C90" s="737"/>
      <c r="D90" s="737"/>
      <c r="E90" s="737"/>
      <c r="F90" s="737"/>
      <c r="G90" s="737"/>
      <c r="H90" s="737"/>
      <c r="I90" s="737"/>
      <c r="J90" s="737"/>
      <c r="K90" s="737"/>
      <c r="L90" s="738"/>
    </row>
    <row r="93" spans="1:12" ht="15.75" x14ac:dyDescent="0.2">
      <c r="A93" s="296">
        <v>24</v>
      </c>
      <c r="B93" s="741" t="str">
        <f>Translations!$B$129</f>
        <v>Member State-specific guidance is listed here:</v>
      </c>
      <c r="C93" s="741"/>
      <c r="D93" s="741"/>
      <c r="E93" s="741"/>
      <c r="F93" s="741"/>
      <c r="G93" s="741"/>
      <c r="H93" s="741"/>
      <c r="I93" s="741"/>
      <c r="J93" s="741"/>
      <c r="K93" s="741"/>
      <c r="L93" s="741"/>
    </row>
    <row r="94" spans="1:12" x14ac:dyDescent="0.2">
      <c r="B94" s="731"/>
      <c r="C94" s="732"/>
      <c r="D94" s="732"/>
      <c r="E94" s="732"/>
      <c r="F94" s="732"/>
      <c r="G94" s="732"/>
      <c r="H94" s="732"/>
      <c r="I94" s="732"/>
      <c r="J94" s="732"/>
      <c r="K94" s="732"/>
      <c r="L94" s="732"/>
    </row>
    <row r="95" spans="1:12" x14ac:dyDescent="0.2">
      <c r="B95" s="731"/>
      <c r="C95" s="732"/>
      <c r="D95" s="732"/>
      <c r="E95" s="732"/>
      <c r="F95" s="732"/>
      <c r="G95" s="732"/>
      <c r="H95" s="732"/>
      <c r="I95" s="732"/>
      <c r="J95" s="732"/>
      <c r="K95" s="732"/>
      <c r="L95" s="732"/>
    </row>
    <row r="96" spans="1:12" x14ac:dyDescent="0.2">
      <c r="B96" s="731"/>
      <c r="C96" s="732"/>
      <c r="D96" s="732"/>
      <c r="E96" s="732"/>
      <c r="F96" s="732"/>
      <c r="G96" s="732"/>
      <c r="H96" s="732"/>
      <c r="I96" s="732"/>
      <c r="J96" s="732"/>
      <c r="K96" s="732"/>
      <c r="L96" s="732"/>
    </row>
    <row r="97" spans="2:12" x14ac:dyDescent="0.2">
      <c r="B97" s="731"/>
      <c r="C97" s="732"/>
      <c r="D97" s="732"/>
      <c r="E97" s="732"/>
      <c r="F97" s="732"/>
      <c r="G97" s="732"/>
      <c r="H97" s="732"/>
      <c r="I97" s="732"/>
      <c r="J97" s="732"/>
      <c r="K97" s="732"/>
      <c r="L97" s="732"/>
    </row>
    <row r="98" spans="2:12" x14ac:dyDescent="0.2">
      <c r="B98" s="731"/>
      <c r="C98" s="732"/>
      <c r="D98" s="732"/>
      <c r="E98" s="732"/>
      <c r="F98" s="732"/>
      <c r="G98" s="732"/>
      <c r="H98" s="732"/>
      <c r="I98" s="732"/>
      <c r="J98" s="732"/>
      <c r="K98" s="732"/>
      <c r="L98" s="732"/>
    </row>
    <row r="99" spans="2:12" x14ac:dyDescent="0.2">
      <c r="B99" s="731"/>
      <c r="C99" s="732"/>
      <c r="D99" s="732"/>
      <c r="E99" s="732"/>
      <c r="F99" s="732"/>
      <c r="G99" s="732"/>
      <c r="H99" s="732"/>
      <c r="I99" s="732"/>
      <c r="J99" s="732"/>
      <c r="K99" s="732"/>
      <c r="L99" s="732"/>
    </row>
    <row r="100" spans="2:12" x14ac:dyDescent="0.2">
      <c r="B100" s="731"/>
      <c r="C100" s="732"/>
      <c r="D100" s="732"/>
      <c r="E100" s="732"/>
      <c r="F100" s="732"/>
      <c r="G100" s="732"/>
      <c r="H100" s="732"/>
      <c r="I100" s="732"/>
      <c r="J100" s="732"/>
      <c r="K100" s="732"/>
      <c r="L100" s="732"/>
    </row>
    <row r="101" spans="2:12" x14ac:dyDescent="0.2">
      <c r="B101" s="731"/>
      <c r="C101" s="732"/>
      <c r="D101" s="732"/>
      <c r="E101" s="732"/>
      <c r="F101" s="732"/>
      <c r="G101" s="732"/>
      <c r="H101" s="732"/>
      <c r="I101" s="732"/>
      <c r="J101" s="732"/>
      <c r="K101" s="732"/>
      <c r="L101" s="732"/>
    </row>
    <row r="102" spans="2:12" x14ac:dyDescent="0.2">
      <c r="B102" s="731"/>
      <c r="C102" s="732"/>
      <c r="D102" s="732"/>
      <c r="E102" s="732"/>
      <c r="F102" s="732"/>
      <c r="G102" s="732"/>
      <c r="H102" s="732"/>
      <c r="I102" s="732"/>
      <c r="J102" s="732"/>
      <c r="K102" s="732"/>
      <c r="L102" s="732"/>
    </row>
    <row r="103" spans="2:12" x14ac:dyDescent="0.2">
      <c r="B103" s="731"/>
      <c r="C103" s="732"/>
      <c r="D103" s="732"/>
      <c r="E103" s="732"/>
      <c r="F103" s="732"/>
      <c r="G103" s="732"/>
      <c r="H103" s="732"/>
      <c r="I103" s="732"/>
      <c r="J103" s="732"/>
      <c r="K103" s="732"/>
      <c r="L103" s="732"/>
    </row>
    <row r="104" spans="2:12" x14ac:dyDescent="0.2">
      <c r="B104" s="731"/>
      <c r="C104" s="732"/>
      <c r="D104" s="732"/>
      <c r="E104" s="732"/>
      <c r="F104" s="732"/>
      <c r="G104" s="732"/>
      <c r="H104" s="732"/>
      <c r="I104" s="732"/>
      <c r="J104" s="732"/>
      <c r="K104" s="732"/>
      <c r="L104" s="732"/>
    </row>
    <row r="105" spans="2:12" x14ac:dyDescent="0.2">
      <c r="B105" s="731"/>
      <c r="C105" s="732"/>
      <c r="D105" s="732"/>
      <c r="E105" s="732"/>
      <c r="F105" s="732"/>
      <c r="G105" s="732"/>
      <c r="H105" s="732"/>
      <c r="I105" s="732"/>
      <c r="J105" s="732"/>
      <c r="K105" s="732"/>
      <c r="L105" s="732"/>
    </row>
    <row r="106" spans="2:12" x14ac:dyDescent="0.2">
      <c r="B106" s="731"/>
      <c r="C106" s="732"/>
      <c r="D106" s="732"/>
      <c r="E106" s="732"/>
      <c r="F106" s="732"/>
      <c r="G106" s="732"/>
      <c r="H106" s="732"/>
      <c r="I106" s="732"/>
      <c r="J106" s="732"/>
      <c r="K106" s="732"/>
      <c r="L106" s="732"/>
    </row>
    <row r="107" spans="2:12" x14ac:dyDescent="0.2">
      <c r="B107" s="731"/>
      <c r="C107" s="732"/>
      <c r="D107" s="732"/>
      <c r="E107" s="732"/>
      <c r="F107" s="732"/>
      <c r="G107" s="732"/>
      <c r="H107" s="732"/>
      <c r="I107" s="732"/>
      <c r="J107" s="732"/>
      <c r="K107" s="732"/>
      <c r="L107" s="732"/>
    </row>
    <row r="108" spans="2:12" x14ac:dyDescent="0.2">
      <c r="B108" s="731"/>
      <c r="C108" s="732"/>
      <c r="D108" s="732"/>
      <c r="E108" s="732"/>
      <c r="F108" s="732"/>
      <c r="G108" s="732"/>
      <c r="H108" s="732"/>
      <c r="I108" s="732"/>
      <c r="J108" s="732"/>
      <c r="K108" s="732"/>
      <c r="L108" s="732"/>
    </row>
    <row r="109" spans="2:12" x14ac:dyDescent="0.2">
      <c r="B109" s="731"/>
      <c r="C109" s="732"/>
      <c r="D109" s="732"/>
      <c r="E109" s="732"/>
      <c r="F109" s="732"/>
      <c r="G109" s="732"/>
      <c r="H109" s="732"/>
      <c r="I109" s="732"/>
      <c r="J109" s="732"/>
      <c r="K109" s="732"/>
      <c r="L109" s="732"/>
    </row>
    <row r="110" spans="2:12" x14ac:dyDescent="0.2">
      <c r="B110" s="731"/>
      <c r="C110" s="732"/>
      <c r="D110" s="732"/>
      <c r="E110" s="732"/>
      <c r="F110" s="732"/>
      <c r="G110" s="732"/>
      <c r="H110" s="732"/>
      <c r="I110" s="732"/>
      <c r="J110" s="732"/>
      <c r="K110" s="732"/>
      <c r="L110" s="732"/>
    </row>
    <row r="111" spans="2:12" x14ac:dyDescent="0.2">
      <c r="B111" s="731"/>
      <c r="C111" s="732"/>
      <c r="D111" s="732"/>
      <c r="E111" s="732"/>
      <c r="F111" s="732"/>
      <c r="G111" s="732"/>
      <c r="H111" s="732"/>
      <c r="I111" s="732"/>
      <c r="J111" s="732"/>
      <c r="K111" s="732"/>
      <c r="L111" s="732"/>
    </row>
    <row r="112" spans="2:12" x14ac:dyDescent="0.2">
      <c r="B112" s="731"/>
      <c r="C112" s="732"/>
      <c r="D112" s="732"/>
      <c r="E112" s="732"/>
      <c r="F112" s="732"/>
      <c r="G112" s="732"/>
      <c r="H112" s="732"/>
      <c r="I112" s="732"/>
      <c r="J112" s="732"/>
      <c r="K112" s="732"/>
      <c r="L112" s="732"/>
    </row>
    <row r="113" spans="2:12" x14ac:dyDescent="0.2">
      <c r="B113" s="731"/>
      <c r="C113" s="732"/>
      <c r="D113" s="732"/>
      <c r="E113" s="732"/>
      <c r="F113" s="732"/>
      <c r="G113" s="732"/>
      <c r="H113" s="732"/>
      <c r="I113" s="732"/>
      <c r="J113" s="732"/>
      <c r="K113" s="732"/>
      <c r="L113" s="732"/>
    </row>
    <row r="114" spans="2:12" x14ac:dyDescent="0.2">
      <c r="B114" s="731"/>
      <c r="C114" s="732"/>
      <c r="D114" s="732"/>
      <c r="E114" s="732"/>
      <c r="F114" s="732"/>
      <c r="G114" s="732"/>
      <c r="H114" s="732"/>
      <c r="I114" s="732"/>
      <c r="J114" s="732"/>
      <c r="K114" s="732"/>
      <c r="L114" s="732"/>
    </row>
    <row r="115" spans="2:12" x14ac:dyDescent="0.2">
      <c r="B115" s="731"/>
      <c r="C115" s="732"/>
      <c r="D115" s="732"/>
      <c r="E115" s="732"/>
      <c r="F115" s="732"/>
      <c r="G115" s="732"/>
      <c r="H115" s="732"/>
      <c r="I115" s="732"/>
      <c r="J115" s="732"/>
      <c r="K115" s="732"/>
      <c r="L115" s="732"/>
    </row>
    <row r="118" spans="2:12" s="308" customFormat="1" ht="15" customHeight="1" x14ac:dyDescent="0.2">
      <c r="D118" s="770" t="str">
        <f>EUconst_MsgNextSheet</f>
        <v xml:space="preserve">&lt;&lt;&lt; Click here to proceed to next sheet &gt;&gt;&gt; </v>
      </c>
      <c r="E118" s="770"/>
      <c r="F118" s="770"/>
      <c r="G118" s="770"/>
      <c r="H118" s="770"/>
      <c r="I118" s="770"/>
      <c r="J118" s="770"/>
    </row>
  </sheetData>
  <sheetProtection sheet="1" objects="1" scenarios="1" formatCells="0" formatColumns="0" formatRows="0"/>
  <mergeCells count="113">
    <mergeCell ref="G3:H3"/>
    <mergeCell ref="B23:L23"/>
    <mergeCell ref="C3:D3"/>
    <mergeCell ref="B5:J5"/>
    <mergeCell ref="B6:L6"/>
    <mergeCell ref="B8:L8"/>
    <mergeCell ref="B13:L13"/>
    <mergeCell ref="B7:L7"/>
    <mergeCell ref="B12:L12"/>
    <mergeCell ref="B9:L9"/>
    <mergeCell ref="D118:J118"/>
    <mergeCell ref="I1:J1"/>
    <mergeCell ref="K1:L1"/>
    <mergeCell ref="C2:D2"/>
    <mergeCell ref="E2:F2"/>
    <mergeCell ref="G2:H2"/>
    <mergeCell ref="I2:J2"/>
    <mergeCell ref="E1:F1"/>
    <mergeCell ref="G1:H1"/>
    <mergeCell ref="B18:L18"/>
    <mergeCell ref="K2:L2"/>
    <mergeCell ref="C1:D1"/>
    <mergeCell ref="B24:L24"/>
    <mergeCell ref="A1:B3"/>
    <mergeCell ref="I3:J3"/>
    <mergeCell ref="K3:L3"/>
    <mergeCell ref="E3:F3"/>
    <mergeCell ref="B11:L11"/>
    <mergeCell ref="B14:L14"/>
    <mergeCell ref="C31:L31"/>
    <mergeCell ref="C32:L32"/>
    <mergeCell ref="B35:L35"/>
    <mergeCell ref="B27:L27"/>
    <mergeCell ref="B30:L30"/>
    <mergeCell ref="B15:L15"/>
    <mergeCell ref="B19:L19"/>
    <mergeCell ref="B20:L20"/>
    <mergeCell ref="B16:L16"/>
    <mergeCell ref="B17:L17"/>
    <mergeCell ref="B21:L21"/>
    <mergeCell ref="B22:L22"/>
    <mergeCell ref="B26:L26"/>
    <mergeCell ref="E38:H45"/>
    <mergeCell ref="B47:L47"/>
    <mergeCell ref="C33:L33"/>
    <mergeCell ref="C34:L34"/>
    <mergeCell ref="B48:L48"/>
    <mergeCell ref="B36:L36"/>
    <mergeCell ref="B28:L28"/>
    <mergeCell ref="B61:L61"/>
    <mergeCell ref="B63:L63"/>
    <mergeCell ref="B64:L64"/>
    <mergeCell ref="B66:L66"/>
    <mergeCell ref="C71:D71"/>
    <mergeCell ref="E72:L72"/>
    <mergeCell ref="C74:D74"/>
    <mergeCell ref="B49:L49"/>
    <mergeCell ref="B50:L50"/>
    <mergeCell ref="B60:L60"/>
    <mergeCell ref="B67:L67"/>
    <mergeCell ref="B51:L51"/>
    <mergeCell ref="B53:L53"/>
    <mergeCell ref="D55:I55"/>
    <mergeCell ref="D58:I58"/>
    <mergeCell ref="B70:L70"/>
    <mergeCell ref="C73:D73"/>
    <mergeCell ref="E73:L73"/>
    <mergeCell ref="C76:D76"/>
    <mergeCell ref="E76:L76"/>
    <mergeCell ref="B82:L82"/>
    <mergeCell ref="E77:L77"/>
    <mergeCell ref="B80:L80"/>
    <mergeCell ref="B68:L68"/>
    <mergeCell ref="B69:L69"/>
    <mergeCell ref="E71:L71"/>
    <mergeCell ref="C72:D72"/>
    <mergeCell ref="E75:L75"/>
    <mergeCell ref="B81:L81"/>
    <mergeCell ref="C77:D77"/>
    <mergeCell ref="E74:L74"/>
    <mergeCell ref="C75:D75"/>
    <mergeCell ref="B97:L97"/>
    <mergeCell ref="B96:L96"/>
    <mergeCell ref="B94:L94"/>
    <mergeCell ref="B106:L106"/>
    <mergeCell ref="B88:L88"/>
    <mergeCell ref="C78:D78"/>
    <mergeCell ref="E78:L78"/>
    <mergeCell ref="B95:L95"/>
    <mergeCell ref="B87:L87"/>
    <mergeCell ref="B85:L85"/>
    <mergeCell ref="B83:L83"/>
    <mergeCell ref="B84:K84"/>
    <mergeCell ref="B89:L89"/>
    <mergeCell ref="B90:L90"/>
    <mergeCell ref="B93:L93"/>
    <mergeCell ref="B105:L105"/>
    <mergeCell ref="B101:L101"/>
    <mergeCell ref="B102:L102"/>
    <mergeCell ref="B99:L99"/>
    <mergeCell ref="B100:L100"/>
    <mergeCell ref="B103:L103"/>
    <mergeCell ref="B104:L104"/>
    <mergeCell ref="B98:L98"/>
    <mergeCell ref="B115:L115"/>
    <mergeCell ref="B107:L107"/>
    <mergeCell ref="B108:L108"/>
    <mergeCell ref="B109:L109"/>
    <mergeCell ref="B110:L110"/>
    <mergeCell ref="B111:L111"/>
    <mergeCell ref="B112:L112"/>
    <mergeCell ref="B113:L113"/>
    <mergeCell ref="B114:L114"/>
  </mergeCells>
  <phoneticPr fontId="9" type="noConversion"/>
  <hyperlinks>
    <hyperlink ref="D55" r:id="rId1" display="http://eur-lex.europa.eu/en/index.htm " xr:uid="{00000000-0004-0000-0100-000000000000}"/>
    <hyperlink ref="D58" r:id="rId2" display="http://ec.europa.eu/clima/policies/ets/monitoring/index_en.htm" xr:uid="{00000000-0004-0000-0100-000001000000}"/>
    <hyperlink ref="B9:K9" r:id="rId3" display="http://ec.europa.eu/clima/documentation/ets/docs/decision_benchmarking_15_dec_en.pdf. " xr:uid="{00000000-0004-0000-0100-000002000000}"/>
    <hyperlink ref="B9" r:id="rId4" xr:uid="{00000000-0004-0000-0100-000003000000}"/>
    <hyperlink ref="C2:D2" location="JUMP_b_Guidelines_Top" display="Top of sheet" xr:uid="{00000000-0004-0000-0100-000004000000}"/>
    <hyperlink ref="E1:F1" location="JUMP_a_Content" display="Table of contents" xr:uid="{00000000-0004-0000-0100-000005000000}"/>
    <hyperlink ref="C3:D3" location="JUMP_b_Guidlines_Bottom" display="End of sheet" xr:uid="{00000000-0004-0000-0100-000006000000}"/>
    <hyperlink ref="I1:J1" location="JUMP_A_Top" display="Next sheet" xr:uid="{00000000-0004-0000-0100-000007000000}"/>
    <hyperlink ref="G1:H1" location="JUMP_a_Content" display="Previous sheet" xr:uid="{00000000-0004-0000-0100-000008000000}"/>
    <hyperlink ref="D118:J118" location="JUMP_A_Top" display="JUMP_A_Top" xr:uid="{00000000-0004-0000-0100-000009000000}"/>
    <hyperlink ref="B27" r:id="rId5" xr:uid="{00000000-0004-0000-0100-00000A000000}"/>
    <hyperlink ref="B12:L12" r:id="rId6" display="https://eur-lex.europa.eu/eli/reg_impl/2018/2066/oj" xr:uid="{00000000-0004-0000-0100-00000B000000}"/>
    <hyperlink ref="B12" r:id="rId7" xr:uid="{00000000-0004-0000-0100-00000C000000}"/>
  </hyperlinks>
  <pageMargins left="0.78740157480314965" right="0.78740157480314965" top="0.78740157480314965" bottom="0.78740157480314965" header="0.39370078740157483" footer="0.39370078740157483"/>
  <pageSetup paperSize="9" scale="61" fitToHeight="2" orientation="portrait" r:id="rId8"/>
  <headerFooter alignWithMargins="0">
    <oddHeader>&amp;L&amp;F, &amp;A&amp;R&amp;D, &amp;T</oddHeader>
    <oddFooter>&amp;C&amp;P / &amp;N</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tabColor indexed="12"/>
  </sheetPr>
  <dimension ref="A1:D1381"/>
  <sheetViews>
    <sheetView topLeftCell="A1370" zoomScaleNormal="100" workbookViewId="0">
      <selection activeCell="B1381" sqref="B1381"/>
    </sheetView>
  </sheetViews>
  <sheetFormatPr defaultColWidth="9.140625" defaultRowHeight="12.75" x14ac:dyDescent="0.2"/>
  <cols>
    <col min="1" max="1" width="8.28515625" customWidth="1"/>
    <col min="2" max="3" width="70.7109375" customWidth="1"/>
  </cols>
  <sheetData>
    <row r="1" spans="1:3" ht="15" x14ac:dyDescent="0.25">
      <c r="A1" s="64" t="s">
        <v>388</v>
      </c>
      <c r="B1" s="64" t="s">
        <v>389</v>
      </c>
      <c r="C1" s="64" t="s">
        <v>390</v>
      </c>
    </row>
    <row r="2" spans="1:3" ht="26.25" x14ac:dyDescent="0.2">
      <c r="A2" s="575">
        <v>1</v>
      </c>
      <c r="B2" s="520" t="s">
        <v>915</v>
      </c>
    </row>
    <row r="3" spans="1:3" ht="15.75" x14ac:dyDescent="0.2">
      <c r="A3" s="575">
        <v>2</v>
      </c>
      <c r="B3" s="521" t="s">
        <v>1025</v>
      </c>
    </row>
    <row r="4" spans="1:3" x14ac:dyDescent="0.2">
      <c r="A4" s="575">
        <v>3</v>
      </c>
      <c r="B4" s="522" t="s">
        <v>941</v>
      </c>
    </row>
    <row r="5" spans="1:3" x14ac:dyDescent="0.2">
      <c r="A5" s="575">
        <v>4</v>
      </c>
      <c r="B5" t="s">
        <v>622</v>
      </c>
    </row>
    <row r="6" spans="1:3" x14ac:dyDescent="0.2">
      <c r="A6" s="575">
        <v>5</v>
      </c>
      <c r="B6" t="s">
        <v>623</v>
      </c>
    </row>
    <row r="7" spans="1:3" x14ac:dyDescent="0.2">
      <c r="A7" s="575">
        <v>6</v>
      </c>
      <c r="B7" s="129" t="s">
        <v>887</v>
      </c>
    </row>
    <row r="8" spans="1:3" x14ac:dyDescent="0.2">
      <c r="A8" s="575">
        <v>7</v>
      </c>
      <c r="B8" s="523" t="s">
        <v>1027</v>
      </c>
    </row>
    <row r="9" spans="1:3" x14ac:dyDescent="0.2">
      <c r="A9" s="575">
        <v>8</v>
      </c>
      <c r="B9" s="129" t="s">
        <v>613</v>
      </c>
    </row>
    <row r="10" spans="1:3" x14ac:dyDescent="0.2">
      <c r="A10" s="575">
        <v>9</v>
      </c>
      <c r="B10" s="523" t="s">
        <v>918</v>
      </c>
    </row>
    <row r="11" spans="1:3" x14ac:dyDescent="0.2">
      <c r="A11" s="575">
        <v>10</v>
      </c>
      <c r="B11" s="523" t="s">
        <v>1580</v>
      </c>
    </row>
    <row r="12" spans="1:3" x14ac:dyDescent="0.2">
      <c r="A12" s="575">
        <v>11</v>
      </c>
      <c r="B12" s="523" t="s">
        <v>547</v>
      </c>
    </row>
    <row r="13" spans="1:3" x14ac:dyDescent="0.2">
      <c r="A13" s="575">
        <v>12</v>
      </c>
      <c r="B13" s="129" t="s">
        <v>935</v>
      </c>
    </row>
    <row r="14" spans="1:3" x14ac:dyDescent="0.2">
      <c r="A14" s="575">
        <v>13</v>
      </c>
      <c r="B14" s="523" t="s">
        <v>891</v>
      </c>
    </row>
    <row r="15" spans="1:3" x14ac:dyDescent="0.2">
      <c r="A15" s="575">
        <v>14</v>
      </c>
      <c r="B15" s="523" t="s">
        <v>894</v>
      </c>
    </row>
    <row r="16" spans="1:3" x14ac:dyDescent="0.2">
      <c r="A16" s="575">
        <v>15</v>
      </c>
      <c r="B16" s="129" t="s">
        <v>936</v>
      </c>
    </row>
    <row r="17" spans="1:2" x14ac:dyDescent="0.2">
      <c r="A17" s="575">
        <v>16</v>
      </c>
      <c r="B17" s="523" t="s">
        <v>942</v>
      </c>
    </row>
    <row r="18" spans="1:2" x14ac:dyDescent="0.2">
      <c r="A18" s="575">
        <v>17</v>
      </c>
      <c r="B18" s="129" t="s">
        <v>740</v>
      </c>
    </row>
    <row r="19" spans="1:2" x14ac:dyDescent="0.2">
      <c r="A19" s="575">
        <v>18</v>
      </c>
      <c r="B19" s="523" t="s">
        <v>1001</v>
      </c>
    </row>
    <row r="20" spans="1:2" x14ac:dyDescent="0.2">
      <c r="A20" s="575">
        <v>19</v>
      </c>
      <c r="B20" s="129" t="s">
        <v>938</v>
      </c>
    </row>
    <row r="21" spans="1:2" x14ac:dyDescent="0.2">
      <c r="A21" s="575">
        <v>20</v>
      </c>
      <c r="B21" s="523" t="s">
        <v>1002</v>
      </c>
    </row>
    <row r="22" spans="1:2" x14ac:dyDescent="0.2">
      <c r="A22" s="575">
        <v>21</v>
      </c>
      <c r="B22" s="523" t="s">
        <v>1495</v>
      </c>
    </row>
    <row r="23" spans="1:2" x14ac:dyDescent="0.2">
      <c r="A23" s="575">
        <v>22</v>
      </c>
      <c r="B23" s="523" t="s">
        <v>174</v>
      </c>
    </row>
    <row r="24" spans="1:2" x14ac:dyDescent="0.2">
      <c r="A24" s="575">
        <v>23</v>
      </c>
      <c r="B24" s="129" t="s">
        <v>939</v>
      </c>
    </row>
    <row r="25" spans="1:2" x14ac:dyDescent="0.2">
      <c r="A25" s="575">
        <v>24</v>
      </c>
      <c r="B25" s="523" t="s">
        <v>1003</v>
      </c>
    </row>
    <row r="26" spans="1:2" x14ac:dyDescent="0.2">
      <c r="A26" s="575">
        <v>25</v>
      </c>
      <c r="B26" s="129" t="s">
        <v>380</v>
      </c>
    </row>
    <row r="27" spans="1:2" x14ac:dyDescent="0.2">
      <c r="A27" s="575">
        <v>26</v>
      </c>
      <c r="B27" s="523" t="s">
        <v>175</v>
      </c>
    </row>
    <row r="28" spans="1:2" x14ac:dyDescent="0.2">
      <c r="A28" s="575">
        <v>27</v>
      </c>
      <c r="B28" s="129" t="s">
        <v>307</v>
      </c>
    </row>
    <row r="29" spans="1:2" x14ac:dyDescent="0.2">
      <c r="A29" s="575">
        <v>28</v>
      </c>
      <c r="B29" s="523" t="s">
        <v>1340</v>
      </c>
    </row>
    <row r="30" spans="1:2" x14ac:dyDescent="0.2">
      <c r="A30" s="575">
        <v>29</v>
      </c>
      <c r="B30" s="523" t="s">
        <v>713</v>
      </c>
    </row>
    <row r="31" spans="1:2" x14ac:dyDescent="0.2">
      <c r="A31" s="575">
        <v>30</v>
      </c>
      <c r="B31" s="523" t="s">
        <v>855</v>
      </c>
    </row>
    <row r="32" spans="1:2" x14ac:dyDescent="0.2">
      <c r="A32" s="575">
        <v>31</v>
      </c>
      <c r="B32" s="129" t="s">
        <v>1004</v>
      </c>
    </row>
    <row r="33" spans="1:2" x14ac:dyDescent="0.2">
      <c r="A33" s="575">
        <v>32</v>
      </c>
      <c r="B33" s="523" t="s">
        <v>1515</v>
      </c>
    </row>
    <row r="34" spans="1:2" x14ac:dyDescent="0.2">
      <c r="A34" s="575">
        <v>33</v>
      </c>
      <c r="B34" s="523" t="s">
        <v>50</v>
      </c>
    </row>
    <row r="35" spans="1:2" x14ac:dyDescent="0.2">
      <c r="A35" s="575">
        <v>34</v>
      </c>
      <c r="B35" s="523" t="s">
        <v>49</v>
      </c>
    </row>
    <row r="36" spans="1:2" x14ac:dyDescent="0.2">
      <c r="A36" s="575">
        <v>35</v>
      </c>
      <c r="B36" s="129" t="s">
        <v>940</v>
      </c>
    </row>
    <row r="37" spans="1:2" x14ac:dyDescent="0.2">
      <c r="A37" s="575">
        <v>36</v>
      </c>
      <c r="B37" s="523" t="s">
        <v>1178</v>
      </c>
    </row>
    <row r="38" spans="1:2" x14ac:dyDescent="0.2">
      <c r="A38" s="575">
        <v>37</v>
      </c>
      <c r="B38" s="523" t="s">
        <v>1179</v>
      </c>
    </row>
    <row r="39" spans="1:2" x14ac:dyDescent="0.2">
      <c r="A39" s="575">
        <v>38</v>
      </c>
      <c r="B39" s="523" t="s">
        <v>1180</v>
      </c>
    </row>
    <row r="40" spans="1:2" x14ac:dyDescent="0.2">
      <c r="A40" s="575">
        <v>39</v>
      </c>
      <c r="B40" s="523" t="s">
        <v>1021</v>
      </c>
    </row>
    <row r="41" spans="1:2" x14ac:dyDescent="0.2">
      <c r="A41" s="575">
        <v>40</v>
      </c>
      <c r="B41" s="523" t="s">
        <v>443</v>
      </c>
    </row>
    <row r="42" spans="1:2" x14ac:dyDescent="0.2">
      <c r="A42" s="575">
        <v>41</v>
      </c>
      <c r="B42" s="523" t="s">
        <v>1059</v>
      </c>
    </row>
    <row r="43" spans="1:2" x14ac:dyDescent="0.2">
      <c r="A43" s="575">
        <v>42</v>
      </c>
      <c r="B43" s="129" t="s">
        <v>1005</v>
      </c>
    </row>
    <row r="44" spans="1:2" x14ac:dyDescent="0.2">
      <c r="A44" s="575">
        <v>43</v>
      </c>
      <c r="B44" s="523" t="s">
        <v>1585</v>
      </c>
    </row>
    <row r="45" spans="1:2" x14ac:dyDescent="0.2">
      <c r="A45" s="575">
        <v>44</v>
      </c>
      <c r="B45" s="322" t="s">
        <v>593</v>
      </c>
    </row>
    <row r="46" spans="1:2" x14ac:dyDescent="0.2">
      <c r="A46" s="575">
        <v>45</v>
      </c>
      <c r="B46" s="336" t="s">
        <v>902</v>
      </c>
    </row>
    <row r="47" spans="1:2" x14ac:dyDescent="0.2">
      <c r="A47" s="575">
        <v>46</v>
      </c>
      <c r="B47" s="522" t="s">
        <v>1456</v>
      </c>
    </row>
    <row r="48" spans="1:2" x14ac:dyDescent="0.2">
      <c r="A48" s="575">
        <v>47</v>
      </c>
      <c r="B48" s="522" t="s">
        <v>862</v>
      </c>
    </row>
    <row r="49" spans="1:2" x14ac:dyDescent="0.2">
      <c r="A49" s="575">
        <v>48</v>
      </c>
      <c r="B49" s="522" t="s">
        <v>861</v>
      </c>
    </row>
    <row r="50" spans="1:2" ht="26.25" thickBot="1" x14ac:dyDescent="0.25">
      <c r="A50" s="575">
        <v>49</v>
      </c>
      <c r="B50" s="129" t="s">
        <v>436</v>
      </c>
    </row>
    <row r="51" spans="1:2" ht="13.5" thickBot="1" x14ac:dyDescent="0.25">
      <c r="A51" s="575">
        <v>50</v>
      </c>
      <c r="B51" s="524" t="s">
        <v>437</v>
      </c>
    </row>
    <row r="52" spans="1:2" x14ac:dyDescent="0.2">
      <c r="A52" s="575">
        <v>51</v>
      </c>
      <c r="B52" s="525" t="s">
        <v>438</v>
      </c>
    </row>
    <row r="53" spans="1:2" ht="13.5" thickBot="1" x14ac:dyDescent="0.25">
      <c r="A53" s="575">
        <v>52</v>
      </c>
      <c r="B53" s="322" t="s">
        <v>592</v>
      </c>
    </row>
    <row r="54" spans="1:2" x14ac:dyDescent="0.2">
      <c r="A54" s="575">
        <v>53</v>
      </c>
      <c r="B54" s="526" t="s">
        <v>588</v>
      </c>
    </row>
    <row r="55" spans="1:2" x14ac:dyDescent="0.2">
      <c r="A55" s="575">
        <v>54</v>
      </c>
      <c r="B55" s="527" t="s">
        <v>591</v>
      </c>
    </row>
    <row r="56" spans="1:2" x14ac:dyDescent="0.2">
      <c r="A56" s="575">
        <v>55</v>
      </c>
      <c r="B56" s="527" t="s">
        <v>589</v>
      </c>
    </row>
    <row r="57" spans="1:2" ht="13.5" thickBot="1" x14ac:dyDescent="0.25">
      <c r="A57" s="575">
        <v>56</v>
      </c>
      <c r="B57" s="528" t="s">
        <v>590</v>
      </c>
    </row>
    <row r="58" spans="1:2" ht="26.25" thickBot="1" x14ac:dyDescent="0.25">
      <c r="A58" s="575">
        <v>57</v>
      </c>
      <c r="B58" s="529" t="s">
        <v>81</v>
      </c>
    </row>
    <row r="59" spans="1:2" ht="13.5" thickBot="1" x14ac:dyDescent="0.25">
      <c r="A59" s="575">
        <v>58</v>
      </c>
      <c r="B59" s="530" t="s">
        <v>338</v>
      </c>
    </row>
    <row r="60" spans="1:2" x14ac:dyDescent="0.2">
      <c r="A60" s="575">
        <v>59</v>
      </c>
      <c r="B60" t="s">
        <v>339</v>
      </c>
    </row>
    <row r="61" spans="1:2" x14ac:dyDescent="0.2">
      <c r="A61" s="575">
        <v>60</v>
      </c>
      <c r="B61" t="s">
        <v>340</v>
      </c>
    </row>
    <row r="62" spans="1:2" x14ac:dyDescent="0.2">
      <c r="A62" s="575">
        <v>61</v>
      </c>
      <c r="B62" t="s">
        <v>341</v>
      </c>
    </row>
    <row r="63" spans="1:2" x14ac:dyDescent="0.2">
      <c r="A63" s="575">
        <v>62</v>
      </c>
      <c r="B63" t="s">
        <v>342</v>
      </c>
    </row>
    <row r="64" spans="1:2" x14ac:dyDescent="0.2">
      <c r="A64" s="575">
        <v>63</v>
      </c>
      <c r="B64" t="s">
        <v>343</v>
      </c>
    </row>
    <row r="65" spans="1:2" ht="18" x14ac:dyDescent="0.2">
      <c r="A65" s="575">
        <v>64</v>
      </c>
      <c r="B65" s="531" t="s">
        <v>1026</v>
      </c>
    </row>
    <row r="66" spans="1:2" ht="63.75" x14ac:dyDescent="0.2">
      <c r="A66" s="575">
        <v>65</v>
      </c>
      <c r="B66" s="532" t="s">
        <v>160</v>
      </c>
    </row>
    <row r="67" spans="1:2" x14ac:dyDescent="0.2">
      <c r="A67" s="575">
        <v>66</v>
      </c>
      <c r="B67" s="532" t="s">
        <v>863</v>
      </c>
    </row>
    <row r="68" spans="1:2" x14ac:dyDescent="0.2">
      <c r="A68" s="575">
        <v>67</v>
      </c>
      <c r="B68" t="s">
        <v>269</v>
      </c>
    </row>
    <row r="69" spans="1:2" ht="38.25" x14ac:dyDescent="0.2">
      <c r="A69" s="575">
        <v>68</v>
      </c>
      <c r="B69" s="532" t="s">
        <v>213</v>
      </c>
    </row>
    <row r="70" spans="1:2" x14ac:dyDescent="0.2">
      <c r="A70" s="575">
        <v>69</v>
      </c>
      <c r="B70" t="s">
        <v>214</v>
      </c>
    </row>
    <row r="71" spans="1:2" ht="38.25" x14ac:dyDescent="0.2">
      <c r="A71" s="575">
        <v>70</v>
      </c>
      <c r="B71" s="532" t="s">
        <v>864</v>
      </c>
    </row>
    <row r="72" spans="1:2" ht="38.25" x14ac:dyDescent="0.2">
      <c r="A72" s="575">
        <v>71</v>
      </c>
      <c r="B72" s="486" t="s">
        <v>82</v>
      </c>
    </row>
    <row r="73" spans="1:2" x14ac:dyDescent="0.2">
      <c r="A73" s="575">
        <v>72</v>
      </c>
      <c r="B73" s="532" t="s">
        <v>83</v>
      </c>
    </row>
    <row r="74" spans="1:2" ht="102" x14ac:dyDescent="0.2">
      <c r="A74" s="575">
        <v>73</v>
      </c>
      <c r="B74" s="486" t="s">
        <v>84</v>
      </c>
    </row>
    <row r="75" spans="1:2" ht="63.75" x14ac:dyDescent="0.2">
      <c r="A75" s="575">
        <v>74</v>
      </c>
      <c r="B75" s="532" t="s">
        <v>159</v>
      </c>
    </row>
    <row r="76" spans="1:2" ht="25.5" x14ac:dyDescent="0.2">
      <c r="A76" s="575">
        <v>75</v>
      </c>
      <c r="B76" s="532" t="s">
        <v>85</v>
      </c>
    </row>
    <row r="77" spans="1:2" ht="76.5" x14ac:dyDescent="0.2">
      <c r="A77" s="575">
        <v>76</v>
      </c>
      <c r="B77" s="486" t="s">
        <v>624</v>
      </c>
    </row>
    <row r="78" spans="1:2" ht="38.25" x14ac:dyDescent="0.2">
      <c r="A78" s="575">
        <v>77</v>
      </c>
      <c r="B78" s="532" t="s">
        <v>86</v>
      </c>
    </row>
    <row r="79" spans="1:2" ht="51" x14ac:dyDescent="0.2">
      <c r="A79" s="575">
        <v>78</v>
      </c>
      <c r="B79" s="532" t="s">
        <v>109</v>
      </c>
    </row>
    <row r="80" spans="1:2" ht="25.5" x14ac:dyDescent="0.2">
      <c r="A80" s="575">
        <v>79</v>
      </c>
      <c r="B80" s="532" t="s">
        <v>87</v>
      </c>
    </row>
    <row r="81" spans="1:2" x14ac:dyDescent="0.2">
      <c r="A81" s="575">
        <v>80</v>
      </c>
      <c r="B81" t="s">
        <v>1345</v>
      </c>
    </row>
    <row r="82" spans="1:2" x14ac:dyDescent="0.2">
      <c r="A82" s="575">
        <v>81</v>
      </c>
      <c r="B82" s="485" t="s">
        <v>601</v>
      </c>
    </row>
    <row r="83" spans="1:2" x14ac:dyDescent="0.2">
      <c r="A83" s="575">
        <v>82</v>
      </c>
      <c r="B83" s="533" t="s">
        <v>88</v>
      </c>
    </row>
    <row r="84" spans="1:2" ht="51" x14ac:dyDescent="0.2">
      <c r="A84" s="575">
        <v>83</v>
      </c>
      <c r="B84" s="532" t="s">
        <v>89</v>
      </c>
    </row>
    <row r="85" spans="1:2" ht="38.25" x14ac:dyDescent="0.2">
      <c r="A85" s="575">
        <v>84</v>
      </c>
      <c r="B85" s="532" t="s">
        <v>90</v>
      </c>
    </row>
    <row r="86" spans="1:2" ht="38.25" x14ac:dyDescent="0.2">
      <c r="A86" s="575">
        <v>85</v>
      </c>
      <c r="B86" s="532" t="s">
        <v>111</v>
      </c>
    </row>
    <row r="87" spans="1:2" ht="25.5" x14ac:dyDescent="0.2">
      <c r="A87" s="575">
        <v>86</v>
      </c>
      <c r="B87" s="532" t="s">
        <v>110</v>
      </c>
    </row>
    <row r="88" spans="1:2" x14ac:dyDescent="0.2">
      <c r="A88" s="575">
        <v>87</v>
      </c>
      <c r="B88" s="534" t="s">
        <v>1565</v>
      </c>
    </row>
    <row r="89" spans="1:2" ht="102" x14ac:dyDescent="0.2">
      <c r="A89" s="575">
        <v>88</v>
      </c>
      <c r="B89" s="532" t="s">
        <v>176</v>
      </c>
    </row>
    <row r="90" spans="1:2" ht="89.25" x14ac:dyDescent="0.2">
      <c r="A90" s="575">
        <v>89</v>
      </c>
      <c r="B90" s="532" t="s">
        <v>112</v>
      </c>
    </row>
    <row r="91" spans="1:2" ht="25.5" x14ac:dyDescent="0.2">
      <c r="A91" s="575">
        <v>90</v>
      </c>
      <c r="B91" s="532" t="s">
        <v>1333</v>
      </c>
    </row>
    <row r="92" spans="1:2" ht="25.5" x14ac:dyDescent="0.2">
      <c r="A92" s="575">
        <v>91</v>
      </c>
      <c r="B92" s="532" t="s">
        <v>988</v>
      </c>
    </row>
    <row r="93" spans="1:2" ht="89.25" x14ac:dyDescent="0.2">
      <c r="A93" s="575">
        <v>92</v>
      </c>
      <c r="B93" s="485" t="s">
        <v>91</v>
      </c>
    </row>
    <row r="94" spans="1:2" ht="15" x14ac:dyDescent="0.2">
      <c r="A94" s="575">
        <v>93</v>
      </c>
      <c r="B94" s="483" t="s">
        <v>1566</v>
      </c>
    </row>
    <row r="95" spans="1:2" x14ac:dyDescent="0.2">
      <c r="A95" s="575">
        <v>94</v>
      </c>
      <c r="B95" s="535" t="s">
        <v>1567</v>
      </c>
    </row>
    <row r="96" spans="1:2" x14ac:dyDescent="0.2">
      <c r="A96" s="575">
        <v>95</v>
      </c>
      <c r="B96" s="536" t="s">
        <v>1569</v>
      </c>
    </row>
    <row r="97" spans="1:2" x14ac:dyDescent="0.2">
      <c r="A97" s="575">
        <v>96</v>
      </c>
      <c r="B97" t="s">
        <v>1568</v>
      </c>
    </row>
    <row r="98" spans="1:2" x14ac:dyDescent="0.2">
      <c r="A98" s="575">
        <v>97</v>
      </c>
      <c r="B98" s="536" t="s">
        <v>1570</v>
      </c>
    </row>
    <row r="99" spans="1:2" x14ac:dyDescent="0.2">
      <c r="A99" s="575">
        <v>98</v>
      </c>
      <c r="B99" s="537" t="s">
        <v>546</v>
      </c>
    </row>
    <row r="100" spans="1:2" x14ac:dyDescent="0.2">
      <c r="A100" s="575">
        <v>99</v>
      </c>
      <c r="B100" s="536" t="s">
        <v>1571</v>
      </c>
    </row>
    <row r="101" spans="1:2" x14ac:dyDescent="0.2">
      <c r="A101" s="575">
        <v>100</v>
      </c>
      <c r="B101" s="535" t="s">
        <v>1572</v>
      </c>
    </row>
    <row r="102" spans="1:2" x14ac:dyDescent="0.2">
      <c r="A102" s="575">
        <v>101</v>
      </c>
      <c r="B102" s="161" t="s">
        <v>1573</v>
      </c>
    </row>
    <row r="103" spans="1:2" x14ac:dyDescent="0.2">
      <c r="A103" s="575">
        <v>102</v>
      </c>
      <c r="B103" s="535" t="s">
        <v>1574</v>
      </c>
    </row>
    <row r="104" spans="1:2" x14ac:dyDescent="0.2">
      <c r="A104" s="575">
        <v>103</v>
      </c>
      <c r="B104" s="161" t="s">
        <v>1575</v>
      </c>
    </row>
    <row r="105" spans="1:2" ht="15.75" x14ac:dyDescent="0.2">
      <c r="A105" s="575">
        <v>104</v>
      </c>
      <c r="B105" s="480" t="s">
        <v>1576</v>
      </c>
    </row>
    <row r="106" spans="1:2" ht="38.25" x14ac:dyDescent="0.2">
      <c r="A106" s="575">
        <v>105</v>
      </c>
      <c r="B106" s="532" t="s">
        <v>92</v>
      </c>
    </row>
    <row r="107" spans="1:2" ht="38.25" x14ac:dyDescent="0.2">
      <c r="A107" s="575">
        <v>106</v>
      </c>
      <c r="B107" s="532" t="s">
        <v>1028</v>
      </c>
    </row>
    <row r="108" spans="1:2" ht="63.75" x14ac:dyDescent="0.2">
      <c r="A108" s="575">
        <v>107</v>
      </c>
      <c r="B108" s="532" t="s">
        <v>1075</v>
      </c>
    </row>
    <row r="109" spans="1:2" x14ac:dyDescent="0.2">
      <c r="A109" s="575">
        <v>108</v>
      </c>
      <c r="B109" s="533" t="s">
        <v>917</v>
      </c>
    </row>
    <row r="110" spans="1:2" x14ac:dyDescent="0.2">
      <c r="A110" s="575">
        <v>109</v>
      </c>
      <c r="B110" s="129" t="s">
        <v>1581</v>
      </c>
    </row>
    <row r="111" spans="1:2" x14ac:dyDescent="0.2">
      <c r="A111" s="575">
        <v>110</v>
      </c>
      <c r="B111" s="532" t="s">
        <v>1582</v>
      </c>
    </row>
    <row r="112" spans="1:2" x14ac:dyDescent="0.2">
      <c r="A112" s="575">
        <v>111</v>
      </c>
      <c r="B112" s="538" t="s">
        <v>1583</v>
      </c>
    </row>
    <row r="113" spans="1:2" ht="25.5" x14ac:dyDescent="0.2">
      <c r="A113" s="575">
        <v>112</v>
      </c>
      <c r="B113" s="532" t="s">
        <v>1584</v>
      </c>
    </row>
    <row r="114" spans="1:2" ht="25.5" x14ac:dyDescent="0.2">
      <c r="A114" s="575">
        <v>113</v>
      </c>
      <c r="B114" s="485" t="s">
        <v>270</v>
      </c>
    </row>
    <row r="115" spans="1:2" x14ac:dyDescent="0.2">
      <c r="A115" s="575">
        <v>114</v>
      </c>
      <c r="B115" s="532" t="s">
        <v>271</v>
      </c>
    </row>
    <row r="116" spans="1:2" ht="25.5" x14ac:dyDescent="0.2">
      <c r="A116" s="575">
        <v>115</v>
      </c>
      <c r="B116" s="532" t="s">
        <v>272</v>
      </c>
    </row>
    <row r="117" spans="1:2" ht="25.5" x14ac:dyDescent="0.2">
      <c r="A117" s="575">
        <v>116</v>
      </c>
      <c r="B117" s="532" t="s">
        <v>273</v>
      </c>
    </row>
    <row r="118" spans="1:2" ht="25.5" x14ac:dyDescent="0.2">
      <c r="A118" s="575">
        <v>117</v>
      </c>
      <c r="B118" s="532" t="s">
        <v>274</v>
      </c>
    </row>
    <row r="119" spans="1:2" x14ac:dyDescent="0.2">
      <c r="A119" s="575">
        <v>118</v>
      </c>
      <c r="B119" s="532" t="s">
        <v>275</v>
      </c>
    </row>
    <row r="120" spans="1:2" ht="51" x14ac:dyDescent="0.2">
      <c r="A120" s="575">
        <v>119</v>
      </c>
      <c r="B120" s="482" t="s">
        <v>999</v>
      </c>
    </row>
    <row r="121" spans="1:2" ht="76.5" x14ac:dyDescent="0.2">
      <c r="A121" s="575">
        <v>120</v>
      </c>
      <c r="B121" s="482" t="s">
        <v>1000</v>
      </c>
    </row>
    <row r="122" spans="1:2" ht="63.75" x14ac:dyDescent="0.2">
      <c r="A122" s="575">
        <v>121</v>
      </c>
      <c r="B122" s="481" t="s">
        <v>1014</v>
      </c>
    </row>
    <row r="123" spans="1:2" ht="90" thickBot="1" x14ac:dyDescent="0.25">
      <c r="A123" s="575">
        <v>122</v>
      </c>
      <c r="B123" s="482" t="s">
        <v>113</v>
      </c>
    </row>
    <row r="124" spans="1:2" ht="115.5" thickBot="1" x14ac:dyDescent="0.25">
      <c r="A124" s="575">
        <v>123</v>
      </c>
      <c r="B124" s="479" t="s">
        <v>108</v>
      </c>
    </row>
    <row r="125" spans="1:2" ht="51" x14ac:dyDescent="0.2">
      <c r="A125" s="575">
        <v>124</v>
      </c>
      <c r="B125" s="482" t="s">
        <v>114</v>
      </c>
    </row>
    <row r="126" spans="1:2" ht="76.5" x14ac:dyDescent="0.2">
      <c r="A126" s="575">
        <v>125</v>
      </c>
      <c r="B126" s="482" t="s">
        <v>943</v>
      </c>
    </row>
    <row r="127" spans="1:2" ht="39" thickBot="1" x14ac:dyDescent="0.25">
      <c r="A127" s="575">
        <v>126</v>
      </c>
      <c r="B127" s="539" t="s">
        <v>115</v>
      </c>
    </row>
    <row r="128" spans="1:2" ht="90" thickBot="1" x14ac:dyDescent="0.25">
      <c r="A128" s="575">
        <v>127</v>
      </c>
      <c r="B128" s="479" t="s">
        <v>1078</v>
      </c>
    </row>
    <row r="129" spans="1:4" ht="16.5" thickBot="1" x14ac:dyDescent="0.25">
      <c r="A129" s="575">
        <v>128</v>
      </c>
      <c r="B129" s="480" t="s">
        <v>989</v>
      </c>
    </row>
    <row r="130" spans="1:4" ht="25.5" x14ac:dyDescent="0.2">
      <c r="A130" s="575">
        <v>129</v>
      </c>
      <c r="B130" s="540" t="s">
        <v>886</v>
      </c>
    </row>
    <row r="131" spans="1:4" ht="22.5" x14ac:dyDescent="0.2">
      <c r="A131" s="575">
        <v>130</v>
      </c>
      <c r="B131" s="71" t="s">
        <v>1110</v>
      </c>
    </row>
    <row r="132" spans="1:4" ht="45" x14ac:dyDescent="0.2">
      <c r="A132" s="575">
        <v>131</v>
      </c>
      <c r="B132" s="71" t="s">
        <v>1112</v>
      </c>
    </row>
    <row r="133" spans="1:4" ht="33.75" x14ac:dyDescent="0.2">
      <c r="A133" s="575">
        <v>132</v>
      </c>
      <c r="B133" s="71" t="s">
        <v>1079</v>
      </c>
    </row>
    <row r="134" spans="1:4" ht="56.25" x14ac:dyDescent="0.2">
      <c r="A134" s="575">
        <v>133</v>
      </c>
      <c r="B134" s="71" t="s">
        <v>116</v>
      </c>
    </row>
    <row r="135" spans="1:4" x14ac:dyDescent="0.2">
      <c r="A135" s="575">
        <v>134</v>
      </c>
      <c r="B135" s="488" t="s">
        <v>376</v>
      </c>
      <c r="D135" t="s">
        <v>1865</v>
      </c>
    </row>
    <row r="136" spans="1:4" x14ac:dyDescent="0.2">
      <c r="A136" s="575">
        <v>135</v>
      </c>
      <c r="B136" s="413" t="s">
        <v>914</v>
      </c>
    </row>
    <row r="137" spans="1:4" x14ac:dyDescent="0.2">
      <c r="A137" s="575">
        <v>136</v>
      </c>
      <c r="B137" s="413" t="s">
        <v>1111</v>
      </c>
    </row>
    <row r="138" spans="1:4" x14ac:dyDescent="0.2">
      <c r="A138" s="575">
        <v>137</v>
      </c>
      <c r="B138" s="413" t="s">
        <v>1119</v>
      </c>
    </row>
    <row r="139" spans="1:4" ht="22.5" x14ac:dyDescent="0.2">
      <c r="A139" s="575">
        <v>138</v>
      </c>
      <c r="B139" s="413" t="s">
        <v>1266</v>
      </c>
    </row>
    <row r="140" spans="1:4" x14ac:dyDescent="0.2">
      <c r="A140" s="575">
        <v>139</v>
      </c>
      <c r="B140" s="541" t="s">
        <v>1121</v>
      </c>
    </row>
    <row r="141" spans="1:4" x14ac:dyDescent="0.2">
      <c r="A141" s="575">
        <v>140</v>
      </c>
      <c r="B141" s="487" t="s">
        <v>1118</v>
      </c>
    </row>
    <row r="142" spans="1:4" x14ac:dyDescent="0.2">
      <c r="A142" s="575">
        <v>141</v>
      </c>
      <c r="B142" s="541" t="s">
        <v>1117</v>
      </c>
    </row>
    <row r="143" spans="1:4" ht="22.5" x14ac:dyDescent="0.2">
      <c r="A143" s="575">
        <v>142</v>
      </c>
      <c r="B143" s="487" t="s">
        <v>1120</v>
      </c>
    </row>
    <row r="144" spans="1:4" ht="22.5" x14ac:dyDescent="0.2">
      <c r="A144" s="575">
        <v>143</v>
      </c>
      <c r="B144" s="487" t="s">
        <v>1122</v>
      </c>
    </row>
    <row r="145" spans="1:2" x14ac:dyDescent="0.2">
      <c r="A145" s="575">
        <v>144</v>
      </c>
      <c r="B145" s="541" t="s">
        <v>1114</v>
      </c>
    </row>
    <row r="146" spans="1:2" ht="22.5" x14ac:dyDescent="0.2">
      <c r="A146" s="575">
        <v>145</v>
      </c>
      <c r="B146" s="487" t="s">
        <v>1123</v>
      </c>
    </row>
    <row r="147" spans="1:2" ht="13.5" thickBot="1" x14ac:dyDescent="0.25">
      <c r="A147" s="575">
        <v>146</v>
      </c>
      <c r="B147" s="542" t="s">
        <v>80</v>
      </c>
    </row>
    <row r="148" spans="1:2" ht="25.5" x14ac:dyDescent="0.2">
      <c r="A148" s="575">
        <v>147</v>
      </c>
      <c r="B148" s="540" t="s">
        <v>888</v>
      </c>
    </row>
    <row r="149" spans="1:2" x14ac:dyDescent="0.2">
      <c r="A149" s="575">
        <v>148</v>
      </c>
      <c r="B149" t="s">
        <v>597</v>
      </c>
    </row>
    <row r="150" spans="1:2" x14ac:dyDescent="0.2">
      <c r="A150" s="575">
        <v>149</v>
      </c>
      <c r="B150" t="s">
        <v>889</v>
      </c>
    </row>
    <row r="151" spans="1:2" x14ac:dyDescent="0.2">
      <c r="A151" s="575">
        <v>150</v>
      </c>
      <c r="B151" t="s">
        <v>890</v>
      </c>
    </row>
    <row r="152" spans="1:2" x14ac:dyDescent="0.2">
      <c r="A152" s="575">
        <v>151</v>
      </c>
      <c r="B152" s="318" t="s">
        <v>662</v>
      </c>
    </row>
    <row r="153" spans="1:2" x14ac:dyDescent="0.2">
      <c r="A153" s="575">
        <v>152</v>
      </c>
      <c r="B153" s="318" t="s">
        <v>1288</v>
      </c>
    </row>
    <row r="154" spans="1:2" x14ac:dyDescent="0.2">
      <c r="A154" s="575">
        <v>153</v>
      </c>
      <c r="B154" s="318" t="s">
        <v>1578</v>
      </c>
    </row>
    <row r="155" spans="1:2" x14ac:dyDescent="0.2">
      <c r="A155" s="575">
        <v>154</v>
      </c>
      <c r="B155" s="489" t="s">
        <v>661</v>
      </c>
    </row>
    <row r="156" spans="1:2" x14ac:dyDescent="0.2">
      <c r="A156" s="575">
        <v>155</v>
      </c>
      <c r="B156" s="543" t="s">
        <v>1579</v>
      </c>
    </row>
    <row r="157" spans="1:2" x14ac:dyDescent="0.2">
      <c r="A157" s="575">
        <v>156</v>
      </c>
      <c r="B157" s="543" t="s">
        <v>860</v>
      </c>
    </row>
    <row r="158" spans="1:2" x14ac:dyDescent="0.2">
      <c r="A158" s="575">
        <v>157</v>
      </c>
      <c r="B158" s="452" t="s">
        <v>1080</v>
      </c>
    </row>
    <row r="159" spans="1:2" x14ac:dyDescent="0.2">
      <c r="A159" s="575">
        <v>158</v>
      </c>
      <c r="B159" s="322" t="s">
        <v>1460</v>
      </c>
    </row>
    <row r="160" spans="1:2" x14ac:dyDescent="0.2">
      <c r="A160" s="575">
        <v>159</v>
      </c>
      <c r="B160" s="544" t="s">
        <v>1457</v>
      </c>
    </row>
    <row r="161" spans="1:2" x14ac:dyDescent="0.2">
      <c r="A161" s="575">
        <v>160</v>
      </c>
      <c r="B161" s="544" t="s">
        <v>1458</v>
      </c>
    </row>
    <row r="162" spans="1:2" x14ac:dyDescent="0.2">
      <c r="A162" s="575">
        <v>161</v>
      </c>
      <c r="B162" s="544" t="s">
        <v>1459</v>
      </c>
    </row>
    <row r="163" spans="1:2" x14ac:dyDescent="0.2">
      <c r="A163" s="575">
        <v>162</v>
      </c>
      <c r="B163" s="545" t="s">
        <v>1082</v>
      </c>
    </row>
    <row r="164" spans="1:2" x14ac:dyDescent="0.2">
      <c r="A164" s="575">
        <v>163</v>
      </c>
      <c r="B164" s="546" t="s">
        <v>1461</v>
      </c>
    </row>
    <row r="165" spans="1:2" x14ac:dyDescent="0.2">
      <c r="A165" s="575">
        <v>164</v>
      </c>
      <c r="B165" s="544" t="s">
        <v>1462</v>
      </c>
    </row>
    <row r="166" spans="1:2" x14ac:dyDescent="0.2">
      <c r="A166" s="575">
        <v>165</v>
      </c>
      <c r="B166" s="544" t="s">
        <v>1463</v>
      </c>
    </row>
    <row r="167" spans="1:2" x14ac:dyDescent="0.2">
      <c r="A167" s="575">
        <v>166</v>
      </c>
      <c r="B167" s="544" t="s">
        <v>1464</v>
      </c>
    </row>
    <row r="168" spans="1:2" x14ac:dyDescent="0.2">
      <c r="A168" s="575">
        <v>167</v>
      </c>
      <c r="B168" s="544" t="s">
        <v>1465</v>
      </c>
    </row>
    <row r="169" spans="1:2" x14ac:dyDescent="0.2">
      <c r="A169" s="575">
        <v>168</v>
      </c>
      <c r="B169" s="544" t="s">
        <v>1466</v>
      </c>
    </row>
    <row r="170" spans="1:2" x14ac:dyDescent="0.2">
      <c r="A170" s="575">
        <v>169</v>
      </c>
      <c r="B170" s="544" t="s">
        <v>1467</v>
      </c>
    </row>
    <row r="171" spans="1:2" x14ac:dyDescent="0.2">
      <c r="A171" s="575">
        <v>170</v>
      </c>
      <c r="B171" s="544" t="s">
        <v>162</v>
      </c>
    </row>
    <row r="172" spans="1:2" x14ac:dyDescent="0.2">
      <c r="A172" s="575">
        <v>171</v>
      </c>
      <c r="B172" s="545" t="s">
        <v>1081</v>
      </c>
    </row>
    <row r="173" spans="1:2" x14ac:dyDescent="0.2">
      <c r="A173" s="575">
        <v>172</v>
      </c>
      <c r="B173" s="68" t="s">
        <v>439</v>
      </c>
    </row>
    <row r="174" spans="1:2" ht="22.5" x14ac:dyDescent="0.2">
      <c r="A174" s="575">
        <v>173</v>
      </c>
      <c r="B174" s="67" t="s">
        <v>1083</v>
      </c>
    </row>
    <row r="175" spans="1:2" x14ac:dyDescent="0.2">
      <c r="A175" s="575">
        <v>174</v>
      </c>
      <c r="B175" s="68" t="s">
        <v>1289</v>
      </c>
    </row>
    <row r="176" spans="1:2" x14ac:dyDescent="0.2">
      <c r="A176" s="575">
        <v>175</v>
      </c>
      <c r="B176" s="68" t="s">
        <v>910</v>
      </c>
    </row>
    <row r="177" spans="1:2" x14ac:dyDescent="0.2">
      <c r="A177" s="575">
        <v>176</v>
      </c>
      <c r="B177" s="68" t="s">
        <v>911</v>
      </c>
    </row>
    <row r="178" spans="1:2" x14ac:dyDescent="0.2">
      <c r="A178" s="575">
        <v>177</v>
      </c>
      <c r="B178" s="68" t="s">
        <v>912</v>
      </c>
    </row>
    <row r="179" spans="1:2" x14ac:dyDescent="0.2">
      <c r="A179" s="575">
        <v>178</v>
      </c>
      <c r="B179" s="68" t="s">
        <v>1562</v>
      </c>
    </row>
    <row r="180" spans="1:2" x14ac:dyDescent="0.2">
      <c r="A180" s="575">
        <v>179</v>
      </c>
      <c r="B180" s="68" t="s">
        <v>356</v>
      </c>
    </row>
    <row r="181" spans="1:2" x14ac:dyDescent="0.2">
      <c r="A181" s="575">
        <v>180</v>
      </c>
      <c r="B181" s="68" t="s">
        <v>1563</v>
      </c>
    </row>
    <row r="182" spans="1:2" x14ac:dyDescent="0.2">
      <c r="A182" s="575">
        <v>181</v>
      </c>
      <c r="B182" s="68" t="s">
        <v>1564</v>
      </c>
    </row>
    <row r="183" spans="1:2" ht="13.5" thickBot="1" x14ac:dyDescent="0.25">
      <c r="A183" s="575">
        <v>182</v>
      </c>
      <c r="B183" s="68" t="s">
        <v>1290</v>
      </c>
    </row>
    <row r="184" spans="1:2" ht="25.5" x14ac:dyDescent="0.2">
      <c r="A184" s="575">
        <v>183</v>
      </c>
      <c r="B184" s="540" t="s">
        <v>1370</v>
      </c>
    </row>
    <row r="185" spans="1:2" x14ac:dyDescent="0.2">
      <c r="A185" s="575">
        <v>184</v>
      </c>
      <c r="B185" t="s">
        <v>1369</v>
      </c>
    </row>
    <row r="186" spans="1:2" x14ac:dyDescent="0.2">
      <c r="A186" s="575">
        <v>185</v>
      </c>
      <c r="B186" t="s">
        <v>536</v>
      </c>
    </row>
    <row r="187" spans="1:2" x14ac:dyDescent="0.2">
      <c r="A187" s="575">
        <v>186</v>
      </c>
      <c r="B187" t="s">
        <v>539</v>
      </c>
    </row>
    <row r="188" spans="1:2" x14ac:dyDescent="0.2">
      <c r="A188" s="575">
        <v>187</v>
      </c>
      <c r="B188" t="s">
        <v>508</v>
      </c>
    </row>
    <row r="189" spans="1:2" x14ac:dyDescent="0.2">
      <c r="A189" s="575">
        <v>188</v>
      </c>
      <c r="B189" t="s">
        <v>537</v>
      </c>
    </row>
    <row r="190" spans="1:2" x14ac:dyDescent="0.2">
      <c r="A190" s="575">
        <v>189</v>
      </c>
      <c r="B190" t="s">
        <v>538</v>
      </c>
    </row>
    <row r="191" spans="1:2" ht="38.25" x14ac:dyDescent="0.2">
      <c r="A191" s="575">
        <v>190</v>
      </c>
      <c r="B191" s="485" t="s">
        <v>1069</v>
      </c>
    </row>
    <row r="192" spans="1:2" ht="38.25" x14ac:dyDescent="0.2">
      <c r="A192" s="575">
        <v>191</v>
      </c>
      <c r="B192" s="485" t="s">
        <v>1070</v>
      </c>
    </row>
    <row r="193" spans="1:4" x14ac:dyDescent="0.2">
      <c r="A193" s="575">
        <v>192</v>
      </c>
      <c r="B193" s="129" t="s">
        <v>696</v>
      </c>
    </row>
    <row r="194" spans="1:4" ht="67.5" x14ac:dyDescent="0.2">
      <c r="A194" s="575">
        <v>193</v>
      </c>
      <c r="B194" s="452" t="s">
        <v>1084</v>
      </c>
    </row>
    <row r="195" spans="1:4" ht="33.75" x14ac:dyDescent="0.2">
      <c r="A195" s="575">
        <v>194</v>
      </c>
      <c r="B195" s="452" t="s">
        <v>1006</v>
      </c>
      <c r="D195" t="s">
        <v>1890</v>
      </c>
    </row>
    <row r="196" spans="1:4" x14ac:dyDescent="0.2">
      <c r="A196" s="575">
        <v>195</v>
      </c>
      <c r="B196" s="129" t="s">
        <v>1558</v>
      </c>
    </row>
    <row r="197" spans="1:4" ht="45" x14ac:dyDescent="0.2">
      <c r="A197" s="575">
        <v>196</v>
      </c>
      <c r="B197" s="494" t="s">
        <v>1085</v>
      </c>
    </row>
    <row r="198" spans="1:4" x14ac:dyDescent="0.2">
      <c r="A198" s="575">
        <v>197</v>
      </c>
      <c r="B198" s="499" t="s">
        <v>215</v>
      </c>
    </row>
    <row r="199" spans="1:4" ht="25.5" x14ac:dyDescent="0.2">
      <c r="A199" s="575">
        <v>198</v>
      </c>
      <c r="B199" s="129" t="s">
        <v>1473</v>
      </c>
    </row>
    <row r="200" spans="1:4" ht="22.5" x14ac:dyDescent="0.2">
      <c r="A200" s="575">
        <v>199</v>
      </c>
      <c r="B200" s="67" t="s">
        <v>216</v>
      </c>
    </row>
    <row r="201" spans="1:4" x14ac:dyDescent="0.2">
      <c r="A201" s="575">
        <v>200</v>
      </c>
      <c r="B201" s="67" t="s">
        <v>0</v>
      </c>
    </row>
    <row r="202" spans="1:4" x14ac:dyDescent="0.2">
      <c r="A202" s="575">
        <v>201</v>
      </c>
      <c r="B202" s="67" t="s">
        <v>1</v>
      </c>
    </row>
    <row r="203" spans="1:4" ht="33.75" x14ac:dyDescent="0.2">
      <c r="A203" s="575">
        <v>202</v>
      </c>
      <c r="B203" s="67" t="s">
        <v>837</v>
      </c>
    </row>
    <row r="204" spans="1:4" ht="22.5" x14ac:dyDescent="0.2">
      <c r="A204" s="575">
        <v>203</v>
      </c>
      <c r="B204" s="67" t="s">
        <v>838</v>
      </c>
    </row>
    <row r="205" spans="1:4" ht="33.75" x14ac:dyDescent="0.2">
      <c r="A205" s="575">
        <v>204</v>
      </c>
      <c r="B205" s="67" t="s">
        <v>1474</v>
      </c>
    </row>
    <row r="206" spans="1:4" x14ac:dyDescent="0.2">
      <c r="A206" s="575">
        <v>205</v>
      </c>
      <c r="B206" t="s">
        <v>685</v>
      </c>
    </row>
    <row r="207" spans="1:4" ht="22.5" x14ac:dyDescent="0.2">
      <c r="A207" s="575">
        <v>206</v>
      </c>
      <c r="B207" s="67" t="s">
        <v>217</v>
      </c>
    </row>
    <row r="208" spans="1:4" x14ac:dyDescent="0.2">
      <c r="A208" s="575">
        <v>207</v>
      </c>
      <c r="B208" s="415" t="s">
        <v>729</v>
      </c>
    </row>
    <row r="209" spans="1:2" x14ac:dyDescent="0.2">
      <c r="A209" s="575">
        <v>208</v>
      </c>
      <c r="B209" s="415" t="s">
        <v>893</v>
      </c>
    </row>
    <row r="210" spans="1:2" x14ac:dyDescent="0.2">
      <c r="A210" s="575">
        <v>209</v>
      </c>
      <c r="B210" s="415" t="s">
        <v>892</v>
      </c>
    </row>
    <row r="211" spans="1:2" x14ac:dyDescent="0.2">
      <c r="A211" s="575">
        <v>210</v>
      </c>
      <c r="B211" s="415" t="s">
        <v>482</v>
      </c>
    </row>
    <row r="212" spans="1:2" x14ac:dyDescent="0.2">
      <c r="A212" s="575">
        <v>211</v>
      </c>
      <c r="B212" s="547" t="s">
        <v>730</v>
      </c>
    </row>
    <row r="213" spans="1:2" x14ac:dyDescent="0.2">
      <c r="A213" s="575">
        <v>212</v>
      </c>
      <c r="B213" s="490" t="s">
        <v>672</v>
      </c>
    </row>
    <row r="214" spans="1:2" x14ac:dyDescent="0.2">
      <c r="A214" s="575">
        <v>213</v>
      </c>
      <c r="B214" s="490" t="s">
        <v>750</v>
      </c>
    </row>
    <row r="215" spans="1:2" x14ac:dyDescent="0.2">
      <c r="A215" s="575">
        <v>214</v>
      </c>
      <c r="B215" s="490" t="s">
        <v>516</v>
      </c>
    </row>
    <row r="216" spans="1:2" x14ac:dyDescent="0.2">
      <c r="A216" s="575">
        <v>215</v>
      </c>
      <c r="B216" s="490" t="s">
        <v>481</v>
      </c>
    </row>
    <row r="217" spans="1:2" x14ac:dyDescent="0.2">
      <c r="A217" s="575">
        <v>216</v>
      </c>
      <c r="B217" s="328" t="s">
        <v>1149</v>
      </c>
    </row>
    <row r="218" spans="1:2" ht="56.25" x14ac:dyDescent="0.2">
      <c r="A218" s="575">
        <v>217</v>
      </c>
      <c r="B218" s="67" t="s">
        <v>1192</v>
      </c>
    </row>
    <row r="219" spans="1:2" ht="21" x14ac:dyDescent="0.2">
      <c r="A219" s="575">
        <v>218</v>
      </c>
      <c r="B219" s="488" t="s">
        <v>1193</v>
      </c>
    </row>
    <row r="220" spans="1:2" x14ac:dyDescent="0.2">
      <c r="A220" s="575">
        <v>219</v>
      </c>
      <c r="B220" s="493" t="s">
        <v>697</v>
      </c>
    </row>
    <row r="221" spans="1:2" x14ac:dyDescent="0.2">
      <c r="A221" s="575">
        <v>220</v>
      </c>
      <c r="B221" s="493" t="s">
        <v>220</v>
      </c>
    </row>
    <row r="222" spans="1:2" x14ac:dyDescent="0.2">
      <c r="A222" s="575">
        <v>221</v>
      </c>
      <c r="B222" s="328" t="s">
        <v>817</v>
      </c>
    </row>
    <row r="223" spans="1:2" ht="22.5" x14ac:dyDescent="0.2">
      <c r="A223" s="575">
        <v>222</v>
      </c>
      <c r="B223" s="67" t="s">
        <v>816</v>
      </c>
    </row>
    <row r="224" spans="1:2" ht="22.5" x14ac:dyDescent="0.2">
      <c r="A224" s="575">
        <v>223</v>
      </c>
      <c r="B224" s="67" t="s">
        <v>223</v>
      </c>
    </row>
    <row r="225" spans="1:2" ht="22.5" x14ac:dyDescent="0.2">
      <c r="A225" s="575">
        <v>224</v>
      </c>
      <c r="B225" s="67" t="s">
        <v>221</v>
      </c>
    </row>
    <row r="226" spans="1:2" ht="22.5" x14ac:dyDescent="0.2">
      <c r="A226" s="575">
        <v>225</v>
      </c>
      <c r="B226" s="67" t="s">
        <v>177</v>
      </c>
    </row>
    <row r="227" spans="1:2" x14ac:dyDescent="0.2">
      <c r="A227" s="575">
        <v>226</v>
      </c>
      <c r="B227" s="67" t="s">
        <v>522</v>
      </c>
    </row>
    <row r="228" spans="1:2" ht="22.5" x14ac:dyDescent="0.2">
      <c r="A228" s="575">
        <v>227</v>
      </c>
      <c r="B228" s="67" t="s">
        <v>1447</v>
      </c>
    </row>
    <row r="229" spans="1:2" ht="21" x14ac:dyDescent="0.2">
      <c r="A229" s="575">
        <v>228</v>
      </c>
      <c r="B229" s="459" t="s">
        <v>222</v>
      </c>
    </row>
    <row r="230" spans="1:2" x14ac:dyDescent="0.2">
      <c r="A230" s="575">
        <v>229</v>
      </c>
      <c r="B230" s="328" t="s">
        <v>1445</v>
      </c>
    </row>
    <row r="231" spans="1:2" ht="33.75" x14ac:dyDescent="0.2">
      <c r="A231" s="575">
        <v>230</v>
      </c>
      <c r="B231" s="67" t="s">
        <v>1448</v>
      </c>
    </row>
    <row r="232" spans="1:2" x14ac:dyDescent="0.2">
      <c r="A232" s="575">
        <v>231</v>
      </c>
      <c r="B232" s="328" t="s">
        <v>820</v>
      </c>
    </row>
    <row r="233" spans="1:2" x14ac:dyDescent="0.2">
      <c r="A233" s="575">
        <v>232</v>
      </c>
      <c r="B233" s="494" t="s">
        <v>509</v>
      </c>
    </row>
    <row r="234" spans="1:2" ht="33.75" x14ac:dyDescent="0.2">
      <c r="A234" s="575">
        <v>233</v>
      </c>
      <c r="B234" s="494" t="s">
        <v>381</v>
      </c>
    </row>
    <row r="235" spans="1:2" ht="33.75" x14ac:dyDescent="0.2">
      <c r="A235" s="575">
        <v>234</v>
      </c>
      <c r="B235" s="67" t="s">
        <v>900</v>
      </c>
    </row>
    <row r="236" spans="1:2" ht="21" x14ac:dyDescent="0.2">
      <c r="A236" s="575">
        <v>235</v>
      </c>
      <c r="B236" s="488" t="s">
        <v>1499</v>
      </c>
    </row>
    <row r="237" spans="1:2" x14ac:dyDescent="0.2">
      <c r="A237" s="575">
        <v>236</v>
      </c>
      <c r="B237" s="495" t="s">
        <v>571</v>
      </c>
    </row>
    <row r="238" spans="1:2" x14ac:dyDescent="0.2">
      <c r="A238" s="575">
        <v>237</v>
      </c>
      <c r="B238" s="495" t="s">
        <v>572</v>
      </c>
    </row>
    <row r="239" spans="1:2" x14ac:dyDescent="0.2">
      <c r="A239" s="575">
        <v>238</v>
      </c>
      <c r="B239" s="495" t="s">
        <v>178</v>
      </c>
    </row>
    <row r="240" spans="1:2" x14ac:dyDescent="0.2">
      <c r="A240" s="575">
        <v>239</v>
      </c>
      <c r="B240" s="495" t="s">
        <v>232</v>
      </c>
    </row>
    <row r="241" spans="1:2" x14ac:dyDescent="0.2">
      <c r="A241" s="575">
        <v>240</v>
      </c>
      <c r="B241" s="495" t="s">
        <v>233</v>
      </c>
    </row>
    <row r="242" spans="1:2" x14ac:dyDescent="0.2">
      <c r="A242" s="575">
        <v>241</v>
      </c>
      <c r="B242" s="495" t="s">
        <v>234</v>
      </c>
    </row>
    <row r="243" spans="1:2" ht="31.5" x14ac:dyDescent="0.2">
      <c r="A243" s="575">
        <v>242</v>
      </c>
      <c r="B243" s="488" t="s">
        <v>107</v>
      </c>
    </row>
    <row r="244" spans="1:2" x14ac:dyDescent="0.2">
      <c r="A244" s="575">
        <v>243</v>
      </c>
      <c r="B244" s="322" t="s">
        <v>526</v>
      </c>
    </row>
    <row r="245" spans="1:2" ht="67.5" x14ac:dyDescent="0.2">
      <c r="A245" s="575">
        <v>244</v>
      </c>
      <c r="B245" s="67" t="s">
        <v>235</v>
      </c>
    </row>
    <row r="246" spans="1:2" ht="33.75" x14ac:dyDescent="0.2">
      <c r="A246" s="575">
        <v>245</v>
      </c>
      <c r="B246" s="67" t="s">
        <v>1194</v>
      </c>
    </row>
    <row r="247" spans="1:2" ht="22.5" x14ac:dyDescent="0.2">
      <c r="A247" s="575">
        <v>246</v>
      </c>
      <c r="B247" s="67" t="s">
        <v>615</v>
      </c>
    </row>
    <row r="248" spans="1:2" ht="22.5" x14ac:dyDescent="0.2">
      <c r="A248" s="575">
        <v>247</v>
      </c>
      <c r="B248" s="415" t="s">
        <v>733</v>
      </c>
    </row>
    <row r="249" spans="1:2" x14ac:dyDescent="0.2">
      <c r="A249" s="575">
        <v>248</v>
      </c>
      <c r="B249" s="491" t="s">
        <v>734</v>
      </c>
    </row>
    <row r="250" spans="1:2" x14ac:dyDescent="0.2">
      <c r="A250" s="575">
        <v>249</v>
      </c>
      <c r="B250" s="415" t="s">
        <v>732</v>
      </c>
    </row>
    <row r="251" spans="1:2" x14ac:dyDescent="0.2">
      <c r="A251" s="575">
        <v>250</v>
      </c>
      <c r="B251" s="498" t="s">
        <v>241</v>
      </c>
    </row>
    <row r="252" spans="1:2" x14ac:dyDescent="0.2">
      <c r="A252" s="575">
        <v>251</v>
      </c>
      <c r="B252" s="498" t="s">
        <v>236</v>
      </c>
    </row>
    <row r="253" spans="1:2" x14ac:dyDescent="0.2">
      <c r="A253" s="575">
        <v>252</v>
      </c>
      <c r="B253" s="498" t="s">
        <v>237</v>
      </c>
    </row>
    <row r="254" spans="1:2" x14ac:dyDescent="0.2">
      <c r="A254" s="575">
        <v>253</v>
      </c>
      <c r="B254" s="542" t="s">
        <v>8</v>
      </c>
    </row>
    <row r="255" spans="1:2" x14ac:dyDescent="0.2">
      <c r="A255" s="575">
        <v>254</v>
      </c>
      <c r="B255" s="322" t="s">
        <v>525</v>
      </c>
    </row>
    <row r="256" spans="1:2" ht="22.5" x14ac:dyDescent="0.2">
      <c r="A256" s="575">
        <v>255</v>
      </c>
      <c r="B256" s="67" t="s">
        <v>1200</v>
      </c>
    </row>
    <row r="257" spans="1:2" ht="33.75" x14ac:dyDescent="0.2">
      <c r="A257" s="575">
        <v>256</v>
      </c>
      <c r="B257" s="67" t="s">
        <v>179</v>
      </c>
    </row>
    <row r="258" spans="1:2" ht="22.5" x14ac:dyDescent="0.2">
      <c r="A258" s="575">
        <v>257</v>
      </c>
      <c r="B258" s="67" t="s">
        <v>614</v>
      </c>
    </row>
    <row r="259" spans="1:2" ht="22.5" x14ac:dyDescent="0.2">
      <c r="A259" s="575">
        <v>258</v>
      </c>
      <c r="B259" s="415" t="s">
        <v>731</v>
      </c>
    </row>
    <row r="260" spans="1:2" x14ac:dyDescent="0.2">
      <c r="A260" s="575">
        <v>259</v>
      </c>
      <c r="B260" s="415" t="s">
        <v>1557</v>
      </c>
    </row>
    <row r="261" spans="1:2" x14ac:dyDescent="0.2">
      <c r="A261" s="575">
        <v>260</v>
      </c>
      <c r="B261" s="415" t="s">
        <v>643</v>
      </c>
    </row>
    <row r="262" spans="1:2" x14ac:dyDescent="0.2">
      <c r="A262" s="575">
        <v>261</v>
      </c>
      <c r="B262" s="490" t="s">
        <v>792</v>
      </c>
    </row>
    <row r="263" spans="1:2" x14ac:dyDescent="0.2">
      <c r="A263" s="575">
        <v>262</v>
      </c>
      <c r="B263" s="490" t="s">
        <v>242</v>
      </c>
    </row>
    <row r="264" spans="1:2" x14ac:dyDescent="0.2">
      <c r="A264" s="575">
        <v>263</v>
      </c>
      <c r="B264" s="542" t="s">
        <v>9</v>
      </c>
    </row>
    <row r="265" spans="1:2" ht="25.5" x14ac:dyDescent="0.2">
      <c r="A265" s="575">
        <v>264</v>
      </c>
      <c r="B265" s="129" t="s">
        <v>1067</v>
      </c>
    </row>
    <row r="266" spans="1:2" ht="31.5" x14ac:dyDescent="0.2">
      <c r="A266" s="575">
        <v>265</v>
      </c>
      <c r="B266" s="488" t="s">
        <v>246</v>
      </c>
    </row>
    <row r="267" spans="1:2" ht="33.75" x14ac:dyDescent="0.2">
      <c r="A267" s="575">
        <v>266</v>
      </c>
      <c r="B267" s="67" t="s">
        <v>205</v>
      </c>
    </row>
    <row r="268" spans="1:2" ht="22.5" x14ac:dyDescent="0.2">
      <c r="A268" s="575">
        <v>267</v>
      </c>
      <c r="B268" s="67" t="s">
        <v>1068</v>
      </c>
    </row>
    <row r="269" spans="1:2" ht="22.5" x14ac:dyDescent="0.2">
      <c r="A269" s="575">
        <v>268</v>
      </c>
      <c r="B269" s="67" t="s">
        <v>204</v>
      </c>
    </row>
    <row r="270" spans="1:2" ht="45" x14ac:dyDescent="0.2">
      <c r="A270" s="575">
        <v>269</v>
      </c>
      <c r="B270" s="67" t="s">
        <v>245</v>
      </c>
    </row>
    <row r="271" spans="1:2" x14ac:dyDescent="0.2">
      <c r="A271" s="575">
        <v>270</v>
      </c>
      <c r="B271" s="67" t="s">
        <v>821</v>
      </c>
    </row>
    <row r="272" spans="1:2" ht="22.5" x14ac:dyDescent="0.2">
      <c r="A272" s="575">
        <v>271</v>
      </c>
      <c r="B272" s="67" t="s">
        <v>251</v>
      </c>
    </row>
    <row r="273" spans="1:2" x14ac:dyDescent="0.2">
      <c r="A273" s="575">
        <v>272</v>
      </c>
      <c r="B273" s="491" t="s">
        <v>1272</v>
      </c>
    </row>
    <row r="274" spans="1:2" x14ac:dyDescent="0.2">
      <c r="A274" s="575">
        <v>273</v>
      </c>
      <c r="B274" s="491" t="s">
        <v>739</v>
      </c>
    </row>
    <row r="275" spans="1:2" x14ac:dyDescent="0.2">
      <c r="A275" s="575">
        <v>274</v>
      </c>
      <c r="B275" s="548" t="s">
        <v>1108</v>
      </c>
    </row>
    <row r="276" spans="1:2" x14ac:dyDescent="0.2">
      <c r="A276" s="575">
        <v>275</v>
      </c>
      <c r="B276" s="548" t="s">
        <v>811</v>
      </c>
    </row>
    <row r="277" spans="1:2" x14ac:dyDescent="0.2">
      <c r="A277" s="575">
        <v>276</v>
      </c>
      <c r="B277" s="548" t="s">
        <v>737</v>
      </c>
    </row>
    <row r="278" spans="1:2" x14ac:dyDescent="0.2">
      <c r="A278" s="575">
        <v>277</v>
      </c>
      <c r="B278" s="548" t="s">
        <v>513</v>
      </c>
    </row>
    <row r="279" spans="1:2" x14ac:dyDescent="0.2">
      <c r="A279" s="575">
        <v>278</v>
      </c>
      <c r="B279" s="498" t="s">
        <v>250</v>
      </c>
    </row>
    <row r="280" spans="1:2" x14ac:dyDescent="0.2">
      <c r="A280" s="575">
        <v>279</v>
      </c>
      <c r="B280" s="542" t="s">
        <v>10</v>
      </c>
    </row>
    <row r="281" spans="1:2" x14ac:dyDescent="0.2">
      <c r="A281" s="575">
        <v>280</v>
      </c>
      <c r="B281" s="129" t="s">
        <v>524</v>
      </c>
    </row>
    <row r="282" spans="1:2" ht="56.25" x14ac:dyDescent="0.2">
      <c r="A282" s="575">
        <v>281</v>
      </c>
      <c r="B282" s="67" t="s">
        <v>161</v>
      </c>
    </row>
    <row r="283" spans="1:2" x14ac:dyDescent="0.2">
      <c r="A283" s="575">
        <v>282</v>
      </c>
      <c r="B283" s="223" t="s">
        <v>386</v>
      </c>
    </row>
    <row r="284" spans="1:2" ht="22.5" x14ac:dyDescent="0.2">
      <c r="A284" s="575">
        <v>283</v>
      </c>
      <c r="B284" s="67" t="s">
        <v>1383</v>
      </c>
    </row>
    <row r="285" spans="1:2" ht="33.75" x14ac:dyDescent="0.2">
      <c r="A285" s="575">
        <v>284</v>
      </c>
      <c r="B285" s="67" t="s">
        <v>374</v>
      </c>
    </row>
    <row r="286" spans="1:2" ht="45" x14ac:dyDescent="0.2">
      <c r="A286" s="575">
        <v>285</v>
      </c>
      <c r="B286" s="67" t="s">
        <v>180</v>
      </c>
    </row>
    <row r="287" spans="1:2" x14ac:dyDescent="0.2">
      <c r="A287" s="575">
        <v>286</v>
      </c>
      <c r="B287" s="415" t="s">
        <v>735</v>
      </c>
    </row>
    <row r="288" spans="1:2" x14ac:dyDescent="0.2">
      <c r="A288" s="575">
        <v>287</v>
      </c>
      <c r="B288" s="491" t="s">
        <v>736</v>
      </c>
    </row>
    <row r="289" spans="1:2" x14ac:dyDescent="0.2">
      <c r="A289" s="575">
        <v>288</v>
      </c>
      <c r="B289" s="415" t="s">
        <v>357</v>
      </c>
    </row>
    <row r="290" spans="1:2" x14ac:dyDescent="0.2">
      <c r="A290" s="575">
        <v>289</v>
      </c>
      <c r="B290" s="490" t="s">
        <v>254</v>
      </c>
    </row>
    <row r="291" spans="1:2" x14ac:dyDescent="0.2">
      <c r="A291" s="575">
        <v>290</v>
      </c>
      <c r="B291" s="496" t="s">
        <v>255</v>
      </c>
    </row>
    <row r="292" spans="1:2" x14ac:dyDescent="0.2">
      <c r="A292" s="575">
        <v>291</v>
      </c>
      <c r="B292" s="549" t="s">
        <v>256</v>
      </c>
    </row>
    <row r="293" spans="1:2" x14ac:dyDescent="0.2">
      <c r="A293" s="575">
        <v>292</v>
      </c>
      <c r="B293" s="549" t="s">
        <v>257</v>
      </c>
    </row>
    <row r="294" spans="1:2" x14ac:dyDescent="0.2">
      <c r="A294" s="575">
        <v>293</v>
      </c>
      <c r="B294" s="549" t="s">
        <v>258</v>
      </c>
    </row>
    <row r="295" spans="1:2" x14ac:dyDescent="0.2">
      <c r="A295" s="575">
        <v>294</v>
      </c>
      <c r="B295" s="490" t="s">
        <v>753</v>
      </c>
    </row>
    <row r="296" spans="1:2" x14ac:dyDescent="0.2">
      <c r="A296" s="575">
        <v>295</v>
      </c>
      <c r="B296" s="496" t="s">
        <v>791</v>
      </c>
    </row>
    <row r="297" spans="1:2" x14ac:dyDescent="0.2">
      <c r="A297" s="575">
        <v>296</v>
      </c>
      <c r="B297" s="542" t="s">
        <v>11</v>
      </c>
    </row>
    <row r="298" spans="1:2" x14ac:dyDescent="0.2">
      <c r="A298" s="575">
        <v>297</v>
      </c>
      <c r="B298" s="322" t="s">
        <v>527</v>
      </c>
    </row>
    <row r="299" spans="1:2" x14ac:dyDescent="0.2">
      <c r="A299" s="575">
        <v>298</v>
      </c>
      <c r="B299" s="223" t="s">
        <v>262</v>
      </c>
    </row>
    <row r="300" spans="1:2" x14ac:dyDescent="0.2">
      <c r="A300" s="575">
        <v>299</v>
      </c>
      <c r="B300" s="223" t="s">
        <v>259</v>
      </c>
    </row>
    <row r="301" spans="1:2" x14ac:dyDescent="0.2">
      <c r="A301" s="575">
        <v>300</v>
      </c>
      <c r="B301" s="224" t="s">
        <v>260</v>
      </c>
    </row>
    <row r="302" spans="1:2" x14ac:dyDescent="0.2">
      <c r="A302" s="575">
        <v>301</v>
      </c>
      <c r="B302" s="223" t="s">
        <v>261</v>
      </c>
    </row>
    <row r="303" spans="1:2" ht="33.75" x14ac:dyDescent="0.2">
      <c r="A303" s="575">
        <v>302</v>
      </c>
      <c r="B303" s="67" t="s">
        <v>882</v>
      </c>
    </row>
    <row r="304" spans="1:2" ht="33.75" x14ac:dyDescent="0.2">
      <c r="A304" s="575">
        <v>303</v>
      </c>
      <c r="B304" s="67" t="s">
        <v>883</v>
      </c>
    </row>
    <row r="305" spans="1:2" x14ac:dyDescent="0.2">
      <c r="A305" s="575">
        <v>304</v>
      </c>
      <c r="B305" s="67" t="s">
        <v>884</v>
      </c>
    </row>
    <row r="306" spans="1:2" x14ac:dyDescent="0.2">
      <c r="A306" s="575">
        <v>305</v>
      </c>
      <c r="B306" s="223" t="s">
        <v>606</v>
      </c>
    </row>
    <row r="307" spans="1:2" x14ac:dyDescent="0.2">
      <c r="A307" s="575">
        <v>306</v>
      </c>
      <c r="B307" s="223" t="s">
        <v>263</v>
      </c>
    </row>
    <row r="308" spans="1:2" ht="45" x14ac:dyDescent="0.2">
      <c r="A308" s="575">
        <v>307</v>
      </c>
      <c r="B308" s="67" t="s">
        <v>607</v>
      </c>
    </row>
    <row r="309" spans="1:2" ht="45" x14ac:dyDescent="0.2">
      <c r="A309" s="575">
        <v>308</v>
      </c>
      <c r="B309" s="67" t="s">
        <v>1382</v>
      </c>
    </row>
    <row r="310" spans="1:2" x14ac:dyDescent="0.2">
      <c r="A310" s="575">
        <v>309</v>
      </c>
      <c r="B310" s="491" t="s">
        <v>1065</v>
      </c>
    </row>
    <row r="311" spans="1:2" x14ac:dyDescent="0.2">
      <c r="A311" s="575">
        <v>310</v>
      </c>
      <c r="B311" s="548" t="s">
        <v>738</v>
      </c>
    </row>
    <row r="312" spans="1:2" x14ac:dyDescent="0.2">
      <c r="A312" s="575">
        <v>311</v>
      </c>
      <c r="B312" s="519" t="s">
        <v>1450</v>
      </c>
    </row>
    <row r="313" spans="1:2" x14ac:dyDescent="0.2">
      <c r="A313" s="575">
        <v>312</v>
      </c>
      <c r="B313" s="550" t="s">
        <v>747</v>
      </c>
    </row>
    <row r="314" spans="1:2" x14ac:dyDescent="0.2">
      <c r="A314" s="575">
        <v>313</v>
      </c>
      <c r="B314" s="519" t="s">
        <v>1451</v>
      </c>
    </row>
    <row r="315" spans="1:2" x14ac:dyDescent="0.2">
      <c r="A315" s="575">
        <v>314</v>
      </c>
      <c r="B315" s="347" t="s">
        <v>608</v>
      </c>
    </row>
    <row r="316" spans="1:2" x14ac:dyDescent="0.2">
      <c r="A316" s="575">
        <v>315</v>
      </c>
      <c r="B316" s="347" t="s">
        <v>609</v>
      </c>
    </row>
    <row r="317" spans="1:2" x14ac:dyDescent="0.2">
      <c r="A317" s="575">
        <v>316</v>
      </c>
      <c r="B317" s="347" t="s">
        <v>1377</v>
      </c>
    </row>
    <row r="318" spans="1:2" x14ac:dyDescent="0.2">
      <c r="A318" s="575">
        <v>317</v>
      </c>
      <c r="B318" s="129" t="s">
        <v>264</v>
      </c>
    </row>
    <row r="319" spans="1:2" ht="33.75" x14ac:dyDescent="0.2">
      <c r="A319" s="575">
        <v>318</v>
      </c>
      <c r="B319" s="67" t="s">
        <v>265</v>
      </c>
    </row>
    <row r="320" spans="1:2" x14ac:dyDescent="0.2">
      <c r="A320" s="575">
        <v>319</v>
      </c>
      <c r="B320" s="223" t="s">
        <v>480</v>
      </c>
    </row>
    <row r="321" spans="1:2" x14ac:dyDescent="0.2">
      <c r="A321" s="575">
        <v>320</v>
      </c>
      <c r="B321" s="415" t="s">
        <v>495</v>
      </c>
    </row>
    <row r="322" spans="1:2" x14ac:dyDescent="0.2">
      <c r="A322" s="575">
        <v>321</v>
      </c>
      <c r="B322" s="491" t="s">
        <v>479</v>
      </c>
    </row>
    <row r="323" spans="1:2" x14ac:dyDescent="0.2">
      <c r="A323" s="575">
        <v>322</v>
      </c>
      <c r="B323" s="491" t="s">
        <v>478</v>
      </c>
    </row>
    <row r="324" spans="1:2" x14ac:dyDescent="0.2">
      <c r="A324" s="575">
        <v>323</v>
      </c>
      <c r="B324" s="491" t="s">
        <v>496</v>
      </c>
    </row>
    <row r="325" spans="1:2" x14ac:dyDescent="0.2">
      <c r="A325" s="575">
        <v>324</v>
      </c>
      <c r="B325" s="492" t="s">
        <v>71</v>
      </c>
    </row>
    <row r="326" spans="1:2" x14ac:dyDescent="0.2">
      <c r="A326" s="575">
        <v>325</v>
      </c>
      <c r="B326" s="492" t="s">
        <v>268</v>
      </c>
    </row>
    <row r="327" spans="1:2" x14ac:dyDescent="0.2">
      <c r="A327" s="575">
        <v>326</v>
      </c>
      <c r="B327" s="492" t="s">
        <v>266</v>
      </c>
    </row>
    <row r="328" spans="1:2" ht="13.5" thickBot="1" x14ac:dyDescent="0.25">
      <c r="A328" s="575">
        <v>327</v>
      </c>
      <c r="B328" s="542" t="s">
        <v>181</v>
      </c>
    </row>
    <row r="329" spans="1:2" ht="25.5" x14ac:dyDescent="0.2">
      <c r="A329" s="575">
        <v>328</v>
      </c>
      <c r="B329" s="540" t="s">
        <v>1210</v>
      </c>
    </row>
    <row r="330" spans="1:2" x14ac:dyDescent="0.2">
      <c r="A330" s="575">
        <v>329</v>
      </c>
      <c r="B330" t="s">
        <v>1378</v>
      </c>
    </row>
    <row r="331" spans="1:2" x14ac:dyDescent="0.2">
      <c r="A331" s="575">
        <v>330</v>
      </c>
      <c r="B331" t="s">
        <v>1381</v>
      </c>
    </row>
    <row r="332" spans="1:2" x14ac:dyDescent="0.2">
      <c r="A332" s="575">
        <v>331</v>
      </c>
      <c r="B332" t="s">
        <v>1379</v>
      </c>
    </row>
    <row r="333" spans="1:2" x14ac:dyDescent="0.2">
      <c r="A333" s="575">
        <v>332</v>
      </c>
      <c r="B333" t="s">
        <v>1380</v>
      </c>
    </row>
    <row r="334" spans="1:2" ht="38.25" x14ac:dyDescent="0.2">
      <c r="A334" s="575">
        <v>333</v>
      </c>
      <c r="B334" s="551" t="s">
        <v>1071</v>
      </c>
    </row>
    <row r="335" spans="1:2" ht="63.75" x14ac:dyDescent="0.2">
      <c r="A335" s="575">
        <v>334</v>
      </c>
      <c r="B335" s="551" t="s">
        <v>282</v>
      </c>
    </row>
    <row r="336" spans="1:2" ht="25.5" x14ac:dyDescent="0.2">
      <c r="A336" s="575">
        <v>335</v>
      </c>
      <c r="B336" s="513" t="s">
        <v>573</v>
      </c>
    </row>
    <row r="337" spans="1:2" x14ac:dyDescent="0.2">
      <c r="A337" s="575">
        <v>336</v>
      </c>
      <c r="B337" s="223" t="s">
        <v>694</v>
      </c>
    </row>
    <row r="338" spans="1:2" ht="33.75" x14ac:dyDescent="0.2">
      <c r="A338" s="575">
        <v>337</v>
      </c>
      <c r="B338" s="67" t="s">
        <v>279</v>
      </c>
    </row>
    <row r="339" spans="1:2" ht="33.75" x14ac:dyDescent="0.2">
      <c r="A339" s="575">
        <v>338</v>
      </c>
      <c r="B339" s="67" t="s">
        <v>932</v>
      </c>
    </row>
    <row r="340" spans="1:2" ht="22.5" x14ac:dyDescent="0.2">
      <c r="A340" s="575">
        <v>339</v>
      </c>
      <c r="B340" s="552" t="s">
        <v>1452</v>
      </c>
    </row>
    <row r="341" spans="1:2" ht="33.75" x14ac:dyDescent="0.2">
      <c r="A341" s="575">
        <v>340</v>
      </c>
      <c r="B341" s="553" t="s">
        <v>927</v>
      </c>
    </row>
    <row r="342" spans="1:2" ht="45" x14ac:dyDescent="0.2">
      <c r="A342" s="575">
        <v>341</v>
      </c>
      <c r="B342" s="553" t="s">
        <v>928</v>
      </c>
    </row>
    <row r="343" spans="1:2" x14ac:dyDescent="0.2">
      <c r="A343" s="575">
        <v>342</v>
      </c>
      <c r="B343" s="553" t="s">
        <v>929</v>
      </c>
    </row>
    <row r="344" spans="1:2" ht="22.5" x14ac:dyDescent="0.2">
      <c r="A344" s="575">
        <v>343</v>
      </c>
      <c r="B344" s="553" t="s">
        <v>930</v>
      </c>
    </row>
    <row r="345" spans="1:2" ht="22.5" x14ac:dyDescent="0.2">
      <c r="A345" s="575">
        <v>344</v>
      </c>
      <c r="B345" s="553" t="s">
        <v>931</v>
      </c>
    </row>
    <row r="346" spans="1:2" ht="22.5" x14ac:dyDescent="0.2">
      <c r="A346" s="575">
        <v>345</v>
      </c>
      <c r="B346" s="553" t="s">
        <v>182</v>
      </c>
    </row>
    <row r="347" spans="1:2" ht="25.5" x14ac:dyDescent="0.2">
      <c r="A347" s="575">
        <v>346</v>
      </c>
      <c r="B347" s="129" t="s">
        <v>283</v>
      </c>
    </row>
    <row r="348" spans="1:2" ht="22.5" x14ac:dyDescent="0.2">
      <c r="A348" s="575">
        <v>347</v>
      </c>
      <c r="B348" s="67" t="s">
        <v>990</v>
      </c>
    </row>
    <row r="349" spans="1:2" ht="22.5" x14ac:dyDescent="0.2">
      <c r="A349" s="575">
        <v>348</v>
      </c>
      <c r="B349" s="67" t="s">
        <v>1072</v>
      </c>
    </row>
    <row r="350" spans="1:2" ht="33.75" x14ac:dyDescent="0.2">
      <c r="A350" s="575">
        <v>349</v>
      </c>
      <c r="B350" s="67" t="s">
        <v>284</v>
      </c>
    </row>
    <row r="351" spans="1:2" ht="22.5" x14ac:dyDescent="0.2">
      <c r="A351" s="575">
        <v>350</v>
      </c>
      <c r="B351" s="67" t="s">
        <v>684</v>
      </c>
    </row>
    <row r="352" spans="1:2" ht="45" x14ac:dyDescent="0.2">
      <c r="A352" s="575">
        <v>351</v>
      </c>
      <c r="B352" s="67" t="s">
        <v>285</v>
      </c>
    </row>
    <row r="353" spans="1:2" ht="22.5" x14ac:dyDescent="0.2">
      <c r="A353" s="575">
        <v>352</v>
      </c>
      <c r="B353" s="67" t="s">
        <v>286</v>
      </c>
    </row>
    <row r="354" spans="1:2" ht="33.75" x14ac:dyDescent="0.2">
      <c r="A354" s="575">
        <v>353</v>
      </c>
      <c r="B354" s="67" t="s">
        <v>287</v>
      </c>
    </row>
    <row r="355" spans="1:2" ht="33.75" x14ac:dyDescent="0.2">
      <c r="A355" s="575">
        <v>354</v>
      </c>
      <c r="B355" s="67" t="s">
        <v>183</v>
      </c>
    </row>
    <row r="356" spans="1:2" ht="67.5" x14ac:dyDescent="0.2">
      <c r="A356" s="575">
        <v>355</v>
      </c>
      <c r="B356" s="452" t="s">
        <v>172</v>
      </c>
    </row>
    <row r="357" spans="1:2" x14ac:dyDescent="0.2">
      <c r="A357" s="575">
        <v>356</v>
      </c>
      <c r="B357" s="511" t="s">
        <v>518</v>
      </c>
    </row>
    <row r="358" spans="1:2" x14ac:dyDescent="0.2">
      <c r="A358" s="575">
        <v>357</v>
      </c>
      <c r="B358" s="500" t="s">
        <v>1312</v>
      </c>
    </row>
    <row r="359" spans="1:2" x14ac:dyDescent="0.2">
      <c r="A359" s="575">
        <v>358</v>
      </c>
      <c r="B359" s="500" t="s">
        <v>695</v>
      </c>
    </row>
    <row r="360" spans="1:2" x14ac:dyDescent="0.2">
      <c r="A360" s="575">
        <v>359</v>
      </c>
      <c r="B360" s="491" t="s">
        <v>1308</v>
      </c>
    </row>
    <row r="361" spans="1:2" ht="33.75" x14ac:dyDescent="0.2">
      <c r="A361" s="575">
        <v>360</v>
      </c>
      <c r="B361" s="511" t="s">
        <v>649</v>
      </c>
    </row>
    <row r="362" spans="1:2" x14ac:dyDescent="0.2">
      <c r="A362" s="575">
        <v>361</v>
      </c>
      <c r="B362" s="491" t="s">
        <v>515</v>
      </c>
    </row>
    <row r="363" spans="1:2" x14ac:dyDescent="0.2">
      <c r="A363" s="575">
        <v>362</v>
      </c>
      <c r="B363" s="547" t="s">
        <v>1311</v>
      </c>
    </row>
    <row r="364" spans="1:2" x14ac:dyDescent="0.2">
      <c r="A364" s="575">
        <v>363</v>
      </c>
      <c r="B364" s="547" t="s">
        <v>1309</v>
      </c>
    </row>
    <row r="365" spans="1:2" x14ac:dyDescent="0.2">
      <c r="A365" s="575">
        <v>364</v>
      </c>
      <c r="B365" s="547" t="s">
        <v>1310</v>
      </c>
    </row>
    <row r="366" spans="1:2" x14ac:dyDescent="0.2">
      <c r="A366" s="575">
        <v>365</v>
      </c>
      <c r="B366" s="501" t="s">
        <v>646</v>
      </c>
    </row>
    <row r="367" spans="1:2" x14ac:dyDescent="0.2">
      <c r="A367" s="575">
        <v>366</v>
      </c>
      <c r="B367" s="501" t="s">
        <v>1073</v>
      </c>
    </row>
    <row r="368" spans="1:2" x14ac:dyDescent="0.2">
      <c r="A368" s="575">
        <v>367</v>
      </c>
      <c r="B368" s="554" t="s">
        <v>856</v>
      </c>
    </row>
    <row r="369" spans="1:2" x14ac:dyDescent="0.2">
      <c r="A369" s="575">
        <v>368</v>
      </c>
      <c r="B369" s="129" t="s">
        <v>1368</v>
      </c>
    </row>
    <row r="370" spans="1:2" ht="33.75" x14ac:dyDescent="0.2">
      <c r="A370" s="575">
        <v>369</v>
      </c>
      <c r="B370" s="67" t="s">
        <v>1064</v>
      </c>
    </row>
    <row r="371" spans="1:2" ht="21" x14ac:dyDescent="0.2">
      <c r="A371" s="575">
        <v>370</v>
      </c>
      <c r="B371" s="488" t="s">
        <v>375</v>
      </c>
    </row>
    <row r="372" spans="1:2" x14ac:dyDescent="0.2">
      <c r="A372" s="575">
        <v>371</v>
      </c>
      <c r="B372" s="129" t="s">
        <v>454</v>
      </c>
    </row>
    <row r="373" spans="1:2" ht="22.5" x14ac:dyDescent="0.2">
      <c r="A373" s="575">
        <v>372</v>
      </c>
      <c r="B373" s="67" t="s">
        <v>455</v>
      </c>
    </row>
    <row r="374" spans="1:2" ht="22.5" x14ac:dyDescent="0.2">
      <c r="A374" s="575">
        <v>373</v>
      </c>
      <c r="B374" s="67" t="s">
        <v>456</v>
      </c>
    </row>
    <row r="375" spans="1:2" ht="33.75" x14ac:dyDescent="0.2">
      <c r="A375" s="575">
        <v>374</v>
      </c>
      <c r="B375" s="67" t="s">
        <v>457</v>
      </c>
    </row>
    <row r="376" spans="1:2" ht="22.5" x14ac:dyDescent="0.2">
      <c r="A376" s="575">
        <v>375</v>
      </c>
      <c r="B376" s="67" t="s">
        <v>163</v>
      </c>
    </row>
    <row r="377" spans="1:2" x14ac:dyDescent="0.2">
      <c r="A377" s="575">
        <v>376</v>
      </c>
      <c r="B377" s="415" t="s">
        <v>1302</v>
      </c>
    </row>
    <row r="378" spans="1:2" x14ac:dyDescent="0.2">
      <c r="A378" s="575">
        <v>377</v>
      </c>
      <c r="B378" s="491" t="s">
        <v>1303</v>
      </c>
    </row>
    <row r="379" spans="1:2" ht="22.5" x14ac:dyDescent="0.2">
      <c r="A379" s="575">
        <v>378</v>
      </c>
      <c r="B379" s="498" t="s">
        <v>164</v>
      </c>
    </row>
    <row r="380" spans="1:2" x14ac:dyDescent="0.2">
      <c r="A380" s="575">
        <v>379</v>
      </c>
      <c r="B380" s="498" t="s">
        <v>296</v>
      </c>
    </row>
    <row r="381" spans="1:2" x14ac:dyDescent="0.2">
      <c r="A381" s="575">
        <v>380</v>
      </c>
      <c r="B381" s="498" t="s">
        <v>206</v>
      </c>
    </row>
    <row r="382" spans="1:2" x14ac:dyDescent="0.2">
      <c r="A382" s="575">
        <v>381</v>
      </c>
      <c r="B382" s="555" t="s">
        <v>12</v>
      </c>
    </row>
    <row r="383" spans="1:2" x14ac:dyDescent="0.2">
      <c r="A383" s="575">
        <v>382</v>
      </c>
      <c r="B383" s="129" t="s">
        <v>297</v>
      </c>
    </row>
    <row r="384" spans="1:2" ht="56.25" x14ac:dyDescent="0.2">
      <c r="A384" s="575">
        <v>383</v>
      </c>
      <c r="B384" s="452" t="s">
        <v>298</v>
      </c>
    </row>
    <row r="385" spans="1:2" ht="22.5" x14ac:dyDescent="0.2">
      <c r="A385" s="575">
        <v>384</v>
      </c>
      <c r="B385" s="452" t="s">
        <v>184</v>
      </c>
    </row>
    <row r="386" spans="1:2" ht="22.5" x14ac:dyDescent="0.2">
      <c r="A386" s="575">
        <v>385</v>
      </c>
      <c r="B386" s="67" t="s">
        <v>299</v>
      </c>
    </row>
    <row r="387" spans="1:2" x14ac:dyDescent="0.2">
      <c r="A387" s="575">
        <v>386</v>
      </c>
      <c r="B387" s="415" t="s">
        <v>519</v>
      </c>
    </row>
    <row r="388" spans="1:2" x14ac:dyDescent="0.2">
      <c r="A388" s="575">
        <v>387</v>
      </c>
      <c r="B388" s="491" t="s">
        <v>1350</v>
      </c>
    </row>
    <row r="389" spans="1:2" x14ac:dyDescent="0.2">
      <c r="A389" s="575">
        <v>388</v>
      </c>
      <c r="B389" s="491" t="s">
        <v>1321</v>
      </c>
    </row>
    <row r="390" spans="1:2" ht="22.5" x14ac:dyDescent="0.2">
      <c r="A390" s="575">
        <v>389</v>
      </c>
      <c r="B390" s="415" t="s">
        <v>1348</v>
      </c>
    </row>
    <row r="391" spans="1:2" x14ac:dyDescent="0.2">
      <c r="A391" s="575">
        <v>390</v>
      </c>
      <c r="B391" s="415" t="s">
        <v>1561</v>
      </c>
    </row>
    <row r="392" spans="1:2" x14ac:dyDescent="0.2">
      <c r="A392" s="575">
        <v>391</v>
      </c>
      <c r="B392" s="415" t="s">
        <v>1175</v>
      </c>
    </row>
    <row r="393" spans="1:2" x14ac:dyDescent="0.2">
      <c r="A393" s="575">
        <v>392</v>
      </c>
      <c r="B393" s="498" t="s">
        <v>793</v>
      </c>
    </row>
    <row r="394" spans="1:2" x14ac:dyDescent="0.2">
      <c r="A394" s="575">
        <v>393</v>
      </c>
      <c r="B394" s="498" t="s">
        <v>794</v>
      </c>
    </row>
    <row r="395" spans="1:2" x14ac:dyDescent="0.2">
      <c r="A395" s="575">
        <v>394</v>
      </c>
      <c r="B395" s="498" t="s">
        <v>396</v>
      </c>
    </row>
    <row r="396" spans="1:2" x14ac:dyDescent="0.2">
      <c r="A396" s="575">
        <v>395</v>
      </c>
      <c r="B396" s="498" t="s">
        <v>752</v>
      </c>
    </row>
    <row r="397" spans="1:2" x14ac:dyDescent="0.2">
      <c r="A397" s="575">
        <v>396</v>
      </c>
      <c r="B397" s="498" t="s">
        <v>751</v>
      </c>
    </row>
    <row r="398" spans="1:2" ht="22.5" x14ac:dyDescent="0.2">
      <c r="A398" s="575">
        <v>397</v>
      </c>
      <c r="B398" s="498" t="s">
        <v>395</v>
      </c>
    </row>
    <row r="399" spans="1:2" x14ac:dyDescent="0.2">
      <c r="A399" s="575">
        <v>398</v>
      </c>
      <c r="B399" s="498" t="s">
        <v>300</v>
      </c>
    </row>
    <row r="400" spans="1:2" x14ac:dyDescent="0.2">
      <c r="A400" s="575">
        <v>399</v>
      </c>
      <c r="B400" s="556" t="s">
        <v>397</v>
      </c>
    </row>
    <row r="401" spans="1:2" x14ac:dyDescent="0.2">
      <c r="A401" s="575">
        <v>400</v>
      </c>
      <c r="B401" s="129" t="s">
        <v>474</v>
      </c>
    </row>
    <row r="402" spans="1:2" ht="22.5" x14ac:dyDescent="0.2">
      <c r="A402" s="575">
        <v>401</v>
      </c>
      <c r="B402" s="67" t="s">
        <v>610</v>
      </c>
    </row>
    <row r="403" spans="1:2" ht="33.75" x14ac:dyDescent="0.2">
      <c r="A403" s="575">
        <v>402</v>
      </c>
      <c r="B403" s="67" t="s">
        <v>406</v>
      </c>
    </row>
    <row r="404" spans="1:2" ht="45" x14ac:dyDescent="0.2">
      <c r="A404" s="575">
        <v>403</v>
      </c>
      <c r="B404" s="452" t="s">
        <v>398</v>
      </c>
    </row>
    <row r="405" spans="1:2" x14ac:dyDescent="0.2">
      <c r="A405" s="575">
        <v>404</v>
      </c>
      <c r="B405" s="510" t="s">
        <v>907</v>
      </c>
    </row>
    <row r="406" spans="1:2" x14ac:dyDescent="0.2">
      <c r="A406" s="575">
        <v>405</v>
      </c>
      <c r="B406" s="498" t="s">
        <v>399</v>
      </c>
    </row>
    <row r="407" spans="1:2" x14ac:dyDescent="0.2">
      <c r="A407" s="575">
        <v>406</v>
      </c>
      <c r="B407" s="510" t="s">
        <v>908</v>
      </c>
    </row>
    <row r="408" spans="1:2" ht="22.5" x14ac:dyDescent="0.2">
      <c r="A408" s="575">
        <v>407</v>
      </c>
      <c r="B408" s="498" t="s">
        <v>165</v>
      </c>
    </row>
    <row r="409" spans="1:2" x14ac:dyDescent="0.2">
      <c r="A409" s="575">
        <v>408</v>
      </c>
      <c r="B409" s="510" t="s">
        <v>1177</v>
      </c>
    </row>
    <row r="410" spans="1:2" x14ac:dyDescent="0.2">
      <c r="A410" s="575">
        <v>409</v>
      </c>
      <c r="B410" s="498" t="s">
        <v>492</v>
      </c>
    </row>
    <row r="411" spans="1:2" x14ac:dyDescent="0.2">
      <c r="A411" s="575">
        <v>410</v>
      </c>
      <c r="B411" s="515" t="s">
        <v>468</v>
      </c>
    </row>
    <row r="412" spans="1:2" ht="45" x14ac:dyDescent="0.2">
      <c r="A412" s="575">
        <v>411</v>
      </c>
      <c r="B412" s="516" t="s">
        <v>400</v>
      </c>
    </row>
    <row r="413" spans="1:2" ht="22.5" x14ac:dyDescent="0.2">
      <c r="A413" s="575">
        <v>412</v>
      </c>
      <c r="B413" s="517" t="s">
        <v>401</v>
      </c>
    </row>
    <row r="414" spans="1:2" x14ac:dyDescent="0.2">
      <c r="A414" s="575">
        <v>413</v>
      </c>
      <c r="B414" s="510" t="s">
        <v>1007</v>
      </c>
    </row>
    <row r="415" spans="1:2" x14ac:dyDescent="0.2">
      <c r="A415" s="575">
        <v>414</v>
      </c>
      <c r="B415" s="498" t="s">
        <v>402</v>
      </c>
    </row>
    <row r="416" spans="1:2" x14ac:dyDescent="0.2">
      <c r="A416" s="575">
        <v>415</v>
      </c>
      <c r="B416" s="510" t="s">
        <v>906</v>
      </c>
    </row>
    <row r="417" spans="1:2" ht="45" x14ac:dyDescent="0.2">
      <c r="A417" s="575">
        <v>416</v>
      </c>
      <c r="B417" s="498" t="s">
        <v>403</v>
      </c>
    </row>
    <row r="418" spans="1:2" x14ac:dyDescent="0.2">
      <c r="A418" s="575">
        <v>417</v>
      </c>
      <c r="B418" s="510" t="s">
        <v>1008</v>
      </c>
    </row>
    <row r="419" spans="1:2" ht="22.5" x14ac:dyDescent="0.2">
      <c r="A419" s="575">
        <v>418</v>
      </c>
      <c r="B419" s="498" t="s">
        <v>404</v>
      </c>
    </row>
    <row r="420" spans="1:2" x14ac:dyDescent="0.2">
      <c r="A420" s="575">
        <v>419</v>
      </c>
      <c r="B420" s="519" t="s">
        <v>919</v>
      </c>
    </row>
    <row r="421" spans="1:2" x14ac:dyDescent="0.2">
      <c r="A421" s="575">
        <v>420</v>
      </c>
      <c r="B421" s="498" t="s">
        <v>405</v>
      </c>
    </row>
    <row r="422" spans="1:2" x14ac:dyDescent="0.2">
      <c r="A422" s="575">
        <v>421</v>
      </c>
      <c r="B422" s="129" t="s">
        <v>475</v>
      </c>
    </row>
    <row r="423" spans="1:2" ht="22.5" x14ac:dyDescent="0.2">
      <c r="A423" s="575">
        <v>422</v>
      </c>
      <c r="B423" s="67" t="s">
        <v>385</v>
      </c>
    </row>
    <row r="424" spans="1:2" ht="25.5" x14ac:dyDescent="0.2">
      <c r="A424" s="575">
        <v>423</v>
      </c>
      <c r="B424" s="129" t="s">
        <v>476</v>
      </c>
    </row>
    <row r="425" spans="1:2" ht="25.5" x14ac:dyDescent="0.2">
      <c r="A425" s="575">
        <v>424</v>
      </c>
      <c r="B425" s="129" t="s">
        <v>477</v>
      </c>
    </row>
    <row r="426" spans="1:2" ht="22.5" x14ac:dyDescent="0.2">
      <c r="A426" s="575">
        <v>425</v>
      </c>
      <c r="B426" s="67" t="s">
        <v>602</v>
      </c>
    </row>
    <row r="427" spans="1:2" ht="25.5" x14ac:dyDescent="0.2">
      <c r="A427" s="575">
        <v>426</v>
      </c>
      <c r="B427" s="129" t="s">
        <v>407</v>
      </c>
    </row>
    <row r="428" spans="1:2" ht="22.5" x14ac:dyDescent="0.2">
      <c r="A428" s="575">
        <v>427</v>
      </c>
      <c r="B428" s="67" t="s">
        <v>288</v>
      </c>
    </row>
    <row r="429" spans="1:2" ht="13.5" thickBot="1" x14ac:dyDescent="0.25">
      <c r="A429" s="575">
        <v>428</v>
      </c>
      <c r="B429" s="556" t="s">
        <v>13</v>
      </c>
    </row>
    <row r="430" spans="1:2" ht="25.5" x14ac:dyDescent="0.2">
      <c r="A430" s="575">
        <v>429</v>
      </c>
      <c r="B430" s="540" t="s">
        <v>344</v>
      </c>
    </row>
    <row r="431" spans="1:2" x14ac:dyDescent="0.2">
      <c r="A431" s="575">
        <v>430</v>
      </c>
      <c r="B431" t="s">
        <v>1371</v>
      </c>
    </row>
    <row r="432" spans="1:2" ht="18" x14ac:dyDescent="0.2">
      <c r="A432" s="575">
        <v>431</v>
      </c>
      <c r="B432" s="216" t="s">
        <v>937</v>
      </c>
    </row>
    <row r="433" spans="1:4" ht="25.5" x14ac:dyDescent="0.2">
      <c r="A433" s="575">
        <v>432</v>
      </c>
      <c r="B433" s="485" t="s">
        <v>605</v>
      </c>
    </row>
    <row r="434" spans="1:4" ht="25.5" x14ac:dyDescent="0.2">
      <c r="A434" s="575">
        <v>433</v>
      </c>
      <c r="B434" s="485" t="s">
        <v>448</v>
      </c>
    </row>
    <row r="435" spans="1:4" ht="25.5" x14ac:dyDescent="0.2">
      <c r="A435" s="575">
        <v>434</v>
      </c>
      <c r="B435" s="485" t="s">
        <v>449</v>
      </c>
    </row>
    <row r="436" spans="1:4" x14ac:dyDescent="0.2">
      <c r="A436" s="575">
        <v>435</v>
      </c>
      <c r="B436" s="485" t="s">
        <v>450</v>
      </c>
      <c r="D436" t="s">
        <v>1866</v>
      </c>
    </row>
    <row r="437" spans="1:4" x14ac:dyDescent="0.2">
      <c r="A437" s="575">
        <v>436</v>
      </c>
      <c r="B437" s="129" t="s">
        <v>358</v>
      </c>
    </row>
    <row r="438" spans="1:4" x14ac:dyDescent="0.2">
      <c r="A438" s="575">
        <v>437</v>
      </c>
      <c r="B438" s="129" t="s">
        <v>640</v>
      </c>
    </row>
    <row r="439" spans="1:4" x14ac:dyDescent="0.2">
      <c r="A439" s="575">
        <v>438</v>
      </c>
      <c r="B439" s="129" t="s">
        <v>611</v>
      </c>
    </row>
    <row r="440" spans="1:4" ht="15" x14ac:dyDescent="0.2">
      <c r="A440" s="575">
        <v>439</v>
      </c>
      <c r="B440" s="257" t="s">
        <v>700</v>
      </c>
    </row>
    <row r="441" spans="1:4" x14ac:dyDescent="0.2">
      <c r="A441" s="575">
        <v>440</v>
      </c>
      <c r="B441" s="504" t="s">
        <v>1203</v>
      </c>
    </row>
    <row r="442" spans="1:4" x14ac:dyDescent="0.2">
      <c r="A442" s="575">
        <v>441</v>
      </c>
      <c r="B442" s="504" t="s">
        <v>757</v>
      </c>
    </row>
    <row r="443" spans="1:4" ht="22.5" x14ac:dyDescent="0.2">
      <c r="A443" s="575">
        <v>442</v>
      </c>
      <c r="B443" s="67" t="s">
        <v>1098</v>
      </c>
    </row>
    <row r="444" spans="1:4" ht="45" x14ac:dyDescent="0.2">
      <c r="A444" s="575">
        <v>443</v>
      </c>
      <c r="B444" s="67" t="s">
        <v>1132</v>
      </c>
    </row>
    <row r="445" spans="1:4" ht="33.75" x14ac:dyDescent="0.2">
      <c r="A445" s="575">
        <v>444</v>
      </c>
      <c r="B445" s="67" t="s">
        <v>1133</v>
      </c>
    </row>
    <row r="446" spans="1:4" ht="15" x14ac:dyDescent="0.2">
      <c r="A446" s="575">
        <v>445</v>
      </c>
      <c r="B446" s="257" t="s">
        <v>641</v>
      </c>
    </row>
    <row r="447" spans="1:4" ht="56.25" x14ac:dyDescent="0.2">
      <c r="A447" s="575">
        <v>446</v>
      </c>
      <c r="B447" s="67" t="s">
        <v>1136</v>
      </c>
    </row>
    <row r="448" spans="1:4" ht="22.5" x14ac:dyDescent="0.2">
      <c r="A448" s="575">
        <v>447</v>
      </c>
      <c r="B448" s="67" t="s">
        <v>1134</v>
      </c>
    </row>
    <row r="449" spans="1:2" x14ac:dyDescent="0.2">
      <c r="A449" s="575">
        <v>448</v>
      </c>
      <c r="B449" s="67" t="s">
        <v>1135</v>
      </c>
    </row>
    <row r="450" spans="1:2" ht="22.5" x14ac:dyDescent="0.2">
      <c r="A450" s="575">
        <v>449</v>
      </c>
      <c r="B450" s="67" t="s">
        <v>1128</v>
      </c>
    </row>
    <row r="451" spans="1:2" ht="21" x14ac:dyDescent="0.2">
      <c r="A451" s="575">
        <v>450</v>
      </c>
      <c r="B451" s="488" t="s">
        <v>514</v>
      </c>
    </row>
    <row r="452" spans="1:2" x14ac:dyDescent="0.2">
      <c r="A452" s="575">
        <v>451</v>
      </c>
      <c r="B452" s="391" t="s">
        <v>409</v>
      </c>
    </row>
    <row r="453" spans="1:2" ht="63.75" x14ac:dyDescent="0.2">
      <c r="A453" s="575">
        <v>452</v>
      </c>
      <c r="B453" s="509" t="s">
        <v>511</v>
      </c>
    </row>
    <row r="454" spans="1:2" ht="15" x14ac:dyDescent="0.2">
      <c r="A454" s="575">
        <v>453</v>
      </c>
      <c r="B454" s="257" t="s">
        <v>14</v>
      </c>
    </row>
    <row r="455" spans="1:2" x14ac:dyDescent="0.2">
      <c r="A455" s="575">
        <v>454</v>
      </c>
      <c r="B455" s="68" t="s">
        <v>1029</v>
      </c>
    </row>
    <row r="456" spans="1:2" x14ac:dyDescent="0.2">
      <c r="A456" s="575">
        <v>455</v>
      </c>
      <c r="B456" s="134" t="s">
        <v>1294</v>
      </c>
    </row>
    <row r="457" spans="1:2" x14ac:dyDescent="0.2">
      <c r="A457" s="575">
        <v>456</v>
      </c>
      <c r="B457" s="505" t="s">
        <v>809</v>
      </c>
    </row>
    <row r="458" spans="1:2" ht="33.75" x14ac:dyDescent="0.2">
      <c r="A458" s="575">
        <v>457</v>
      </c>
      <c r="B458" s="67" t="s">
        <v>1205</v>
      </c>
    </row>
    <row r="459" spans="1:2" x14ac:dyDescent="0.2">
      <c r="A459" s="575">
        <v>458</v>
      </c>
      <c r="B459" s="134" t="s">
        <v>1301</v>
      </c>
    </row>
    <row r="460" spans="1:2" ht="22.5" x14ac:dyDescent="0.2">
      <c r="A460" s="575">
        <v>459</v>
      </c>
      <c r="B460" s="67" t="s">
        <v>1137</v>
      </c>
    </row>
    <row r="461" spans="1:2" ht="21" x14ac:dyDescent="0.2">
      <c r="A461" s="575">
        <v>460</v>
      </c>
      <c r="B461" s="488" t="s">
        <v>212</v>
      </c>
    </row>
    <row r="462" spans="1:2" x14ac:dyDescent="0.2">
      <c r="A462" s="575">
        <v>461</v>
      </c>
      <c r="B462" s="134" t="s">
        <v>1206</v>
      </c>
    </row>
    <row r="463" spans="1:2" ht="22.5" x14ac:dyDescent="0.2">
      <c r="A463" s="575">
        <v>462</v>
      </c>
      <c r="B463" s="67" t="s">
        <v>484</v>
      </c>
    </row>
    <row r="464" spans="1:2" ht="45" x14ac:dyDescent="0.2">
      <c r="A464" s="575">
        <v>463</v>
      </c>
      <c r="B464" s="67" t="s">
        <v>1138</v>
      </c>
    </row>
    <row r="465" spans="1:2" x14ac:dyDescent="0.2">
      <c r="A465" s="575">
        <v>464</v>
      </c>
      <c r="B465" s="437" t="s">
        <v>1124</v>
      </c>
    </row>
    <row r="466" spans="1:2" x14ac:dyDescent="0.2">
      <c r="A466" s="575">
        <v>465</v>
      </c>
      <c r="B466" s="67" t="s">
        <v>1299</v>
      </c>
    </row>
    <row r="467" spans="1:2" ht="33.75" x14ac:dyDescent="0.2">
      <c r="A467" s="575">
        <v>466</v>
      </c>
      <c r="B467" s="67" t="s">
        <v>1554</v>
      </c>
    </row>
    <row r="468" spans="1:2" x14ac:dyDescent="0.2">
      <c r="A468" s="575">
        <v>467</v>
      </c>
      <c r="B468" s="134" t="s">
        <v>1204</v>
      </c>
    </row>
    <row r="469" spans="1:2" x14ac:dyDescent="0.2">
      <c r="A469" s="575">
        <v>468</v>
      </c>
      <c r="B469" s="134" t="s">
        <v>1207</v>
      </c>
    </row>
    <row r="470" spans="1:2" x14ac:dyDescent="0.2">
      <c r="A470" s="575">
        <v>469</v>
      </c>
      <c r="B470" s="67" t="s">
        <v>1300</v>
      </c>
    </row>
    <row r="471" spans="1:2" ht="22.5" x14ac:dyDescent="0.2">
      <c r="A471" s="575">
        <v>470</v>
      </c>
      <c r="B471" s="67" t="s">
        <v>1139</v>
      </c>
    </row>
    <row r="472" spans="1:2" x14ac:dyDescent="0.2">
      <c r="A472" s="575">
        <v>471</v>
      </c>
      <c r="B472" s="68" t="s">
        <v>1032</v>
      </c>
    </row>
    <row r="473" spans="1:2" x14ac:dyDescent="0.2">
      <c r="A473" s="575">
        <v>472</v>
      </c>
      <c r="B473" s="67" t="s">
        <v>604</v>
      </c>
    </row>
    <row r="474" spans="1:2" ht="33.75" x14ac:dyDescent="0.2">
      <c r="A474" s="575">
        <v>473</v>
      </c>
      <c r="B474" s="67" t="s">
        <v>1209</v>
      </c>
    </row>
    <row r="475" spans="1:2" x14ac:dyDescent="0.2">
      <c r="A475" s="575">
        <v>474</v>
      </c>
      <c r="B475" s="44" t="s">
        <v>1125</v>
      </c>
    </row>
    <row r="476" spans="1:2" ht="33.75" x14ac:dyDescent="0.2">
      <c r="A476" s="575">
        <v>475</v>
      </c>
      <c r="B476" s="67" t="s">
        <v>1140</v>
      </c>
    </row>
    <row r="477" spans="1:2" x14ac:dyDescent="0.2">
      <c r="A477" s="575">
        <v>476</v>
      </c>
      <c r="B477" s="68" t="s">
        <v>185</v>
      </c>
    </row>
    <row r="478" spans="1:2" x14ac:dyDescent="0.2">
      <c r="A478" s="575">
        <v>477</v>
      </c>
      <c r="B478" s="68" t="s">
        <v>1293</v>
      </c>
    </row>
    <row r="479" spans="1:2" x14ac:dyDescent="0.2">
      <c r="A479" s="575">
        <v>478</v>
      </c>
      <c r="B479" s="68" t="s">
        <v>1033</v>
      </c>
    </row>
    <row r="480" spans="1:2" x14ac:dyDescent="0.2">
      <c r="A480" s="575">
        <v>479</v>
      </c>
      <c r="B480" s="68" t="s">
        <v>1034</v>
      </c>
    </row>
    <row r="481" spans="1:2" x14ac:dyDescent="0.2">
      <c r="A481" s="575">
        <v>480</v>
      </c>
      <c r="B481" s="505" t="s">
        <v>411</v>
      </c>
    </row>
    <row r="482" spans="1:2" x14ac:dyDescent="0.2">
      <c r="A482" s="575">
        <v>481</v>
      </c>
      <c r="B482" s="505" t="s">
        <v>410</v>
      </c>
    </row>
    <row r="483" spans="1:2" x14ac:dyDescent="0.2">
      <c r="A483" s="575">
        <v>482</v>
      </c>
      <c r="B483" s="505" t="s">
        <v>991</v>
      </c>
    </row>
    <row r="484" spans="1:2" ht="22.5" x14ac:dyDescent="0.2">
      <c r="A484" s="575">
        <v>483</v>
      </c>
      <c r="B484" s="67" t="s">
        <v>1141</v>
      </c>
    </row>
    <row r="485" spans="1:2" ht="22.5" x14ac:dyDescent="0.2">
      <c r="A485" s="575">
        <v>484</v>
      </c>
      <c r="B485" s="67" t="s">
        <v>186</v>
      </c>
    </row>
    <row r="486" spans="1:2" ht="56.25" x14ac:dyDescent="0.2">
      <c r="A486" s="575">
        <v>485</v>
      </c>
      <c r="B486" s="67" t="s">
        <v>166</v>
      </c>
    </row>
    <row r="487" spans="1:2" ht="22.5" x14ac:dyDescent="0.2">
      <c r="A487" s="575">
        <v>486</v>
      </c>
      <c r="B487" s="67" t="s">
        <v>1142</v>
      </c>
    </row>
    <row r="488" spans="1:2" ht="22.5" x14ac:dyDescent="0.2">
      <c r="A488" s="575">
        <v>487</v>
      </c>
      <c r="B488" s="67" t="s">
        <v>1143</v>
      </c>
    </row>
    <row r="489" spans="1:2" ht="22.5" x14ac:dyDescent="0.2">
      <c r="A489" s="575">
        <v>488</v>
      </c>
      <c r="B489" s="67" t="s">
        <v>483</v>
      </c>
    </row>
    <row r="490" spans="1:2" ht="15" x14ac:dyDescent="0.2">
      <c r="A490" s="575">
        <v>489</v>
      </c>
      <c r="B490" s="257" t="s">
        <v>1035</v>
      </c>
    </row>
    <row r="491" spans="1:2" ht="33.75" x14ac:dyDescent="0.2">
      <c r="A491" s="575">
        <v>490</v>
      </c>
      <c r="B491" s="67" t="s">
        <v>1144</v>
      </c>
    </row>
    <row r="492" spans="1:2" ht="22.5" x14ac:dyDescent="0.2">
      <c r="A492" s="575">
        <v>491</v>
      </c>
      <c r="B492" s="67" t="s">
        <v>451</v>
      </c>
    </row>
    <row r="493" spans="1:2" x14ac:dyDescent="0.2">
      <c r="A493" s="575">
        <v>492</v>
      </c>
      <c r="B493" s="557" t="s">
        <v>534</v>
      </c>
    </row>
    <row r="494" spans="1:2" ht="33.75" x14ac:dyDescent="0.2">
      <c r="A494" s="575">
        <v>493</v>
      </c>
      <c r="B494" s="506" t="s">
        <v>545</v>
      </c>
    </row>
    <row r="495" spans="1:2" x14ac:dyDescent="0.2">
      <c r="A495" s="575">
        <v>494</v>
      </c>
      <c r="B495" s="557" t="s">
        <v>689</v>
      </c>
    </row>
    <row r="496" spans="1:2" ht="56.25" x14ac:dyDescent="0.2">
      <c r="A496" s="575">
        <v>495</v>
      </c>
      <c r="B496" s="506" t="s">
        <v>686</v>
      </c>
    </row>
    <row r="497" spans="1:2" x14ac:dyDescent="0.2">
      <c r="A497" s="575">
        <v>496</v>
      </c>
      <c r="B497" s="558" t="s">
        <v>690</v>
      </c>
    </row>
    <row r="498" spans="1:2" ht="45" x14ac:dyDescent="0.2">
      <c r="A498" s="575">
        <v>497</v>
      </c>
      <c r="B498" s="508" t="s">
        <v>167</v>
      </c>
    </row>
    <row r="499" spans="1:2" ht="22.5" x14ac:dyDescent="0.2">
      <c r="A499" s="575">
        <v>498</v>
      </c>
      <c r="B499" s="67" t="s">
        <v>688</v>
      </c>
    </row>
    <row r="500" spans="1:2" x14ac:dyDescent="0.2">
      <c r="A500" s="575">
        <v>499</v>
      </c>
      <c r="B500" s="507" t="s">
        <v>687</v>
      </c>
    </row>
    <row r="501" spans="1:2" x14ac:dyDescent="0.2">
      <c r="A501" s="575">
        <v>500</v>
      </c>
      <c r="B501" s="557" t="s">
        <v>691</v>
      </c>
    </row>
    <row r="502" spans="1:2" ht="33.75" x14ac:dyDescent="0.2">
      <c r="A502" s="575">
        <v>501</v>
      </c>
      <c r="B502" s="506" t="s">
        <v>1212</v>
      </c>
    </row>
    <row r="503" spans="1:2" x14ac:dyDescent="0.2">
      <c r="A503" s="575">
        <v>502</v>
      </c>
      <c r="B503" s="557" t="s">
        <v>692</v>
      </c>
    </row>
    <row r="504" spans="1:2" x14ac:dyDescent="0.2">
      <c r="A504" s="575">
        <v>503</v>
      </c>
      <c r="B504" s="506" t="s">
        <v>187</v>
      </c>
    </row>
    <row r="505" spans="1:2" x14ac:dyDescent="0.2">
      <c r="A505" s="575">
        <v>504</v>
      </c>
      <c r="B505" s="559" t="s">
        <v>1603</v>
      </c>
    </row>
    <row r="506" spans="1:2" x14ac:dyDescent="0.2">
      <c r="A506" s="575">
        <v>505</v>
      </c>
      <c r="B506" s="67" t="s">
        <v>1213</v>
      </c>
    </row>
    <row r="507" spans="1:2" ht="22.5" x14ac:dyDescent="0.2">
      <c r="A507" s="575">
        <v>506</v>
      </c>
      <c r="B507" s="67" t="s">
        <v>1214</v>
      </c>
    </row>
    <row r="508" spans="1:2" ht="33.75" x14ac:dyDescent="0.2">
      <c r="A508" s="575">
        <v>507</v>
      </c>
      <c r="B508" s="67" t="s">
        <v>1145</v>
      </c>
    </row>
    <row r="509" spans="1:2" ht="33.75" x14ac:dyDescent="0.2">
      <c r="A509" s="575">
        <v>508</v>
      </c>
      <c r="B509" s="507" t="s">
        <v>1146</v>
      </c>
    </row>
    <row r="510" spans="1:2" x14ac:dyDescent="0.2">
      <c r="A510" s="575">
        <v>509</v>
      </c>
      <c r="B510" s="560" t="s">
        <v>1604</v>
      </c>
    </row>
    <row r="511" spans="1:2" ht="33.75" x14ac:dyDescent="0.2">
      <c r="A511" s="575">
        <v>510</v>
      </c>
      <c r="B511" s="507" t="s">
        <v>1215</v>
      </c>
    </row>
    <row r="512" spans="1:2" x14ac:dyDescent="0.2">
      <c r="A512" s="575">
        <v>511</v>
      </c>
      <c r="B512" s="133" t="s">
        <v>693</v>
      </c>
    </row>
    <row r="513" spans="1:2" ht="31.5" x14ac:dyDescent="0.2">
      <c r="A513" s="575">
        <v>512</v>
      </c>
      <c r="B513" s="488" t="s">
        <v>1147</v>
      </c>
    </row>
    <row r="514" spans="1:2" ht="21" x14ac:dyDescent="0.2">
      <c r="A514" s="575">
        <v>513</v>
      </c>
      <c r="B514" s="488" t="s">
        <v>1201</v>
      </c>
    </row>
    <row r="515" spans="1:2" x14ac:dyDescent="0.2">
      <c r="A515" s="575">
        <v>514</v>
      </c>
      <c r="B515" s="68" t="s">
        <v>698</v>
      </c>
    </row>
    <row r="516" spans="1:2" x14ac:dyDescent="0.2">
      <c r="A516" s="575">
        <v>515</v>
      </c>
      <c r="B516" s="503" t="s">
        <v>529</v>
      </c>
    </row>
    <row r="517" spans="1:2" x14ac:dyDescent="0.2">
      <c r="A517" s="575">
        <v>516</v>
      </c>
      <c r="B517" s="503" t="s">
        <v>1036</v>
      </c>
    </row>
    <row r="518" spans="1:2" x14ac:dyDescent="0.2">
      <c r="A518" s="575">
        <v>517</v>
      </c>
      <c r="B518" s="503" t="s">
        <v>1037</v>
      </c>
    </row>
    <row r="519" spans="1:2" x14ac:dyDescent="0.2">
      <c r="A519" s="575">
        <v>518</v>
      </c>
      <c r="B519" s="463" t="s">
        <v>1148</v>
      </c>
    </row>
    <row r="520" spans="1:2" x14ac:dyDescent="0.2">
      <c r="A520" s="575">
        <v>519</v>
      </c>
      <c r="B520" s="502" t="s">
        <v>528</v>
      </c>
    </row>
    <row r="521" spans="1:2" x14ac:dyDescent="0.2">
      <c r="A521" s="575">
        <v>520</v>
      </c>
      <c r="B521" s="502" t="s">
        <v>1208</v>
      </c>
    </row>
    <row r="522" spans="1:2" x14ac:dyDescent="0.2">
      <c r="A522" s="575">
        <v>521</v>
      </c>
      <c r="B522" s="502" t="s">
        <v>651</v>
      </c>
    </row>
    <row r="523" spans="1:2" x14ac:dyDescent="0.2">
      <c r="A523" s="575">
        <v>522</v>
      </c>
      <c r="B523" s="502" t="s">
        <v>652</v>
      </c>
    </row>
    <row r="524" spans="1:2" x14ac:dyDescent="0.2">
      <c r="A524" s="575">
        <v>523</v>
      </c>
      <c r="B524" s="502" t="s">
        <v>1332</v>
      </c>
    </row>
    <row r="525" spans="1:2" x14ac:dyDescent="0.2">
      <c r="A525" s="575">
        <v>524</v>
      </c>
      <c r="B525" s="502" t="s">
        <v>1555</v>
      </c>
    </row>
    <row r="526" spans="1:2" x14ac:dyDescent="0.2">
      <c r="A526" s="575">
        <v>525</v>
      </c>
      <c r="B526" s="463" t="s">
        <v>1148</v>
      </c>
    </row>
    <row r="527" spans="1:2" x14ac:dyDescent="0.2">
      <c r="A527" s="575">
        <v>526</v>
      </c>
      <c r="B527" s="505" t="s">
        <v>532</v>
      </c>
    </row>
    <row r="528" spans="1:2" x14ac:dyDescent="0.2">
      <c r="A528" s="575">
        <v>527</v>
      </c>
      <c r="B528" s="505" t="s">
        <v>535</v>
      </c>
    </row>
    <row r="529" spans="1:2" x14ac:dyDescent="0.2">
      <c r="A529" s="575">
        <v>528</v>
      </c>
      <c r="B529" s="505" t="s">
        <v>1601</v>
      </c>
    </row>
    <row r="530" spans="1:2" x14ac:dyDescent="0.2">
      <c r="A530" s="575">
        <v>529</v>
      </c>
      <c r="B530" s="504" t="s">
        <v>1091</v>
      </c>
    </row>
    <row r="531" spans="1:2" ht="22.5" x14ac:dyDescent="0.2">
      <c r="A531" s="575">
        <v>530</v>
      </c>
      <c r="B531" s="67" t="s">
        <v>452</v>
      </c>
    </row>
    <row r="532" spans="1:2" ht="33.75" x14ac:dyDescent="0.2">
      <c r="A532" s="575">
        <v>531</v>
      </c>
      <c r="B532" s="67" t="s">
        <v>188</v>
      </c>
    </row>
    <row r="533" spans="1:2" ht="33.75" x14ac:dyDescent="0.2">
      <c r="A533" s="575">
        <v>532</v>
      </c>
      <c r="B533" s="67" t="s">
        <v>1066</v>
      </c>
    </row>
    <row r="534" spans="1:2" x14ac:dyDescent="0.2">
      <c r="A534" s="575">
        <v>533</v>
      </c>
      <c r="B534" s="68" t="s">
        <v>699</v>
      </c>
    </row>
    <row r="535" spans="1:2" x14ac:dyDescent="0.2">
      <c r="A535" s="575">
        <v>534</v>
      </c>
      <c r="B535" s="497" t="s">
        <v>1089</v>
      </c>
    </row>
    <row r="536" spans="1:2" x14ac:dyDescent="0.2">
      <c r="A536" s="575">
        <v>535</v>
      </c>
      <c r="B536" s="497" t="s">
        <v>1244</v>
      </c>
    </row>
    <row r="537" spans="1:2" x14ac:dyDescent="0.2">
      <c r="A537" s="575">
        <v>536</v>
      </c>
      <c r="B537" s="497" t="s">
        <v>1039</v>
      </c>
    </row>
    <row r="538" spans="1:2" x14ac:dyDescent="0.2">
      <c r="A538" s="575">
        <v>537</v>
      </c>
      <c r="B538" s="497" t="s">
        <v>1040</v>
      </c>
    </row>
    <row r="539" spans="1:2" x14ac:dyDescent="0.2">
      <c r="A539" s="575">
        <v>538</v>
      </c>
      <c r="B539" s="497" t="s">
        <v>1041</v>
      </c>
    </row>
    <row r="540" spans="1:2" x14ac:dyDescent="0.2">
      <c r="A540" s="575">
        <v>539</v>
      </c>
      <c r="B540" s="497" t="s">
        <v>1307</v>
      </c>
    </row>
    <row r="541" spans="1:2" x14ac:dyDescent="0.2">
      <c r="A541" s="575">
        <v>540</v>
      </c>
      <c r="B541" s="265" t="s">
        <v>993</v>
      </c>
    </row>
    <row r="542" spans="1:2" x14ac:dyDescent="0.2">
      <c r="A542" s="575">
        <v>541</v>
      </c>
      <c r="B542" s="504" t="s">
        <v>1518</v>
      </c>
    </row>
    <row r="543" spans="1:2" x14ac:dyDescent="0.2">
      <c r="A543" s="575">
        <v>542</v>
      </c>
      <c r="B543" s="265" t="s">
        <v>996</v>
      </c>
    </row>
    <row r="544" spans="1:2" x14ac:dyDescent="0.2">
      <c r="A544" s="575">
        <v>543</v>
      </c>
      <c r="B544" s="265" t="s">
        <v>998</v>
      </c>
    </row>
    <row r="545" spans="1:2" ht="15" x14ac:dyDescent="0.2">
      <c r="A545" s="575">
        <v>544</v>
      </c>
      <c r="B545" s="257" t="s">
        <v>703</v>
      </c>
    </row>
    <row r="546" spans="1:2" x14ac:dyDescent="0.2">
      <c r="A546" s="575">
        <v>545</v>
      </c>
      <c r="B546" s="129" t="s">
        <v>1042</v>
      </c>
    </row>
    <row r="547" spans="1:2" ht="22.5" x14ac:dyDescent="0.2">
      <c r="A547" s="575">
        <v>546</v>
      </c>
      <c r="B547" s="67" t="s">
        <v>453</v>
      </c>
    </row>
    <row r="548" spans="1:2" x14ac:dyDescent="0.2">
      <c r="A548" s="575">
        <v>547</v>
      </c>
      <c r="B548" s="129" t="s">
        <v>523</v>
      </c>
    </row>
    <row r="549" spans="1:2" ht="22.5" x14ac:dyDescent="0.2">
      <c r="A549" s="575">
        <v>548</v>
      </c>
      <c r="B549" s="67" t="s">
        <v>612</v>
      </c>
    </row>
    <row r="550" spans="1:2" ht="45.75" thickBot="1" x14ac:dyDescent="0.25">
      <c r="A550" s="575">
        <v>549</v>
      </c>
      <c r="B550" s="67" t="s">
        <v>819</v>
      </c>
    </row>
    <row r="551" spans="1:2" ht="25.5" x14ac:dyDescent="0.2">
      <c r="A551" s="575">
        <v>550</v>
      </c>
      <c r="B551" s="540" t="s">
        <v>1476</v>
      </c>
    </row>
    <row r="552" spans="1:2" x14ac:dyDescent="0.2">
      <c r="A552" s="575">
        <v>551</v>
      </c>
      <c r="B552" t="s">
        <v>507</v>
      </c>
    </row>
    <row r="553" spans="1:2" x14ac:dyDescent="0.2">
      <c r="A553" s="575">
        <v>552</v>
      </c>
      <c r="B553" s="561" t="s">
        <v>305</v>
      </c>
    </row>
    <row r="554" spans="1:2" ht="24" x14ac:dyDescent="0.2">
      <c r="A554" s="575">
        <v>553</v>
      </c>
      <c r="B554" s="488" t="s">
        <v>541</v>
      </c>
    </row>
    <row r="555" spans="1:2" ht="21" x14ac:dyDescent="0.2">
      <c r="A555" s="575">
        <v>554</v>
      </c>
      <c r="B555" s="488" t="s">
        <v>540</v>
      </c>
    </row>
    <row r="556" spans="1:2" x14ac:dyDescent="0.2">
      <c r="A556" s="575">
        <v>555</v>
      </c>
      <c r="B556" s="129" t="s">
        <v>1494</v>
      </c>
    </row>
    <row r="557" spans="1:2" ht="33.75" x14ac:dyDescent="0.2">
      <c r="A557" s="575">
        <v>556</v>
      </c>
      <c r="B557" s="67" t="s">
        <v>1496</v>
      </c>
    </row>
    <row r="558" spans="1:2" ht="56.25" x14ac:dyDescent="0.2">
      <c r="A558" s="575">
        <v>557</v>
      </c>
      <c r="B558" s="67" t="s">
        <v>168</v>
      </c>
    </row>
    <row r="559" spans="1:2" ht="33.75" x14ac:dyDescent="0.2">
      <c r="A559" s="575">
        <v>558</v>
      </c>
      <c r="B559" s="67" t="s">
        <v>169</v>
      </c>
    </row>
    <row r="560" spans="1:2" x14ac:dyDescent="0.2">
      <c r="A560" s="575">
        <v>559</v>
      </c>
      <c r="B560" s="223" t="s">
        <v>617</v>
      </c>
    </row>
    <row r="561" spans="1:2" x14ac:dyDescent="0.2">
      <c r="A561" s="575">
        <v>560</v>
      </c>
      <c r="B561" s="129" t="s">
        <v>544</v>
      </c>
    </row>
    <row r="562" spans="1:2" ht="33.75" x14ac:dyDescent="0.2">
      <c r="A562" s="575">
        <v>561</v>
      </c>
      <c r="B562" s="67" t="s">
        <v>543</v>
      </c>
    </row>
    <row r="563" spans="1:2" ht="25.5" x14ac:dyDescent="0.2">
      <c r="A563" s="575">
        <v>562</v>
      </c>
      <c r="B563" s="129" t="s">
        <v>1477</v>
      </c>
    </row>
    <row r="564" spans="1:2" ht="33.75" x14ac:dyDescent="0.2">
      <c r="A564" s="575">
        <v>563</v>
      </c>
      <c r="B564" s="67" t="s">
        <v>1480</v>
      </c>
    </row>
    <row r="565" spans="1:2" ht="33.75" x14ac:dyDescent="0.2">
      <c r="A565" s="575">
        <v>564</v>
      </c>
      <c r="B565" s="67" t="s">
        <v>1482</v>
      </c>
    </row>
    <row r="566" spans="1:2" ht="33.75" x14ac:dyDescent="0.2">
      <c r="A566" s="575">
        <v>565</v>
      </c>
      <c r="B566" s="67" t="s">
        <v>1481</v>
      </c>
    </row>
    <row r="567" spans="1:2" ht="22.5" x14ac:dyDescent="0.2">
      <c r="A567" s="575">
        <v>566</v>
      </c>
      <c r="B567" s="67" t="s">
        <v>189</v>
      </c>
    </row>
    <row r="568" spans="1:2" x14ac:dyDescent="0.2">
      <c r="A568" s="575">
        <v>567</v>
      </c>
      <c r="B568" s="511" t="s">
        <v>616</v>
      </c>
    </row>
    <row r="569" spans="1:2" x14ac:dyDescent="0.2">
      <c r="A569" s="575">
        <v>568</v>
      </c>
      <c r="B569" s="490" t="s">
        <v>1485</v>
      </c>
    </row>
    <row r="570" spans="1:2" x14ac:dyDescent="0.2">
      <c r="A570" s="575">
        <v>569</v>
      </c>
      <c r="B570" s="562" t="s">
        <v>1486</v>
      </c>
    </row>
    <row r="571" spans="1:2" x14ac:dyDescent="0.2">
      <c r="A571" s="575">
        <v>570</v>
      </c>
      <c r="B571" s="563" t="s">
        <v>1488</v>
      </c>
    </row>
    <row r="572" spans="1:2" x14ac:dyDescent="0.2">
      <c r="A572" s="575">
        <v>571</v>
      </c>
      <c r="B572" s="490" t="s">
        <v>1487</v>
      </c>
    </row>
    <row r="573" spans="1:2" ht="25.5" x14ac:dyDescent="0.2">
      <c r="A573" s="575">
        <v>572</v>
      </c>
      <c r="B573" s="129" t="s">
        <v>190</v>
      </c>
    </row>
    <row r="574" spans="1:2" ht="22.5" x14ac:dyDescent="0.2">
      <c r="A574" s="575">
        <v>573</v>
      </c>
      <c r="B574" s="67" t="s">
        <v>100</v>
      </c>
    </row>
    <row r="575" spans="1:2" x14ac:dyDescent="0.2">
      <c r="A575" s="575">
        <v>574</v>
      </c>
      <c r="B575" s="498" t="s">
        <v>96</v>
      </c>
    </row>
    <row r="576" spans="1:2" x14ac:dyDescent="0.2">
      <c r="A576" s="575">
        <v>575</v>
      </c>
      <c r="B576" s="498" t="s">
        <v>97</v>
      </c>
    </row>
    <row r="577" spans="1:2" x14ac:dyDescent="0.2">
      <c r="A577" s="575">
        <v>576</v>
      </c>
      <c r="B577" s="498" t="s">
        <v>98</v>
      </c>
    </row>
    <row r="578" spans="1:2" x14ac:dyDescent="0.2">
      <c r="A578" s="575">
        <v>577</v>
      </c>
      <c r="B578" s="498" t="s">
        <v>99</v>
      </c>
    </row>
    <row r="579" spans="1:2" ht="25.5" x14ac:dyDescent="0.2">
      <c r="A579" s="575">
        <v>578</v>
      </c>
      <c r="B579" s="485" t="s">
        <v>412</v>
      </c>
    </row>
    <row r="580" spans="1:2" ht="25.5" x14ac:dyDescent="0.2">
      <c r="A580" s="575">
        <v>579</v>
      </c>
      <c r="B580" s="485" t="s">
        <v>413</v>
      </c>
    </row>
    <row r="581" spans="1:2" ht="25.5" x14ac:dyDescent="0.2">
      <c r="A581" s="575">
        <v>580</v>
      </c>
      <c r="B581" s="485" t="s">
        <v>414</v>
      </c>
    </row>
    <row r="582" spans="1:2" x14ac:dyDescent="0.2">
      <c r="A582" s="575">
        <v>581</v>
      </c>
      <c r="B582" s="485" t="s">
        <v>415</v>
      </c>
    </row>
    <row r="583" spans="1:2" x14ac:dyDescent="0.2">
      <c r="A583" s="575">
        <v>582</v>
      </c>
      <c r="B583" s="68" t="s">
        <v>1475</v>
      </c>
    </row>
    <row r="584" spans="1:2" x14ac:dyDescent="0.2">
      <c r="A584" s="575">
        <v>583</v>
      </c>
      <c r="B584" s="504" t="s">
        <v>1107</v>
      </c>
    </row>
    <row r="585" spans="1:2" ht="33.75" x14ac:dyDescent="0.2">
      <c r="A585" s="575">
        <v>584</v>
      </c>
      <c r="B585" s="67" t="s">
        <v>102</v>
      </c>
    </row>
    <row r="586" spans="1:2" ht="22.5" x14ac:dyDescent="0.2">
      <c r="A586" s="575">
        <v>585</v>
      </c>
      <c r="B586" s="67" t="s">
        <v>103</v>
      </c>
    </row>
    <row r="587" spans="1:2" ht="45" x14ac:dyDescent="0.2">
      <c r="A587" s="575">
        <v>586</v>
      </c>
      <c r="B587" s="67" t="s">
        <v>920</v>
      </c>
    </row>
    <row r="588" spans="1:2" ht="33.75" x14ac:dyDescent="0.2">
      <c r="A588" s="575">
        <v>587</v>
      </c>
      <c r="B588" s="67" t="s">
        <v>921</v>
      </c>
    </row>
    <row r="589" spans="1:2" ht="76.5" x14ac:dyDescent="0.2">
      <c r="A589" s="575">
        <v>588</v>
      </c>
      <c r="B589" s="509" t="s">
        <v>377</v>
      </c>
    </row>
    <row r="590" spans="1:2" ht="15" x14ac:dyDescent="0.2">
      <c r="A590" s="575">
        <v>589</v>
      </c>
      <c r="B590" s="257" t="s">
        <v>705</v>
      </c>
    </row>
    <row r="591" spans="1:2" x14ac:dyDescent="0.2">
      <c r="A591" s="575">
        <v>590</v>
      </c>
      <c r="B591" s="264" t="s">
        <v>418</v>
      </c>
    </row>
    <row r="592" spans="1:2" x14ac:dyDescent="0.2">
      <c r="A592" s="575">
        <v>591</v>
      </c>
      <c r="B592" s="264" t="s">
        <v>417</v>
      </c>
    </row>
    <row r="593" spans="1:2" ht="22.5" x14ac:dyDescent="0.2">
      <c r="A593" s="575">
        <v>592</v>
      </c>
      <c r="B593" s="67" t="s">
        <v>922</v>
      </c>
    </row>
    <row r="594" spans="1:2" ht="22.5" x14ac:dyDescent="0.2">
      <c r="A594" s="575">
        <v>593</v>
      </c>
      <c r="B594" s="67" t="s">
        <v>923</v>
      </c>
    </row>
    <row r="595" spans="1:2" x14ac:dyDescent="0.2">
      <c r="A595" s="575">
        <v>594</v>
      </c>
      <c r="B595" s="68" t="s">
        <v>701</v>
      </c>
    </row>
    <row r="596" spans="1:2" x14ac:dyDescent="0.2">
      <c r="A596" s="575">
        <v>595</v>
      </c>
      <c r="B596" s="68" t="s">
        <v>702</v>
      </c>
    </row>
    <row r="597" spans="1:2" ht="22.5" x14ac:dyDescent="0.2">
      <c r="A597" s="575">
        <v>596</v>
      </c>
      <c r="B597" s="67" t="s">
        <v>924</v>
      </c>
    </row>
    <row r="598" spans="1:2" x14ac:dyDescent="0.2">
      <c r="A598" s="575">
        <v>597</v>
      </c>
      <c r="B598" s="67" t="s">
        <v>191</v>
      </c>
    </row>
    <row r="599" spans="1:2" ht="15" x14ac:dyDescent="0.2">
      <c r="A599" s="575">
        <v>598</v>
      </c>
      <c r="B599" s="257" t="s">
        <v>704</v>
      </c>
    </row>
    <row r="600" spans="1:2" x14ac:dyDescent="0.2">
      <c r="A600" s="575">
        <v>599</v>
      </c>
      <c r="B600" s="129" t="s">
        <v>1479</v>
      </c>
    </row>
    <row r="601" spans="1:2" x14ac:dyDescent="0.2">
      <c r="A601" s="575">
        <v>600</v>
      </c>
      <c r="B601" s="67" t="s">
        <v>925</v>
      </c>
    </row>
    <row r="602" spans="1:2" x14ac:dyDescent="0.2">
      <c r="A602" s="575">
        <v>601</v>
      </c>
      <c r="B602" s="129" t="s">
        <v>1478</v>
      </c>
    </row>
    <row r="603" spans="1:2" ht="33.75" x14ac:dyDescent="0.2">
      <c r="A603" s="575">
        <v>602</v>
      </c>
      <c r="B603" s="67" t="s">
        <v>192</v>
      </c>
    </row>
    <row r="604" spans="1:2" x14ac:dyDescent="0.2">
      <c r="A604" s="575">
        <v>603</v>
      </c>
      <c r="B604" s="134" t="s">
        <v>1513</v>
      </c>
    </row>
    <row r="605" spans="1:2" ht="38.25" x14ac:dyDescent="0.2">
      <c r="A605" s="575">
        <v>604</v>
      </c>
      <c r="B605" s="437" t="s">
        <v>933</v>
      </c>
    </row>
    <row r="606" spans="1:2" x14ac:dyDescent="0.2">
      <c r="A606" s="575">
        <v>605</v>
      </c>
      <c r="B606" s="134" t="s">
        <v>1512</v>
      </c>
    </row>
    <row r="607" spans="1:2" x14ac:dyDescent="0.2">
      <c r="A607" s="575">
        <v>606</v>
      </c>
      <c r="B607" s="134" t="s">
        <v>1511</v>
      </c>
    </row>
    <row r="608" spans="1:2" x14ac:dyDescent="0.2">
      <c r="A608" s="575">
        <v>607</v>
      </c>
      <c r="B608" s="134" t="s">
        <v>1510</v>
      </c>
    </row>
    <row r="609" spans="1:2" ht="22.5" x14ac:dyDescent="0.2">
      <c r="A609" s="575">
        <v>608</v>
      </c>
      <c r="B609" s="67" t="s">
        <v>926</v>
      </c>
    </row>
    <row r="610" spans="1:2" ht="22.5" x14ac:dyDescent="0.2">
      <c r="A610" s="575">
        <v>609</v>
      </c>
      <c r="B610" s="67" t="s">
        <v>171</v>
      </c>
    </row>
    <row r="611" spans="1:2" ht="51" x14ac:dyDescent="0.2">
      <c r="A611" s="575">
        <v>610</v>
      </c>
      <c r="B611" s="129" t="s">
        <v>1498</v>
      </c>
    </row>
    <row r="612" spans="1:2" x14ac:dyDescent="0.2">
      <c r="A612" s="575">
        <v>611</v>
      </c>
      <c r="B612" s="67" t="s">
        <v>444</v>
      </c>
    </row>
    <row r="613" spans="1:2" ht="33.75" x14ac:dyDescent="0.2">
      <c r="A613" s="575">
        <v>612</v>
      </c>
      <c r="B613" s="67" t="s">
        <v>445</v>
      </c>
    </row>
    <row r="614" spans="1:2" ht="45" x14ac:dyDescent="0.2">
      <c r="A614" s="575">
        <v>613</v>
      </c>
      <c r="B614" s="452" t="s">
        <v>446</v>
      </c>
    </row>
    <row r="615" spans="1:2" ht="22.5" x14ac:dyDescent="0.2">
      <c r="A615" s="575">
        <v>614</v>
      </c>
      <c r="B615" s="510" t="s">
        <v>1605</v>
      </c>
    </row>
    <row r="616" spans="1:2" ht="38.25" x14ac:dyDescent="0.2">
      <c r="A616" s="575">
        <v>615</v>
      </c>
      <c r="B616" s="129" t="s">
        <v>447</v>
      </c>
    </row>
    <row r="617" spans="1:2" ht="33.75" x14ac:dyDescent="0.2">
      <c r="A617" s="575">
        <v>616</v>
      </c>
      <c r="B617" s="67" t="s">
        <v>896</v>
      </c>
    </row>
    <row r="618" spans="1:2" ht="38.25" x14ac:dyDescent="0.2">
      <c r="A618" s="575">
        <v>617</v>
      </c>
      <c r="B618" s="129" t="s">
        <v>885</v>
      </c>
    </row>
    <row r="619" spans="1:2" ht="63.75" x14ac:dyDescent="0.2">
      <c r="A619" s="575">
        <v>618</v>
      </c>
      <c r="B619" s="129" t="s">
        <v>549</v>
      </c>
    </row>
    <row r="620" spans="1:2" ht="39" thickBot="1" x14ac:dyDescent="0.25">
      <c r="A620" s="575">
        <v>619</v>
      </c>
      <c r="B620" s="129" t="s">
        <v>1060</v>
      </c>
    </row>
    <row r="621" spans="1:2" x14ac:dyDescent="0.2">
      <c r="A621" s="575">
        <v>620</v>
      </c>
      <c r="B621" s="540" t="s">
        <v>379</v>
      </c>
    </row>
    <row r="622" spans="1:2" ht="60" x14ac:dyDescent="0.2">
      <c r="A622" s="575">
        <v>621</v>
      </c>
      <c r="B622" s="512" t="s">
        <v>1500</v>
      </c>
    </row>
    <row r="623" spans="1:2" ht="51" x14ac:dyDescent="0.2">
      <c r="A623" s="575">
        <v>622</v>
      </c>
      <c r="B623" s="129" t="s">
        <v>1063</v>
      </c>
    </row>
    <row r="624" spans="1:2" x14ac:dyDescent="0.2">
      <c r="A624" s="575">
        <v>623</v>
      </c>
      <c r="B624" s="223" t="s">
        <v>1501</v>
      </c>
    </row>
    <row r="625" spans="1:2" ht="38.25" x14ac:dyDescent="0.2">
      <c r="A625" s="575">
        <v>624</v>
      </c>
      <c r="B625" s="513" t="s">
        <v>1062</v>
      </c>
    </row>
    <row r="626" spans="1:2" ht="56.25" x14ac:dyDescent="0.2">
      <c r="A626" s="575">
        <v>625</v>
      </c>
      <c r="B626" s="452" t="s">
        <v>193</v>
      </c>
    </row>
    <row r="627" spans="1:2" ht="25.5" x14ac:dyDescent="0.2">
      <c r="A627" s="575">
        <v>626</v>
      </c>
      <c r="B627" s="129" t="s">
        <v>1061</v>
      </c>
    </row>
    <row r="628" spans="1:2" ht="42" x14ac:dyDescent="0.2">
      <c r="A628" s="575">
        <v>627</v>
      </c>
      <c r="B628" s="459" t="s">
        <v>194</v>
      </c>
    </row>
    <row r="629" spans="1:2" ht="21" x14ac:dyDescent="0.2">
      <c r="A629" s="575">
        <v>628</v>
      </c>
      <c r="B629" s="459" t="s">
        <v>1497</v>
      </c>
    </row>
    <row r="630" spans="1:2" ht="51" x14ac:dyDescent="0.2">
      <c r="A630" s="575">
        <v>629</v>
      </c>
      <c r="B630" s="564" t="s">
        <v>350</v>
      </c>
    </row>
    <row r="631" spans="1:2" ht="51" x14ac:dyDescent="0.2">
      <c r="A631" s="575">
        <v>630</v>
      </c>
      <c r="B631" s="564" t="s">
        <v>352</v>
      </c>
    </row>
    <row r="632" spans="1:2" ht="63.75" x14ac:dyDescent="0.2">
      <c r="A632" s="575">
        <v>631</v>
      </c>
      <c r="B632" s="564" t="s">
        <v>551</v>
      </c>
    </row>
    <row r="633" spans="1:2" ht="51" x14ac:dyDescent="0.2">
      <c r="A633" s="575">
        <v>632</v>
      </c>
      <c r="B633" s="564" t="s">
        <v>304</v>
      </c>
    </row>
    <row r="634" spans="1:2" ht="38.25" x14ac:dyDescent="0.2">
      <c r="A634" s="575">
        <v>633</v>
      </c>
      <c r="B634" s="564" t="s">
        <v>1337</v>
      </c>
    </row>
    <row r="635" spans="1:2" ht="25.5" x14ac:dyDescent="0.2">
      <c r="A635" s="575">
        <v>634</v>
      </c>
      <c r="B635" s="129" t="s">
        <v>1338</v>
      </c>
    </row>
    <row r="636" spans="1:2" ht="34.5" thickBot="1" x14ac:dyDescent="0.25">
      <c r="A636" s="575">
        <v>635</v>
      </c>
      <c r="B636" s="565" t="s">
        <v>1339</v>
      </c>
    </row>
    <row r="637" spans="1:2" x14ac:dyDescent="0.2">
      <c r="A637" s="575">
        <v>636</v>
      </c>
      <c r="B637" s="540" t="s">
        <v>306</v>
      </c>
    </row>
    <row r="638" spans="1:2" ht="76.5" x14ac:dyDescent="0.2">
      <c r="A638" s="575">
        <v>637</v>
      </c>
      <c r="B638" s="485" t="s">
        <v>499</v>
      </c>
    </row>
    <row r="639" spans="1:2" ht="38.25" x14ac:dyDescent="0.2">
      <c r="A639" s="575">
        <v>638</v>
      </c>
      <c r="B639" s="129" t="s">
        <v>1514</v>
      </c>
    </row>
    <row r="640" spans="1:2" x14ac:dyDescent="0.2">
      <c r="A640" s="575">
        <v>639</v>
      </c>
      <c r="B640" s="223" t="s">
        <v>1503</v>
      </c>
    </row>
    <row r="641" spans="1:4" ht="33.75" x14ac:dyDescent="0.2">
      <c r="A641" s="575">
        <v>640</v>
      </c>
      <c r="B641" s="452" t="s">
        <v>706</v>
      </c>
    </row>
    <row r="642" spans="1:4" x14ac:dyDescent="0.2">
      <c r="A642" s="575">
        <v>641</v>
      </c>
      <c r="B642" s="129" t="s">
        <v>707</v>
      </c>
    </row>
    <row r="643" spans="1:4" ht="33.75" x14ac:dyDescent="0.2">
      <c r="A643" s="575">
        <v>642</v>
      </c>
      <c r="B643" s="452" t="s">
        <v>708</v>
      </c>
    </row>
    <row r="644" spans="1:4" ht="33.75" x14ac:dyDescent="0.2">
      <c r="A644" s="575">
        <v>643</v>
      </c>
      <c r="B644" s="452" t="s">
        <v>709</v>
      </c>
    </row>
    <row r="645" spans="1:4" ht="33.75" x14ac:dyDescent="0.2">
      <c r="A645" s="575">
        <v>644</v>
      </c>
      <c r="B645" s="452" t="s">
        <v>710</v>
      </c>
    </row>
    <row r="646" spans="1:4" ht="22.5" x14ac:dyDescent="0.2">
      <c r="A646" s="575">
        <v>645</v>
      </c>
      <c r="B646" s="452" t="s">
        <v>711</v>
      </c>
    </row>
    <row r="647" spans="1:4" x14ac:dyDescent="0.2">
      <c r="A647" s="575">
        <v>646</v>
      </c>
      <c r="B647" s="462" t="s">
        <v>983</v>
      </c>
    </row>
    <row r="648" spans="1:4" x14ac:dyDescent="0.2">
      <c r="A648" s="575">
        <v>647</v>
      </c>
      <c r="B648" s="462" t="s">
        <v>712</v>
      </c>
      <c r="D648" t="s">
        <v>1864</v>
      </c>
    </row>
    <row r="649" spans="1:4" ht="56.25" x14ac:dyDescent="0.2">
      <c r="A649" s="575">
        <v>648</v>
      </c>
      <c r="B649" s="452" t="s">
        <v>1374</v>
      </c>
    </row>
    <row r="650" spans="1:4" x14ac:dyDescent="0.2">
      <c r="A650" s="575">
        <v>649</v>
      </c>
      <c r="B650" s="452" t="s">
        <v>1126</v>
      </c>
    </row>
    <row r="651" spans="1:4" x14ac:dyDescent="0.2">
      <c r="A651" s="575">
        <v>650</v>
      </c>
      <c r="B651" s="452" t="s">
        <v>1127</v>
      </c>
    </row>
    <row r="652" spans="1:4" ht="15" x14ac:dyDescent="0.2">
      <c r="A652" s="575">
        <v>651</v>
      </c>
      <c r="B652" s="257" t="s">
        <v>714</v>
      </c>
    </row>
    <row r="653" spans="1:4" x14ac:dyDescent="0.2">
      <c r="A653" s="575">
        <v>652</v>
      </c>
      <c r="B653" s="328" t="s">
        <v>715</v>
      </c>
    </row>
    <row r="654" spans="1:4" x14ac:dyDescent="0.2">
      <c r="A654" s="575">
        <v>653</v>
      </c>
      <c r="B654" s="328" t="s">
        <v>716</v>
      </c>
    </row>
    <row r="655" spans="1:4" x14ac:dyDescent="0.2">
      <c r="A655" s="575">
        <v>654</v>
      </c>
      <c r="B655" s="328" t="s">
        <v>717</v>
      </c>
    </row>
    <row r="656" spans="1:4" x14ac:dyDescent="0.2">
      <c r="A656" s="575">
        <v>655</v>
      </c>
      <c r="B656" s="328" t="s">
        <v>718</v>
      </c>
    </row>
    <row r="657" spans="1:2" x14ac:dyDescent="0.2">
      <c r="A657" s="575">
        <v>656</v>
      </c>
      <c r="B657" s="328" t="s">
        <v>719</v>
      </c>
    </row>
    <row r="658" spans="1:2" ht="15" x14ac:dyDescent="0.2">
      <c r="A658" s="575">
        <v>657</v>
      </c>
      <c r="B658" s="257" t="s">
        <v>840</v>
      </c>
    </row>
    <row r="659" spans="1:2" x14ac:dyDescent="0.2">
      <c r="A659" s="575">
        <v>658</v>
      </c>
      <c r="B659" s="328" t="s">
        <v>842</v>
      </c>
    </row>
    <row r="660" spans="1:2" x14ac:dyDescent="0.2">
      <c r="A660" s="575">
        <v>659</v>
      </c>
      <c r="B660" s="566" t="s">
        <v>843</v>
      </c>
    </row>
    <row r="661" spans="1:2" x14ac:dyDescent="0.2">
      <c r="A661" s="575">
        <v>660</v>
      </c>
      <c r="B661" s="566" t="s">
        <v>844</v>
      </c>
    </row>
    <row r="662" spans="1:2" x14ac:dyDescent="0.2">
      <c r="A662" s="575">
        <v>661</v>
      </c>
      <c r="B662" s="566" t="s">
        <v>845</v>
      </c>
    </row>
    <row r="663" spans="1:2" x14ac:dyDescent="0.2">
      <c r="A663" s="575">
        <v>662</v>
      </c>
      <c r="B663" s="328" t="s">
        <v>847</v>
      </c>
    </row>
    <row r="664" spans="1:2" x14ac:dyDescent="0.2">
      <c r="A664" s="575">
        <v>663</v>
      </c>
      <c r="B664" s="497" t="s">
        <v>848</v>
      </c>
    </row>
    <row r="665" spans="1:2" x14ac:dyDescent="0.2">
      <c r="A665" s="575">
        <v>664</v>
      </c>
      <c r="B665" s="497" t="s">
        <v>849</v>
      </c>
    </row>
    <row r="666" spans="1:2" ht="15" x14ac:dyDescent="0.2">
      <c r="A666" s="575">
        <v>665</v>
      </c>
      <c r="B666" s="257" t="s">
        <v>850</v>
      </c>
    </row>
    <row r="667" spans="1:2" x14ac:dyDescent="0.2">
      <c r="A667" s="575">
        <v>666</v>
      </c>
      <c r="B667" s="328" t="s">
        <v>858</v>
      </c>
    </row>
    <row r="668" spans="1:2" x14ac:dyDescent="0.2">
      <c r="A668" s="575">
        <v>667</v>
      </c>
      <c r="B668" s="566" t="s">
        <v>852</v>
      </c>
    </row>
    <row r="669" spans="1:2" ht="33.75" x14ac:dyDescent="0.2">
      <c r="A669" s="575">
        <v>668</v>
      </c>
      <c r="B669" s="67" t="s">
        <v>195</v>
      </c>
    </row>
    <row r="670" spans="1:2" ht="51" x14ac:dyDescent="0.2">
      <c r="A670" s="575">
        <v>669</v>
      </c>
      <c r="B670" s="129" t="s">
        <v>207</v>
      </c>
    </row>
    <row r="671" spans="1:2" ht="39.75" x14ac:dyDescent="0.2">
      <c r="A671" s="575">
        <v>670</v>
      </c>
      <c r="B671" s="129" t="s">
        <v>741</v>
      </c>
    </row>
    <row r="672" spans="1:2" ht="22.5" x14ac:dyDescent="0.2">
      <c r="A672" s="575">
        <v>671</v>
      </c>
      <c r="B672" s="67" t="s">
        <v>1346</v>
      </c>
    </row>
    <row r="673" spans="1:4" ht="39" thickBot="1" x14ac:dyDescent="0.25">
      <c r="A673" s="575">
        <v>672</v>
      </c>
      <c r="B673" s="129" t="s">
        <v>1347</v>
      </c>
    </row>
    <row r="674" spans="1:4" x14ac:dyDescent="0.2">
      <c r="A674" s="575">
        <v>673</v>
      </c>
      <c r="B674" s="540" t="s">
        <v>1186</v>
      </c>
    </row>
    <row r="675" spans="1:4" ht="38.25" x14ac:dyDescent="0.2">
      <c r="A675" s="575">
        <v>674</v>
      </c>
      <c r="B675" s="485" t="s">
        <v>15</v>
      </c>
    </row>
    <row r="676" spans="1:4" ht="38.25" x14ac:dyDescent="0.2">
      <c r="A676" s="575">
        <v>675</v>
      </c>
      <c r="B676" s="485" t="s">
        <v>16</v>
      </c>
    </row>
    <row r="677" spans="1:4" ht="25.5" x14ac:dyDescent="0.2">
      <c r="A677" s="575">
        <v>676</v>
      </c>
      <c r="B677" s="485" t="s">
        <v>17</v>
      </c>
    </row>
    <row r="678" spans="1:4" ht="27" x14ac:dyDescent="0.2">
      <c r="A678" s="575">
        <v>677</v>
      </c>
      <c r="B678" s="129" t="s">
        <v>596</v>
      </c>
    </row>
    <row r="679" spans="1:4" ht="33.75" x14ac:dyDescent="0.2">
      <c r="A679" s="575">
        <v>678</v>
      </c>
      <c r="B679" s="67" t="s">
        <v>18</v>
      </c>
    </row>
    <row r="680" spans="1:4" ht="45" x14ac:dyDescent="0.2">
      <c r="A680" s="575">
        <v>679</v>
      </c>
      <c r="B680" s="452" t="s">
        <v>19</v>
      </c>
      <c r="D680" t="s">
        <v>1889</v>
      </c>
    </row>
    <row r="681" spans="1:4" x14ac:dyDescent="0.2">
      <c r="A681" s="575">
        <v>680</v>
      </c>
      <c r="B681" s="514" t="s">
        <v>41</v>
      </c>
    </row>
    <row r="682" spans="1:4" ht="22.5" x14ac:dyDescent="0.2">
      <c r="A682" s="575">
        <v>681</v>
      </c>
      <c r="B682" s="507" t="s">
        <v>42</v>
      </c>
    </row>
    <row r="683" spans="1:4" x14ac:dyDescent="0.2">
      <c r="A683" s="575">
        <v>682</v>
      </c>
      <c r="B683" s="457" t="s">
        <v>44</v>
      </c>
    </row>
    <row r="684" spans="1:4" ht="33.75" x14ac:dyDescent="0.2">
      <c r="A684" s="575">
        <v>683</v>
      </c>
      <c r="B684" s="506" t="s">
        <v>45</v>
      </c>
    </row>
    <row r="685" spans="1:4" x14ac:dyDescent="0.2">
      <c r="A685" s="575">
        <v>684</v>
      </c>
      <c r="B685" s="506" t="s">
        <v>46</v>
      </c>
    </row>
    <row r="686" spans="1:4" x14ac:dyDescent="0.2">
      <c r="A686" s="575">
        <v>685</v>
      </c>
      <c r="B686" s="458" t="s">
        <v>43</v>
      </c>
    </row>
    <row r="687" spans="1:4" ht="22.5" x14ac:dyDescent="0.2">
      <c r="A687" s="575">
        <v>686</v>
      </c>
      <c r="B687" s="508" t="s">
        <v>47</v>
      </c>
    </row>
    <row r="688" spans="1:4" x14ac:dyDescent="0.2">
      <c r="A688" s="575">
        <v>687</v>
      </c>
      <c r="B688" s="457" t="s">
        <v>37</v>
      </c>
    </row>
    <row r="689" spans="1:2" ht="33.75" x14ac:dyDescent="0.2">
      <c r="A689" s="575">
        <v>688</v>
      </c>
      <c r="B689" s="506" t="s">
        <v>196</v>
      </c>
    </row>
    <row r="690" spans="1:2" x14ac:dyDescent="0.2">
      <c r="A690" s="575">
        <v>689</v>
      </c>
      <c r="B690" s="457" t="s">
        <v>38</v>
      </c>
    </row>
    <row r="691" spans="1:2" ht="45" x14ac:dyDescent="0.2">
      <c r="A691" s="575">
        <v>690</v>
      </c>
      <c r="B691" s="506" t="s">
        <v>197</v>
      </c>
    </row>
    <row r="692" spans="1:2" ht="31.5" x14ac:dyDescent="0.2">
      <c r="A692" s="575">
        <v>691</v>
      </c>
      <c r="B692" s="459" t="s">
        <v>48</v>
      </c>
    </row>
    <row r="693" spans="1:2" x14ac:dyDescent="0.2">
      <c r="A693" s="575">
        <v>692</v>
      </c>
      <c r="B693" s="497" t="s">
        <v>35</v>
      </c>
    </row>
    <row r="694" spans="1:2" x14ac:dyDescent="0.2">
      <c r="A694" s="575">
        <v>693</v>
      </c>
      <c r="B694" s="462" t="s">
        <v>598</v>
      </c>
    </row>
    <row r="695" spans="1:2" x14ac:dyDescent="0.2">
      <c r="A695" s="575">
        <v>694</v>
      </c>
      <c r="B695" s="462" t="s">
        <v>36</v>
      </c>
    </row>
    <row r="696" spans="1:2" x14ac:dyDescent="0.2">
      <c r="A696" s="575">
        <v>695</v>
      </c>
      <c r="B696" s="554" t="s">
        <v>40</v>
      </c>
    </row>
    <row r="697" spans="1:2" ht="66.75" x14ac:dyDescent="0.2">
      <c r="A697" s="575">
        <v>696</v>
      </c>
      <c r="B697" s="129" t="s">
        <v>1058</v>
      </c>
    </row>
    <row r="698" spans="1:2" x14ac:dyDescent="0.2">
      <c r="A698" s="575">
        <v>697</v>
      </c>
      <c r="B698" s="68" t="s">
        <v>51</v>
      </c>
    </row>
    <row r="699" spans="1:2" ht="45" x14ac:dyDescent="0.2">
      <c r="A699" s="575">
        <v>698</v>
      </c>
      <c r="B699" s="452" t="s">
        <v>198</v>
      </c>
    </row>
    <row r="700" spans="1:2" x14ac:dyDescent="0.2">
      <c r="A700" s="575">
        <v>699</v>
      </c>
      <c r="B700" s="129" t="s">
        <v>54</v>
      </c>
    </row>
    <row r="701" spans="1:2" ht="45" x14ac:dyDescent="0.2">
      <c r="A701" s="575">
        <v>700</v>
      </c>
      <c r="B701" s="67" t="s">
        <v>934</v>
      </c>
    </row>
    <row r="702" spans="1:2" ht="25.5" x14ac:dyDescent="0.2">
      <c r="A702" s="575">
        <v>701</v>
      </c>
      <c r="B702" s="129" t="s">
        <v>1056</v>
      </c>
    </row>
    <row r="703" spans="1:2" ht="33.75" x14ac:dyDescent="0.2">
      <c r="A703" s="575">
        <v>702</v>
      </c>
      <c r="B703" s="452" t="s">
        <v>743</v>
      </c>
    </row>
    <row r="704" spans="1:2" x14ac:dyDescent="0.2">
      <c r="A704" s="575">
        <v>703</v>
      </c>
      <c r="B704" s="463" t="s">
        <v>56</v>
      </c>
    </row>
    <row r="705" spans="1:2" x14ac:dyDescent="0.2">
      <c r="A705" s="575">
        <v>704</v>
      </c>
      <c r="B705" s="463" t="s">
        <v>644</v>
      </c>
    </row>
    <row r="706" spans="1:2" x14ac:dyDescent="0.2">
      <c r="A706" s="575">
        <v>705</v>
      </c>
      <c r="B706" s="462" t="s">
        <v>648</v>
      </c>
    </row>
    <row r="707" spans="1:2" x14ac:dyDescent="0.2">
      <c r="A707" s="575">
        <v>706</v>
      </c>
      <c r="B707" s="462" t="s">
        <v>55</v>
      </c>
    </row>
    <row r="708" spans="1:2" x14ac:dyDescent="0.2">
      <c r="A708" s="575">
        <v>707</v>
      </c>
      <c r="B708" s="554" t="s">
        <v>68</v>
      </c>
    </row>
    <row r="709" spans="1:2" x14ac:dyDescent="0.2">
      <c r="A709" s="575">
        <v>708</v>
      </c>
      <c r="B709" s="129" t="s">
        <v>69</v>
      </c>
    </row>
    <row r="710" spans="1:2" ht="33.75" x14ac:dyDescent="0.2">
      <c r="A710" s="575">
        <v>709</v>
      </c>
      <c r="B710" s="452" t="s">
        <v>70</v>
      </c>
    </row>
    <row r="711" spans="1:2" ht="38.25" x14ac:dyDescent="0.2">
      <c r="A711" s="575">
        <v>710</v>
      </c>
      <c r="B711" s="129" t="s">
        <v>1057</v>
      </c>
    </row>
    <row r="712" spans="1:2" ht="54" x14ac:dyDescent="0.2">
      <c r="A712" s="575">
        <v>711</v>
      </c>
      <c r="B712" s="129" t="s">
        <v>742</v>
      </c>
    </row>
    <row r="713" spans="1:2" ht="38.25" x14ac:dyDescent="0.2">
      <c r="A713" s="575">
        <v>712</v>
      </c>
      <c r="B713" s="129" t="s">
        <v>72</v>
      </c>
    </row>
    <row r="714" spans="1:2" ht="25.5" x14ac:dyDescent="0.2">
      <c r="A714" s="575">
        <v>713</v>
      </c>
      <c r="B714" s="129" t="s">
        <v>73</v>
      </c>
    </row>
    <row r="715" spans="1:2" ht="25.5" x14ac:dyDescent="0.2">
      <c r="A715" s="575">
        <v>714</v>
      </c>
      <c r="B715" s="129" t="s">
        <v>74</v>
      </c>
    </row>
    <row r="716" spans="1:2" ht="63.75" x14ac:dyDescent="0.2">
      <c r="A716" s="575">
        <v>715</v>
      </c>
      <c r="B716" s="485" t="s">
        <v>75</v>
      </c>
    </row>
    <row r="717" spans="1:2" ht="38.25" x14ac:dyDescent="0.2">
      <c r="A717" s="575">
        <v>716</v>
      </c>
      <c r="B717" s="485" t="s">
        <v>76</v>
      </c>
    </row>
    <row r="718" spans="1:2" ht="38.25" x14ac:dyDescent="0.2">
      <c r="A718" s="575">
        <v>717</v>
      </c>
      <c r="B718" s="485" t="s">
        <v>77</v>
      </c>
    </row>
    <row r="719" spans="1:2" ht="79.5" x14ac:dyDescent="0.2">
      <c r="A719" s="575">
        <v>718</v>
      </c>
      <c r="B719" s="129" t="s">
        <v>303</v>
      </c>
    </row>
    <row r="720" spans="1:2" ht="63.75" x14ac:dyDescent="0.2">
      <c r="A720" s="575">
        <v>719</v>
      </c>
      <c r="B720" s="129" t="s">
        <v>78</v>
      </c>
    </row>
    <row r="721" spans="1:2" ht="51.75" thickBot="1" x14ac:dyDescent="0.25">
      <c r="A721" s="575">
        <v>720</v>
      </c>
      <c r="B721" s="129" t="s">
        <v>79</v>
      </c>
    </row>
    <row r="722" spans="1:2" ht="25.5" x14ac:dyDescent="0.2">
      <c r="A722" s="575">
        <v>721</v>
      </c>
      <c r="B722" s="540" t="s">
        <v>498</v>
      </c>
    </row>
    <row r="723" spans="1:2" x14ac:dyDescent="0.2">
      <c r="A723" s="575">
        <v>722</v>
      </c>
      <c r="B723" t="s">
        <v>506</v>
      </c>
    </row>
    <row r="724" spans="1:2" x14ac:dyDescent="0.2">
      <c r="A724" s="575">
        <v>723</v>
      </c>
      <c r="B724" s="485" t="s">
        <v>542</v>
      </c>
    </row>
    <row r="725" spans="1:2" ht="25.5" x14ac:dyDescent="0.2">
      <c r="A725" s="575">
        <v>724</v>
      </c>
      <c r="B725" s="129" t="s">
        <v>1013</v>
      </c>
    </row>
    <row r="726" spans="1:2" ht="36" x14ac:dyDescent="0.2">
      <c r="A726" s="575">
        <v>725</v>
      </c>
      <c r="B726" s="512" t="s">
        <v>901</v>
      </c>
    </row>
    <row r="727" spans="1:2" ht="24" x14ac:dyDescent="0.2">
      <c r="A727" s="575">
        <v>726</v>
      </c>
      <c r="B727" s="512" t="s">
        <v>553</v>
      </c>
    </row>
    <row r="728" spans="1:2" ht="24" x14ac:dyDescent="0.2">
      <c r="A728" s="575">
        <v>727</v>
      </c>
      <c r="B728" s="512" t="s">
        <v>497</v>
      </c>
    </row>
    <row r="729" spans="1:2" x14ac:dyDescent="0.2">
      <c r="A729" s="575">
        <v>728</v>
      </c>
      <c r="B729" s="491" t="s">
        <v>913</v>
      </c>
    </row>
    <row r="730" spans="1:2" x14ac:dyDescent="0.2">
      <c r="A730" s="575">
        <v>729</v>
      </c>
      <c r="B730" s="415" t="s">
        <v>909</v>
      </c>
    </row>
    <row r="731" spans="1:2" ht="51" x14ac:dyDescent="0.2">
      <c r="A731" s="575">
        <v>730</v>
      </c>
      <c r="B731" s="129" t="s">
        <v>1129</v>
      </c>
    </row>
    <row r="732" spans="1:2" ht="48" x14ac:dyDescent="0.2">
      <c r="A732" s="575">
        <v>731</v>
      </c>
      <c r="B732" s="512" t="s">
        <v>199</v>
      </c>
    </row>
    <row r="733" spans="1:2" x14ac:dyDescent="0.2">
      <c r="A733" s="575">
        <v>732</v>
      </c>
      <c r="B733" s="490" t="s">
        <v>485</v>
      </c>
    </row>
    <row r="734" spans="1:2" ht="33.75" x14ac:dyDescent="0.2">
      <c r="A734" s="575">
        <v>733</v>
      </c>
      <c r="B734" s="516" t="s">
        <v>489</v>
      </c>
    </row>
    <row r="735" spans="1:2" ht="33.75" x14ac:dyDescent="0.2">
      <c r="A735" s="575">
        <v>734</v>
      </c>
      <c r="B735" s="517" t="s">
        <v>491</v>
      </c>
    </row>
    <row r="736" spans="1:2" x14ac:dyDescent="0.2">
      <c r="A736" s="575">
        <v>735</v>
      </c>
      <c r="B736" s="518" t="s">
        <v>490</v>
      </c>
    </row>
    <row r="737" spans="1:2" x14ac:dyDescent="0.2">
      <c r="A737" s="575">
        <v>736</v>
      </c>
      <c r="B737" s="490" t="s">
        <v>486</v>
      </c>
    </row>
    <row r="738" spans="1:2" ht="33.75" x14ac:dyDescent="0.2">
      <c r="A738" s="575">
        <v>737</v>
      </c>
      <c r="B738" s="490" t="s">
        <v>487</v>
      </c>
    </row>
    <row r="739" spans="1:2" x14ac:dyDescent="0.2">
      <c r="A739" s="575">
        <v>738</v>
      </c>
      <c r="B739" s="490" t="s">
        <v>488</v>
      </c>
    </row>
    <row r="740" spans="1:2" ht="38.25" x14ac:dyDescent="0.2">
      <c r="A740" s="575">
        <v>739</v>
      </c>
      <c r="B740" s="129" t="s">
        <v>1577</v>
      </c>
    </row>
    <row r="741" spans="1:2" x14ac:dyDescent="0.2">
      <c r="A741" s="575">
        <v>740</v>
      </c>
      <c r="B741" s="512" t="s">
        <v>1009</v>
      </c>
    </row>
    <row r="742" spans="1:2" ht="36" x14ac:dyDescent="0.2">
      <c r="A742" s="575">
        <v>741</v>
      </c>
      <c r="B742" s="512" t="s">
        <v>1130</v>
      </c>
    </row>
    <row r="743" spans="1:2" ht="36" x14ac:dyDescent="0.2">
      <c r="A743" s="575">
        <v>742</v>
      </c>
      <c r="B743" s="512" t="s">
        <v>1131</v>
      </c>
    </row>
    <row r="744" spans="1:2" ht="24" x14ac:dyDescent="0.2">
      <c r="A744" s="575">
        <v>743</v>
      </c>
      <c r="B744" s="512" t="s">
        <v>720</v>
      </c>
    </row>
    <row r="745" spans="1:2" ht="25.5" x14ac:dyDescent="0.2">
      <c r="A745" s="575">
        <v>744</v>
      </c>
      <c r="B745" s="129" t="s">
        <v>721</v>
      </c>
    </row>
    <row r="746" spans="1:2" ht="60" x14ac:dyDescent="0.2">
      <c r="A746" s="575">
        <v>745</v>
      </c>
      <c r="B746" s="512" t="s">
        <v>898</v>
      </c>
    </row>
    <row r="747" spans="1:2" ht="72" x14ac:dyDescent="0.2">
      <c r="A747" s="575">
        <v>746</v>
      </c>
      <c r="B747" s="512" t="s">
        <v>620</v>
      </c>
    </row>
    <row r="748" spans="1:2" x14ac:dyDescent="0.2">
      <c r="A748" s="575">
        <v>747</v>
      </c>
      <c r="B748" s="519" t="s">
        <v>1176</v>
      </c>
    </row>
    <row r="749" spans="1:2" x14ac:dyDescent="0.2">
      <c r="A749" s="575">
        <v>748</v>
      </c>
      <c r="B749" s="515" t="s">
        <v>619</v>
      </c>
    </row>
    <row r="750" spans="1:2" ht="25.5" x14ac:dyDescent="0.2">
      <c r="A750" s="575">
        <v>749</v>
      </c>
      <c r="B750" s="129" t="s">
        <v>722</v>
      </c>
    </row>
    <row r="751" spans="1:2" ht="24" x14ac:dyDescent="0.2">
      <c r="A751" s="575">
        <v>750</v>
      </c>
      <c r="B751" s="512" t="s">
        <v>556</v>
      </c>
    </row>
    <row r="752" spans="1:2" ht="38.25" x14ac:dyDescent="0.2">
      <c r="A752" s="575">
        <v>751</v>
      </c>
      <c r="B752" s="129" t="s">
        <v>723</v>
      </c>
    </row>
    <row r="753" spans="1:2" ht="36" x14ac:dyDescent="0.2">
      <c r="A753" s="575">
        <v>752</v>
      </c>
      <c r="B753" s="512" t="s">
        <v>636</v>
      </c>
    </row>
    <row r="754" spans="1:2" ht="38.25" x14ac:dyDescent="0.2">
      <c r="A754" s="575">
        <v>753</v>
      </c>
      <c r="B754" s="129" t="s">
        <v>637</v>
      </c>
    </row>
    <row r="755" spans="1:2" ht="24" x14ac:dyDescent="0.2">
      <c r="A755" s="575">
        <v>754</v>
      </c>
      <c r="B755" s="512" t="s">
        <v>552</v>
      </c>
    </row>
    <row r="756" spans="1:2" ht="38.25" x14ac:dyDescent="0.2">
      <c r="A756" s="575">
        <v>755</v>
      </c>
      <c r="B756" s="129" t="s">
        <v>638</v>
      </c>
    </row>
    <row r="757" spans="1:2" ht="60" x14ac:dyDescent="0.2">
      <c r="A757" s="575">
        <v>756</v>
      </c>
      <c r="B757" s="512" t="s">
        <v>200</v>
      </c>
    </row>
    <row r="758" spans="1:2" ht="25.5" x14ac:dyDescent="0.2">
      <c r="A758" s="575">
        <v>757</v>
      </c>
      <c r="B758" s="129" t="s">
        <v>639</v>
      </c>
    </row>
    <row r="759" spans="1:2" ht="48" x14ac:dyDescent="0.2">
      <c r="A759" s="575">
        <v>758</v>
      </c>
      <c r="B759" s="512" t="s">
        <v>208</v>
      </c>
    </row>
    <row r="760" spans="1:2" ht="25.5" x14ac:dyDescent="0.2">
      <c r="A760" s="575">
        <v>759</v>
      </c>
      <c r="B760" s="129" t="s">
        <v>744</v>
      </c>
    </row>
    <row r="761" spans="1:2" ht="36" x14ac:dyDescent="0.2">
      <c r="A761" s="575">
        <v>760</v>
      </c>
      <c r="B761" s="512" t="s">
        <v>1385</v>
      </c>
    </row>
    <row r="762" spans="1:2" ht="38.25" x14ac:dyDescent="0.2">
      <c r="A762" s="575">
        <v>761</v>
      </c>
      <c r="B762" s="129" t="s">
        <v>745</v>
      </c>
    </row>
    <row r="763" spans="1:2" ht="48" x14ac:dyDescent="0.2">
      <c r="A763" s="575">
        <v>762</v>
      </c>
      <c r="B763" s="512" t="s">
        <v>201</v>
      </c>
    </row>
    <row r="764" spans="1:2" ht="76.5" x14ac:dyDescent="0.2">
      <c r="A764" s="575">
        <v>763</v>
      </c>
      <c r="B764" s="129" t="s">
        <v>308</v>
      </c>
    </row>
    <row r="765" spans="1:2" x14ac:dyDescent="0.2">
      <c r="A765" s="575">
        <v>764</v>
      </c>
      <c r="B765" s="512" t="s">
        <v>1387</v>
      </c>
    </row>
    <row r="766" spans="1:2" ht="25.5" x14ac:dyDescent="0.2">
      <c r="A766" s="575">
        <v>765</v>
      </c>
      <c r="B766" s="129" t="s">
        <v>621</v>
      </c>
    </row>
    <row r="767" spans="1:2" ht="25.5" x14ac:dyDescent="0.2">
      <c r="A767" s="575">
        <v>766</v>
      </c>
      <c r="B767" s="129" t="s">
        <v>1181</v>
      </c>
    </row>
    <row r="768" spans="1:2" ht="25.5" x14ac:dyDescent="0.2">
      <c r="A768" s="575">
        <v>767</v>
      </c>
      <c r="B768" s="129" t="s">
        <v>440</v>
      </c>
    </row>
    <row r="769" spans="1:2" x14ac:dyDescent="0.2">
      <c r="A769" s="575">
        <v>768</v>
      </c>
      <c r="B769" s="415" t="s">
        <v>441</v>
      </c>
    </row>
    <row r="770" spans="1:2" x14ac:dyDescent="0.2">
      <c r="A770" s="575">
        <v>769</v>
      </c>
      <c r="B770" s="415" t="s">
        <v>442</v>
      </c>
    </row>
    <row r="771" spans="1:2" ht="51" x14ac:dyDescent="0.2">
      <c r="A771" s="575">
        <v>770</v>
      </c>
      <c r="B771" s="129" t="s">
        <v>1024</v>
      </c>
    </row>
    <row r="772" spans="1:2" ht="48" x14ac:dyDescent="0.2">
      <c r="A772" s="575">
        <v>771</v>
      </c>
      <c r="B772" s="512" t="s">
        <v>899</v>
      </c>
    </row>
    <row r="773" spans="1:2" ht="24" x14ac:dyDescent="0.2">
      <c r="A773" s="575">
        <v>772</v>
      </c>
      <c r="B773" s="512" t="s">
        <v>1015</v>
      </c>
    </row>
    <row r="774" spans="1:2" x14ac:dyDescent="0.2">
      <c r="A774" s="575">
        <v>773</v>
      </c>
      <c r="B774" s="415" t="s">
        <v>1017</v>
      </c>
    </row>
    <row r="775" spans="1:2" x14ac:dyDescent="0.2">
      <c r="A775" s="575">
        <v>774</v>
      </c>
      <c r="B775" s="415" t="s">
        <v>1016</v>
      </c>
    </row>
    <row r="776" spans="1:2" x14ac:dyDescent="0.2">
      <c r="A776" s="575">
        <v>775</v>
      </c>
      <c r="B776" s="567" t="s">
        <v>618</v>
      </c>
    </row>
    <row r="777" spans="1:2" ht="72" x14ac:dyDescent="0.2">
      <c r="A777" s="575">
        <v>776</v>
      </c>
      <c r="B777" s="512" t="s">
        <v>1174</v>
      </c>
    </row>
    <row r="778" spans="1:2" ht="51" x14ac:dyDescent="0.2">
      <c r="A778" s="575">
        <v>777</v>
      </c>
      <c r="B778" s="129" t="s">
        <v>309</v>
      </c>
    </row>
    <row r="779" spans="1:2" ht="36" x14ac:dyDescent="0.2">
      <c r="A779" s="575">
        <v>778</v>
      </c>
      <c r="B779" s="512" t="s">
        <v>548</v>
      </c>
    </row>
    <row r="780" spans="1:2" ht="24.75" thickBot="1" x14ac:dyDescent="0.25">
      <c r="A780" s="575">
        <v>779</v>
      </c>
      <c r="B780" s="512" t="s">
        <v>1386</v>
      </c>
    </row>
    <row r="781" spans="1:2" x14ac:dyDescent="0.2">
      <c r="A781" s="575">
        <v>780</v>
      </c>
      <c r="B781" s="540" t="s">
        <v>276</v>
      </c>
    </row>
    <row r="782" spans="1:2" x14ac:dyDescent="0.2">
      <c r="A782" s="575">
        <v>781</v>
      </c>
      <c r="B782" s="129" t="s">
        <v>1586</v>
      </c>
    </row>
    <row r="783" spans="1:2" x14ac:dyDescent="0.2">
      <c r="A783" s="575">
        <v>782</v>
      </c>
      <c r="B783" s="88" t="s">
        <v>1202</v>
      </c>
    </row>
    <row r="784" spans="1:2" x14ac:dyDescent="0.2">
      <c r="A784" s="575">
        <v>783</v>
      </c>
      <c r="B784" s="88" t="s">
        <v>1439</v>
      </c>
    </row>
    <row r="785" spans="1:2" x14ac:dyDescent="0.2">
      <c r="A785" s="575">
        <v>784</v>
      </c>
      <c r="B785" s="88" t="s">
        <v>603</v>
      </c>
    </row>
    <row r="786" spans="1:2" x14ac:dyDescent="0.2">
      <c r="A786" s="575">
        <v>785</v>
      </c>
      <c r="B786" s="88" t="s">
        <v>1552</v>
      </c>
    </row>
    <row r="787" spans="1:2" x14ac:dyDescent="0.2">
      <c r="A787" s="575">
        <v>786</v>
      </c>
      <c r="B787" s="88" t="s">
        <v>897</v>
      </c>
    </row>
    <row r="788" spans="1:2" x14ac:dyDescent="0.2">
      <c r="A788" s="575">
        <v>787</v>
      </c>
      <c r="B788" s="88" t="s">
        <v>473</v>
      </c>
    </row>
    <row r="789" spans="1:2" x14ac:dyDescent="0.2">
      <c r="A789" s="575">
        <v>788</v>
      </c>
      <c r="B789" s="88" t="s">
        <v>808</v>
      </c>
    </row>
    <row r="790" spans="1:2" x14ac:dyDescent="0.2">
      <c r="A790" s="575">
        <v>789</v>
      </c>
      <c r="B790" s="88" t="s">
        <v>209</v>
      </c>
    </row>
    <row r="791" spans="1:2" x14ac:dyDescent="0.2">
      <c r="A791" s="575">
        <v>790</v>
      </c>
      <c r="B791" s="88" t="s">
        <v>635</v>
      </c>
    </row>
    <row r="792" spans="1:2" x14ac:dyDescent="0.2">
      <c r="A792" s="575">
        <v>791</v>
      </c>
      <c r="B792" s="88" t="s">
        <v>634</v>
      </c>
    </row>
    <row r="793" spans="1:2" x14ac:dyDescent="0.2">
      <c r="A793" s="575">
        <v>792</v>
      </c>
      <c r="B793" s="88" t="s">
        <v>873</v>
      </c>
    </row>
    <row r="794" spans="1:2" x14ac:dyDescent="0.2">
      <c r="A794" s="575">
        <v>793</v>
      </c>
      <c r="B794" s="88" t="s">
        <v>875</v>
      </c>
    </row>
    <row r="795" spans="1:2" x14ac:dyDescent="0.2">
      <c r="A795" s="575">
        <v>794</v>
      </c>
      <c r="B795" s="88" t="s">
        <v>1553</v>
      </c>
    </row>
    <row r="796" spans="1:2" x14ac:dyDescent="0.2">
      <c r="A796" s="575">
        <v>795</v>
      </c>
      <c r="B796" s="88" t="s">
        <v>277</v>
      </c>
    </row>
    <row r="797" spans="1:2" x14ac:dyDescent="0.2">
      <c r="A797" s="575">
        <v>796</v>
      </c>
      <c r="B797" s="88" t="s">
        <v>1103</v>
      </c>
    </row>
    <row r="798" spans="1:2" x14ac:dyDescent="0.2">
      <c r="A798" s="575">
        <v>797</v>
      </c>
      <c r="B798" s="88" t="s">
        <v>1443</v>
      </c>
    </row>
    <row r="799" spans="1:2" x14ac:dyDescent="0.2">
      <c r="A799" s="575">
        <v>798</v>
      </c>
      <c r="B799" s="88" t="s">
        <v>1331</v>
      </c>
    </row>
    <row r="800" spans="1:2" x14ac:dyDescent="0.2">
      <c r="A800" s="575">
        <v>799</v>
      </c>
      <c r="B800" s="88" t="s">
        <v>1444</v>
      </c>
    </row>
    <row r="801" spans="1:2" x14ac:dyDescent="0.2">
      <c r="A801" s="575">
        <v>800</v>
      </c>
      <c r="B801" s="88" t="s">
        <v>1270</v>
      </c>
    </row>
    <row r="802" spans="1:2" x14ac:dyDescent="0.2">
      <c r="A802" s="575">
        <v>801</v>
      </c>
      <c r="B802" s="88" t="s">
        <v>1271</v>
      </c>
    </row>
    <row r="803" spans="1:2" x14ac:dyDescent="0.2">
      <c r="A803" s="575">
        <v>802</v>
      </c>
      <c r="B803" s="88" t="s">
        <v>1376</v>
      </c>
    </row>
    <row r="804" spans="1:2" x14ac:dyDescent="0.2">
      <c r="A804" s="575">
        <v>803</v>
      </c>
      <c r="B804" s="88" t="s">
        <v>393</v>
      </c>
    </row>
    <row r="805" spans="1:2" x14ac:dyDescent="0.2">
      <c r="A805" s="575">
        <v>804</v>
      </c>
      <c r="B805" s="88" t="s">
        <v>1556</v>
      </c>
    </row>
    <row r="806" spans="1:2" x14ac:dyDescent="0.2">
      <c r="A806" s="575">
        <v>805</v>
      </c>
      <c r="B806" s="454" t="s">
        <v>1388</v>
      </c>
    </row>
    <row r="807" spans="1:2" x14ac:dyDescent="0.2">
      <c r="A807" s="575">
        <v>806</v>
      </c>
      <c r="B807" s="454" t="s">
        <v>1389</v>
      </c>
    </row>
    <row r="808" spans="1:2" x14ac:dyDescent="0.2">
      <c r="A808" s="575">
        <v>807</v>
      </c>
      <c r="B808" s="568" t="s">
        <v>1390</v>
      </c>
    </row>
    <row r="809" spans="1:2" x14ac:dyDescent="0.2">
      <c r="A809" s="575">
        <v>808</v>
      </c>
      <c r="B809" s="569" t="s">
        <v>1248</v>
      </c>
    </row>
    <row r="810" spans="1:2" x14ac:dyDescent="0.2">
      <c r="A810" s="575">
        <v>809</v>
      </c>
      <c r="B810" s="568" t="s">
        <v>1391</v>
      </c>
    </row>
    <row r="811" spans="1:2" x14ac:dyDescent="0.2">
      <c r="A811" s="575">
        <v>810</v>
      </c>
      <c r="B811" s="568" t="s">
        <v>1392</v>
      </c>
    </row>
    <row r="812" spans="1:2" x14ac:dyDescent="0.2">
      <c r="A812" s="575">
        <v>811</v>
      </c>
      <c r="B812" s="568" t="s">
        <v>1393</v>
      </c>
    </row>
    <row r="813" spans="1:2" x14ac:dyDescent="0.2">
      <c r="A813" s="575">
        <v>812</v>
      </c>
      <c r="B813" s="568" t="s">
        <v>1394</v>
      </c>
    </row>
    <row r="814" spans="1:2" x14ac:dyDescent="0.2">
      <c r="A814" s="575">
        <v>813</v>
      </c>
      <c r="B814" s="568" t="s">
        <v>1395</v>
      </c>
    </row>
    <row r="815" spans="1:2" x14ac:dyDescent="0.2">
      <c r="A815" s="575">
        <v>814</v>
      </c>
      <c r="B815" s="568" t="s">
        <v>1396</v>
      </c>
    </row>
    <row r="816" spans="1:2" x14ac:dyDescent="0.2">
      <c r="A816" s="575">
        <v>815</v>
      </c>
      <c r="B816" s="568" t="s">
        <v>1397</v>
      </c>
    </row>
    <row r="817" spans="1:2" x14ac:dyDescent="0.2">
      <c r="A817" s="575">
        <v>816</v>
      </c>
      <c r="B817" s="568" t="s">
        <v>1398</v>
      </c>
    </row>
    <row r="818" spans="1:2" x14ac:dyDescent="0.2">
      <c r="A818" s="575">
        <v>817</v>
      </c>
      <c r="B818" s="568" t="s">
        <v>1399</v>
      </c>
    </row>
    <row r="819" spans="1:2" x14ac:dyDescent="0.2">
      <c r="A819" s="575">
        <v>818</v>
      </c>
      <c r="B819" s="568" t="s">
        <v>1250</v>
      </c>
    </row>
    <row r="820" spans="1:2" x14ac:dyDescent="0.2">
      <c r="A820" s="575">
        <v>819</v>
      </c>
      <c r="B820" s="568" t="s">
        <v>1400</v>
      </c>
    </row>
    <row r="821" spans="1:2" x14ac:dyDescent="0.2">
      <c r="A821" s="575">
        <v>820</v>
      </c>
      <c r="B821" s="568" t="s">
        <v>1401</v>
      </c>
    </row>
    <row r="822" spans="1:2" x14ac:dyDescent="0.2">
      <c r="A822" s="575">
        <v>821</v>
      </c>
      <c r="B822" s="568" t="s">
        <v>1402</v>
      </c>
    </row>
    <row r="823" spans="1:2" x14ac:dyDescent="0.2">
      <c r="A823" s="575">
        <v>822</v>
      </c>
      <c r="B823" s="568" t="s">
        <v>1252</v>
      </c>
    </row>
    <row r="824" spans="1:2" x14ac:dyDescent="0.2">
      <c r="A824" s="575">
        <v>823</v>
      </c>
      <c r="B824" s="568" t="s">
        <v>1403</v>
      </c>
    </row>
    <row r="825" spans="1:2" x14ac:dyDescent="0.2">
      <c r="A825" s="575">
        <v>824</v>
      </c>
      <c r="B825" s="568" t="s">
        <v>1404</v>
      </c>
    </row>
    <row r="826" spans="1:2" x14ac:dyDescent="0.2">
      <c r="A826" s="575">
        <v>825</v>
      </c>
      <c r="B826" s="568" t="s">
        <v>1405</v>
      </c>
    </row>
    <row r="827" spans="1:2" x14ac:dyDescent="0.2">
      <c r="A827" s="575">
        <v>826</v>
      </c>
      <c r="B827" s="568" t="s">
        <v>500</v>
      </c>
    </row>
    <row r="828" spans="1:2" x14ac:dyDescent="0.2">
      <c r="A828" s="575">
        <v>827</v>
      </c>
      <c r="B828" s="568" t="s">
        <v>1254</v>
      </c>
    </row>
    <row r="829" spans="1:2" x14ac:dyDescent="0.2">
      <c r="A829" s="575">
        <v>828</v>
      </c>
      <c r="B829" s="568" t="s">
        <v>501</v>
      </c>
    </row>
    <row r="830" spans="1:2" x14ac:dyDescent="0.2">
      <c r="A830" s="575">
        <v>829</v>
      </c>
      <c r="B830" s="568" t="s">
        <v>502</v>
      </c>
    </row>
    <row r="831" spans="1:2" x14ac:dyDescent="0.2">
      <c r="A831" s="575">
        <v>830</v>
      </c>
      <c r="B831" s="568" t="s">
        <v>503</v>
      </c>
    </row>
    <row r="832" spans="1:2" x14ac:dyDescent="0.2">
      <c r="A832" s="575">
        <v>831</v>
      </c>
      <c r="B832" s="568" t="s">
        <v>504</v>
      </c>
    </row>
    <row r="833" spans="1:2" x14ac:dyDescent="0.2">
      <c r="A833" s="575">
        <v>832</v>
      </c>
      <c r="B833" s="568" t="s">
        <v>505</v>
      </c>
    </row>
    <row r="834" spans="1:2" x14ac:dyDescent="0.2">
      <c r="A834" s="575">
        <v>833</v>
      </c>
      <c r="B834" s="568" t="s">
        <v>1522</v>
      </c>
    </row>
    <row r="835" spans="1:2" x14ac:dyDescent="0.2">
      <c r="A835" s="575">
        <v>834</v>
      </c>
      <c r="B835" s="568" t="s">
        <v>1523</v>
      </c>
    </row>
    <row r="836" spans="1:2" x14ac:dyDescent="0.2">
      <c r="A836" s="575">
        <v>835</v>
      </c>
      <c r="B836" s="568" t="s">
        <v>1524</v>
      </c>
    </row>
    <row r="837" spans="1:2" x14ac:dyDescent="0.2">
      <c r="A837" s="575">
        <v>836</v>
      </c>
      <c r="B837" s="454" t="s">
        <v>1115</v>
      </c>
    </row>
    <row r="838" spans="1:2" x14ac:dyDescent="0.2">
      <c r="A838" s="575">
        <v>837</v>
      </c>
      <c r="B838" s="454" t="s">
        <v>1116</v>
      </c>
    </row>
    <row r="839" spans="1:2" x14ac:dyDescent="0.2">
      <c r="A839" s="575">
        <v>838</v>
      </c>
      <c r="B839" s="88" t="s">
        <v>224</v>
      </c>
    </row>
    <row r="840" spans="1:2" x14ac:dyDescent="0.2">
      <c r="A840" s="575">
        <v>839</v>
      </c>
      <c r="B840" s="88" t="s">
        <v>244</v>
      </c>
    </row>
    <row r="841" spans="1:2" x14ac:dyDescent="0.2">
      <c r="A841" s="575">
        <v>840</v>
      </c>
      <c r="B841" s="88" t="s">
        <v>225</v>
      </c>
    </row>
    <row r="842" spans="1:2" x14ac:dyDescent="0.2">
      <c r="A842" s="575">
        <v>841</v>
      </c>
      <c r="B842" s="88" t="s">
        <v>104</v>
      </c>
    </row>
    <row r="843" spans="1:2" x14ac:dyDescent="0.2">
      <c r="A843" s="575">
        <v>842</v>
      </c>
      <c r="B843" s="88" t="s">
        <v>105</v>
      </c>
    </row>
    <row r="844" spans="1:2" x14ac:dyDescent="0.2">
      <c r="A844" s="575">
        <v>843</v>
      </c>
      <c r="B844" s="88" t="s">
        <v>106</v>
      </c>
    </row>
    <row r="845" spans="1:2" x14ac:dyDescent="0.2">
      <c r="A845" s="575">
        <v>844</v>
      </c>
      <c r="B845" s="73" t="s">
        <v>831</v>
      </c>
    </row>
    <row r="846" spans="1:2" x14ac:dyDescent="0.2">
      <c r="A846" s="575">
        <v>845</v>
      </c>
      <c r="B846" s="73" t="s">
        <v>1505</v>
      </c>
    </row>
    <row r="847" spans="1:2" x14ac:dyDescent="0.2">
      <c r="A847" s="575">
        <v>846</v>
      </c>
      <c r="B847" s="254" t="s">
        <v>20</v>
      </c>
    </row>
    <row r="848" spans="1:2" x14ac:dyDescent="0.2">
      <c r="A848" s="575">
        <v>847</v>
      </c>
      <c r="B848" s="254" t="s">
        <v>21</v>
      </c>
    </row>
    <row r="849" spans="1:2" x14ac:dyDescent="0.2">
      <c r="A849" s="575">
        <v>848</v>
      </c>
      <c r="B849" s="254" t="s">
        <v>22</v>
      </c>
    </row>
    <row r="850" spans="1:2" x14ac:dyDescent="0.2">
      <c r="A850" s="575">
        <v>849</v>
      </c>
      <c r="B850" s="254" t="s">
        <v>23</v>
      </c>
    </row>
    <row r="851" spans="1:2" x14ac:dyDescent="0.2">
      <c r="A851" s="575">
        <v>850</v>
      </c>
      <c r="B851" s="254" t="s">
        <v>24</v>
      </c>
    </row>
    <row r="852" spans="1:2" x14ac:dyDescent="0.2">
      <c r="A852" s="575">
        <v>851</v>
      </c>
      <c r="B852" s="254" t="s">
        <v>25</v>
      </c>
    </row>
    <row r="853" spans="1:2" x14ac:dyDescent="0.2">
      <c r="A853" s="575">
        <v>852</v>
      </c>
      <c r="B853" s="254" t="s">
        <v>26</v>
      </c>
    </row>
    <row r="854" spans="1:2" x14ac:dyDescent="0.2">
      <c r="A854" s="575">
        <v>853</v>
      </c>
      <c r="B854" s="254" t="s">
        <v>39</v>
      </c>
    </row>
    <row r="855" spans="1:2" x14ac:dyDescent="0.2">
      <c r="A855" s="575">
        <v>854</v>
      </c>
      <c r="B855" s="73" t="s">
        <v>52</v>
      </c>
    </row>
    <row r="856" spans="1:2" x14ac:dyDescent="0.2">
      <c r="A856" s="575">
        <v>855</v>
      </c>
      <c r="B856" s="569" t="s">
        <v>53</v>
      </c>
    </row>
    <row r="857" spans="1:2" x14ac:dyDescent="0.2">
      <c r="A857" s="575">
        <v>856</v>
      </c>
      <c r="B857" s="570" t="s">
        <v>663</v>
      </c>
    </row>
    <row r="858" spans="1:2" x14ac:dyDescent="0.2">
      <c r="A858" s="575">
        <v>857</v>
      </c>
      <c r="B858" s="73" t="s">
        <v>665</v>
      </c>
    </row>
    <row r="859" spans="1:2" x14ac:dyDescent="0.2">
      <c r="A859" s="575">
        <v>858</v>
      </c>
      <c r="B859" s="73" t="s">
        <v>664</v>
      </c>
    </row>
    <row r="860" spans="1:2" x14ac:dyDescent="0.2">
      <c r="A860" s="575">
        <v>859</v>
      </c>
      <c r="B860" s="73" t="s">
        <v>666</v>
      </c>
    </row>
    <row r="861" spans="1:2" x14ac:dyDescent="0.2">
      <c r="A861" s="575">
        <v>860</v>
      </c>
      <c r="B861" s="73" t="s">
        <v>667</v>
      </c>
    </row>
    <row r="862" spans="1:2" x14ac:dyDescent="0.2">
      <c r="A862" s="575">
        <v>861</v>
      </c>
      <c r="B862" s="73" t="s">
        <v>668</v>
      </c>
    </row>
    <row r="863" spans="1:2" x14ac:dyDescent="0.2">
      <c r="A863" s="575">
        <v>862</v>
      </c>
      <c r="B863" s="73" t="s">
        <v>669</v>
      </c>
    </row>
    <row r="864" spans="1:2" x14ac:dyDescent="0.2">
      <c r="A864" s="575">
        <v>863</v>
      </c>
      <c r="B864" s="73" t="s">
        <v>670</v>
      </c>
    </row>
    <row r="865" spans="1:2" x14ac:dyDescent="0.2">
      <c r="A865" s="575">
        <v>864</v>
      </c>
      <c r="B865" s="73" t="s">
        <v>671</v>
      </c>
    </row>
    <row r="866" spans="1:2" x14ac:dyDescent="0.2">
      <c r="A866" s="575">
        <v>865</v>
      </c>
      <c r="B866" s="73" t="s">
        <v>673</v>
      </c>
    </row>
    <row r="867" spans="1:2" x14ac:dyDescent="0.2">
      <c r="A867" s="575">
        <v>866</v>
      </c>
      <c r="B867" s="73" t="s">
        <v>674</v>
      </c>
    </row>
    <row r="868" spans="1:2" x14ac:dyDescent="0.2">
      <c r="A868" s="575">
        <v>867</v>
      </c>
      <c r="B868" s="73" t="s">
        <v>675</v>
      </c>
    </row>
    <row r="869" spans="1:2" x14ac:dyDescent="0.2">
      <c r="A869" s="575">
        <v>868</v>
      </c>
      <c r="B869" s="73" t="s">
        <v>676</v>
      </c>
    </row>
    <row r="870" spans="1:2" x14ac:dyDescent="0.2">
      <c r="A870" s="575">
        <v>869</v>
      </c>
      <c r="B870" s="73" t="s">
        <v>677</v>
      </c>
    </row>
    <row r="871" spans="1:2" x14ac:dyDescent="0.2">
      <c r="A871" s="575">
        <v>870</v>
      </c>
      <c r="B871" s="73" t="s">
        <v>678</v>
      </c>
    </row>
    <row r="872" spans="1:2" x14ac:dyDescent="0.2">
      <c r="A872" s="575">
        <v>871</v>
      </c>
      <c r="B872" s="73" t="s">
        <v>679</v>
      </c>
    </row>
    <row r="873" spans="1:2" x14ac:dyDescent="0.2">
      <c r="A873" s="575">
        <v>872</v>
      </c>
      <c r="B873" s="73" t="s">
        <v>680</v>
      </c>
    </row>
    <row r="874" spans="1:2" x14ac:dyDescent="0.2">
      <c r="A874" s="575">
        <v>873</v>
      </c>
      <c r="B874" s="73" t="s">
        <v>1269</v>
      </c>
    </row>
    <row r="875" spans="1:2" x14ac:dyDescent="0.2">
      <c r="A875" s="575">
        <v>874</v>
      </c>
      <c r="B875" s="73" t="s">
        <v>681</v>
      </c>
    </row>
    <row r="876" spans="1:2" x14ac:dyDescent="0.2">
      <c r="A876" s="575">
        <v>875</v>
      </c>
      <c r="B876" s="73" t="s">
        <v>682</v>
      </c>
    </row>
    <row r="877" spans="1:2" x14ac:dyDescent="0.2">
      <c r="A877" s="575">
        <v>876</v>
      </c>
      <c r="B877" s="73" t="s">
        <v>683</v>
      </c>
    </row>
    <row r="878" spans="1:2" x14ac:dyDescent="0.2">
      <c r="A878" s="575">
        <v>877</v>
      </c>
      <c r="B878" s="88" t="s">
        <v>1050</v>
      </c>
    </row>
    <row r="879" spans="1:2" x14ac:dyDescent="0.2">
      <c r="A879" s="575">
        <v>878</v>
      </c>
      <c r="B879" s="73" t="s">
        <v>1051</v>
      </c>
    </row>
    <row r="880" spans="1:2" x14ac:dyDescent="0.2">
      <c r="A880" s="575">
        <v>879</v>
      </c>
      <c r="B880" s="73" t="s">
        <v>1052</v>
      </c>
    </row>
    <row r="881" spans="1:2" x14ac:dyDescent="0.2">
      <c r="A881" s="575">
        <v>880</v>
      </c>
      <c r="B881" s="73" t="s">
        <v>1053</v>
      </c>
    </row>
    <row r="882" spans="1:2" x14ac:dyDescent="0.2">
      <c r="A882" s="575">
        <v>881</v>
      </c>
      <c r="B882" s="73" t="s">
        <v>1054</v>
      </c>
    </row>
    <row r="883" spans="1:2" x14ac:dyDescent="0.2">
      <c r="A883" s="575">
        <v>882</v>
      </c>
      <c r="B883" s="73" t="s">
        <v>1055</v>
      </c>
    </row>
    <row r="884" spans="1:2" x14ac:dyDescent="0.2">
      <c r="A884" s="575">
        <v>883</v>
      </c>
      <c r="B884" s="570" t="s">
        <v>1587</v>
      </c>
    </row>
    <row r="885" spans="1:2" x14ac:dyDescent="0.2">
      <c r="A885" s="575">
        <v>884</v>
      </c>
      <c r="B885" s="73" t="s">
        <v>1590</v>
      </c>
    </row>
    <row r="886" spans="1:2" x14ac:dyDescent="0.2">
      <c r="A886" s="575">
        <v>885</v>
      </c>
      <c r="B886" s="73" t="s">
        <v>1591</v>
      </c>
    </row>
    <row r="887" spans="1:2" x14ac:dyDescent="0.2">
      <c r="A887" s="575">
        <v>886</v>
      </c>
      <c r="B887" s="73" t="s">
        <v>1592</v>
      </c>
    </row>
    <row r="888" spans="1:2" x14ac:dyDescent="0.2">
      <c r="A888" s="575">
        <v>887</v>
      </c>
      <c r="B888" s="570" t="s">
        <v>746</v>
      </c>
    </row>
    <row r="889" spans="1:2" x14ac:dyDescent="0.2">
      <c r="A889" s="575">
        <v>888</v>
      </c>
      <c r="B889" s="73" t="s">
        <v>748</v>
      </c>
    </row>
    <row r="890" spans="1:2" x14ac:dyDescent="0.2">
      <c r="A890" s="575">
        <v>889</v>
      </c>
      <c r="B890" s="73" t="s">
        <v>749</v>
      </c>
    </row>
    <row r="891" spans="1:2" x14ac:dyDescent="0.2">
      <c r="A891" s="575">
        <v>890</v>
      </c>
      <c r="B891" s="570" t="s">
        <v>1273</v>
      </c>
    </row>
    <row r="892" spans="1:2" x14ac:dyDescent="0.2">
      <c r="A892" s="575">
        <v>891</v>
      </c>
      <c r="B892" s="570" t="s">
        <v>1336</v>
      </c>
    </row>
    <row r="893" spans="1:2" x14ac:dyDescent="0.2">
      <c r="A893" s="575">
        <v>892</v>
      </c>
      <c r="B893" s="73" t="s">
        <v>1322</v>
      </c>
    </row>
    <row r="894" spans="1:2" x14ac:dyDescent="0.2">
      <c r="A894" s="575">
        <v>893</v>
      </c>
      <c r="B894" s="73" t="s">
        <v>1517</v>
      </c>
    </row>
    <row r="895" spans="1:2" x14ac:dyDescent="0.2">
      <c r="A895" s="575">
        <v>894</v>
      </c>
      <c r="B895" s="73" t="s">
        <v>1519</v>
      </c>
    </row>
    <row r="896" spans="1:2" x14ac:dyDescent="0.2">
      <c r="A896" s="575">
        <v>895</v>
      </c>
      <c r="B896" s="73" t="s">
        <v>1334</v>
      </c>
    </row>
    <row r="897" spans="1:2" x14ac:dyDescent="0.2">
      <c r="A897" s="575">
        <v>896</v>
      </c>
      <c r="B897" s="73" t="s">
        <v>1335</v>
      </c>
    </row>
    <row r="898" spans="1:2" x14ac:dyDescent="0.2">
      <c r="A898" s="575">
        <v>897</v>
      </c>
      <c r="B898" s="73" t="s">
        <v>1520</v>
      </c>
    </row>
    <row r="899" spans="1:2" x14ac:dyDescent="0.2">
      <c r="A899" s="575">
        <v>898</v>
      </c>
      <c r="B899" s="570" t="s">
        <v>1106</v>
      </c>
    </row>
    <row r="900" spans="1:2" x14ac:dyDescent="0.2">
      <c r="A900" s="575">
        <v>899</v>
      </c>
      <c r="B900" s="73" t="s">
        <v>1105</v>
      </c>
    </row>
    <row r="901" spans="1:2" x14ac:dyDescent="0.2">
      <c r="A901" s="575">
        <v>900</v>
      </c>
      <c r="B901" s="73" t="s">
        <v>1104</v>
      </c>
    </row>
    <row r="902" spans="1:2" x14ac:dyDescent="0.2">
      <c r="A902" s="575">
        <v>901</v>
      </c>
      <c r="B902" s="570" t="s">
        <v>1341</v>
      </c>
    </row>
    <row r="903" spans="1:2" x14ac:dyDescent="0.2">
      <c r="A903" s="575">
        <v>902</v>
      </c>
      <c r="B903" s="73" t="s">
        <v>1342</v>
      </c>
    </row>
    <row r="904" spans="1:2" x14ac:dyDescent="0.2">
      <c r="A904" s="575">
        <v>903</v>
      </c>
      <c r="B904" s="73" t="s">
        <v>1343</v>
      </c>
    </row>
    <row r="905" spans="1:2" x14ac:dyDescent="0.2">
      <c r="A905" s="575">
        <v>904</v>
      </c>
      <c r="B905" s="570" t="s">
        <v>1594</v>
      </c>
    </row>
    <row r="906" spans="1:2" x14ac:dyDescent="0.2">
      <c r="A906" s="575">
        <v>905</v>
      </c>
      <c r="B906" s="139" t="s">
        <v>984</v>
      </c>
    </row>
    <row r="907" spans="1:2" x14ac:dyDescent="0.2">
      <c r="A907" s="575">
        <v>906</v>
      </c>
      <c r="B907" s="139" t="s">
        <v>985</v>
      </c>
    </row>
    <row r="908" spans="1:2" x14ac:dyDescent="0.2">
      <c r="A908" s="575">
        <v>907</v>
      </c>
      <c r="B908" s="139" t="s">
        <v>986</v>
      </c>
    </row>
    <row r="909" spans="1:2" x14ac:dyDescent="0.2">
      <c r="A909" s="575">
        <v>908</v>
      </c>
      <c r="B909" s="139" t="s">
        <v>987</v>
      </c>
    </row>
    <row r="910" spans="1:2" x14ac:dyDescent="0.2">
      <c r="A910" s="575">
        <v>909</v>
      </c>
      <c r="B910" s="570" t="s">
        <v>660</v>
      </c>
    </row>
    <row r="911" spans="1:2" x14ac:dyDescent="0.2">
      <c r="A911" s="575">
        <v>910</v>
      </c>
      <c r="B911" s="73" t="s">
        <v>645</v>
      </c>
    </row>
    <row r="912" spans="1:2" x14ac:dyDescent="0.2">
      <c r="A912" s="575">
        <v>911</v>
      </c>
      <c r="B912" s="73" t="s">
        <v>647</v>
      </c>
    </row>
    <row r="913" spans="1:2" x14ac:dyDescent="0.2">
      <c r="A913" s="575">
        <v>912</v>
      </c>
      <c r="B913" s="73" t="s">
        <v>653</v>
      </c>
    </row>
    <row r="914" spans="1:2" x14ac:dyDescent="0.2">
      <c r="A914" s="575">
        <v>913</v>
      </c>
      <c r="B914" s="73" t="s">
        <v>654</v>
      </c>
    </row>
    <row r="915" spans="1:2" x14ac:dyDescent="0.2">
      <c r="A915" s="575">
        <v>914</v>
      </c>
      <c r="B915" s="73" t="s">
        <v>655</v>
      </c>
    </row>
    <row r="916" spans="1:2" x14ac:dyDescent="0.2">
      <c r="A916" s="575">
        <v>915</v>
      </c>
      <c r="B916" s="73" t="s">
        <v>656</v>
      </c>
    </row>
    <row r="917" spans="1:2" x14ac:dyDescent="0.2">
      <c r="A917" s="575">
        <v>916</v>
      </c>
      <c r="B917" s="73" t="s">
        <v>657</v>
      </c>
    </row>
    <row r="918" spans="1:2" x14ac:dyDescent="0.2">
      <c r="A918" s="575">
        <v>917</v>
      </c>
      <c r="B918" s="73" t="s">
        <v>658</v>
      </c>
    </row>
    <row r="919" spans="1:2" x14ac:dyDescent="0.2">
      <c r="A919" s="575">
        <v>918</v>
      </c>
      <c r="B919" s="73" t="s">
        <v>659</v>
      </c>
    </row>
    <row r="920" spans="1:2" x14ac:dyDescent="0.2">
      <c r="A920" s="575">
        <v>919</v>
      </c>
      <c r="B920" s="73" t="s">
        <v>1593</v>
      </c>
    </row>
    <row r="921" spans="1:2" x14ac:dyDescent="0.2">
      <c r="A921" s="575">
        <v>920</v>
      </c>
      <c r="B921" s="88" t="s">
        <v>1074</v>
      </c>
    </row>
    <row r="922" spans="1:2" x14ac:dyDescent="0.2">
      <c r="A922" s="575">
        <v>921</v>
      </c>
      <c r="B922" s="570" t="s">
        <v>1109</v>
      </c>
    </row>
    <row r="923" spans="1:2" x14ac:dyDescent="0.2">
      <c r="A923" s="575">
        <v>922</v>
      </c>
      <c r="B923" s="570" t="s">
        <v>1344</v>
      </c>
    </row>
    <row r="924" spans="1:2" x14ac:dyDescent="0.2">
      <c r="A924" s="575">
        <v>923</v>
      </c>
      <c r="B924" s="570" t="s">
        <v>517</v>
      </c>
    </row>
    <row r="925" spans="1:2" x14ac:dyDescent="0.2">
      <c r="A925" s="575">
        <v>924</v>
      </c>
      <c r="B925" s="570" t="s">
        <v>1329</v>
      </c>
    </row>
    <row r="926" spans="1:2" x14ac:dyDescent="0.2">
      <c r="A926" s="575">
        <v>925</v>
      </c>
      <c r="B926" s="570" t="s">
        <v>1323</v>
      </c>
    </row>
    <row r="927" spans="1:2" x14ac:dyDescent="0.2">
      <c r="A927" s="575">
        <v>926</v>
      </c>
      <c r="B927" s="570" t="s">
        <v>1324</v>
      </c>
    </row>
    <row r="928" spans="1:2" x14ac:dyDescent="0.2">
      <c r="A928" s="575">
        <v>927</v>
      </c>
      <c r="B928" s="73" t="s">
        <v>1326</v>
      </c>
    </row>
    <row r="929" spans="1:2" x14ac:dyDescent="0.2">
      <c r="A929" s="575">
        <v>928</v>
      </c>
      <c r="B929" s="570" t="s">
        <v>1327</v>
      </c>
    </row>
    <row r="930" spans="1:2" x14ac:dyDescent="0.2">
      <c r="A930" s="575">
        <v>929</v>
      </c>
      <c r="B930" s="570" t="s">
        <v>1328</v>
      </c>
    </row>
    <row r="931" spans="1:2" x14ac:dyDescent="0.2">
      <c r="A931" s="575">
        <v>930</v>
      </c>
      <c r="B931" s="571" t="s">
        <v>1189</v>
      </c>
    </row>
    <row r="932" spans="1:2" x14ac:dyDescent="0.2">
      <c r="A932" s="575">
        <v>931</v>
      </c>
      <c r="B932" s="571" t="s">
        <v>878</v>
      </c>
    </row>
    <row r="933" spans="1:2" x14ac:dyDescent="0.2">
      <c r="A933" s="575">
        <v>932</v>
      </c>
      <c r="B933" s="569" t="s">
        <v>836</v>
      </c>
    </row>
    <row r="934" spans="1:2" x14ac:dyDescent="0.2">
      <c r="A934" s="575">
        <v>933</v>
      </c>
      <c r="B934" s="569" t="s">
        <v>1150</v>
      </c>
    </row>
    <row r="935" spans="1:2" x14ac:dyDescent="0.2">
      <c r="A935" s="575">
        <v>934</v>
      </c>
      <c r="B935" s="569" t="s">
        <v>1151</v>
      </c>
    </row>
    <row r="936" spans="1:2" x14ac:dyDescent="0.2">
      <c r="A936" s="575">
        <v>935</v>
      </c>
      <c r="B936" s="569" t="s">
        <v>173</v>
      </c>
    </row>
    <row r="937" spans="1:2" x14ac:dyDescent="0.2">
      <c r="A937" s="575">
        <v>936</v>
      </c>
      <c r="B937" s="569" t="s">
        <v>1152</v>
      </c>
    </row>
    <row r="938" spans="1:2" x14ac:dyDescent="0.2">
      <c r="A938" s="575">
        <v>937</v>
      </c>
      <c r="B938" s="569" t="s">
        <v>1153</v>
      </c>
    </row>
    <row r="939" spans="1:2" x14ac:dyDescent="0.2">
      <c r="A939" s="575">
        <v>938</v>
      </c>
      <c r="B939" s="569" t="s">
        <v>1154</v>
      </c>
    </row>
    <row r="940" spans="1:2" x14ac:dyDescent="0.2">
      <c r="A940" s="575">
        <v>939</v>
      </c>
      <c r="B940" s="569" t="s">
        <v>1155</v>
      </c>
    </row>
    <row r="941" spans="1:2" x14ac:dyDescent="0.2">
      <c r="A941" s="575">
        <v>940</v>
      </c>
      <c r="B941" s="569" t="s">
        <v>1156</v>
      </c>
    </row>
    <row r="942" spans="1:2" x14ac:dyDescent="0.2">
      <c r="A942" s="575">
        <v>941</v>
      </c>
      <c r="B942" s="569" t="s">
        <v>1157</v>
      </c>
    </row>
    <row r="943" spans="1:2" x14ac:dyDescent="0.2">
      <c r="A943" s="575">
        <v>942</v>
      </c>
      <c r="B943" s="569" t="s">
        <v>1158</v>
      </c>
    </row>
    <row r="944" spans="1:2" x14ac:dyDescent="0.2">
      <c r="A944" s="575">
        <v>943</v>
      </c>
      <c r="B944" s="569" t="s">
        <v>1159</v>
      </c>
    </row>
    <row r="945" spans="1:4" x14ac:dyDescent="0.2">
      <c r="A945" s="575">
        <v>944</v>
      </c>
      <c r="B945" s="569" t="s">
        <v>1160</v>
      </c>
    </row>
    <row r="946" spans="1:4" x14ac:dyDescent="0.2">
      <c r="A946" s="575">
        <v>945</v>
      </c>
      <c r="B946" s="569" t="s">
        <v>1161</v>
      </c>
    </row>
    <row r="947" spans="1:4" x14ac:dyDescent="0.2">
      <c r="A947" s="575">
        <v>946</v>
      </c>
      <c r="B947" s="569" t="s">
        <v>1162</v>
      </c>
    </row>
    <row r="948" spans="1:4" x14ac:dyDescent="0.2">
      <c r="A948" s="575">
        <v>947</v>
      </c>
      <c r="B948" s="569" t="s">
        <v>1010</v>
      </c>
    </row>
    <row r="949" spans="1:4" x14ac:dyDescent="0.2">
      <c r="A949" s="575">
        <v>948</v>
      </c>
      <c r="B949" s="569" t="s">
        <v>1011</v>
      </c>
    </row>
    <row r="950" spans="1:4" x14ac:dyDescent="0.2">
      <c r="A950" s="575">
        <v>949</v>
      </c>
      <c r="B950" s="569" t="s">
        <v>1012</v>
      </c>
    </row>
    <row r="951" spans="1:4" x14ac:dyDescent="0.2">
      <c r="A951" s="575">
        <v>950</v>
      </c>
      <c r="B951" s="569" t="s">
        <v>1076</v>
      </c>
    </row>
    <row r="952" spans="1:4" x14ac:dyDescent="0.2">
      <c r="A952" s="575">
        <v>951</v>
      </c>
      <c r="B952" s="569" t="s">
        <v>1077</v>
      </c>
    </row>
    <row r="953" spans="1:4" x14ac:dyDescent="0.2">
      <c r="A953" s="575">
        <v>952</v>
      </c>
      <c r="B953" s="569" t="s">
        <v>1187</v>
      </c>
    </row>
    <row r="954" spans="1:4" x14ac:dyDescent="0.2">
      <c r="A954" s="575">
        <v>953</v>
      </c>
      <c r="B954" s="572" t="s">
        <v>916</v>
      </c>
    </row>
    <row r="955" spans="1:4" x14ac:dyDescent="0.2">
      <c r="A955" s="575">
        <v>954</v>
      </c>
      <c r="B955" s="572" t="s">
        <v>1191</v>
      </c>
    </row>
    <row r="956" spans="1:4" x14ac:dyDescent="0.2">
      <c r="A956" s="575">
        <v>955</v>
      </c>
      <c r="B956" s="572" t="s">
        <v>833</v>
      </c>
      <c r="D956" t="s">
        <v>1848</v>
      </c>
    </row>
    <row r="957" spans="1:4" x14ac:dyDescent="0.2">
      <c r="A957" s="575">
        <v>956</v>
      </c>
      <c r="B957" s="572" t="s">
        <v>1358</v>
      </c>
    </row>
    <row r="958" spans="1:4" x14ac:dyDescent="0.2">
      <c r="A958" s="575">
        <v>957</v>
      </c>
      <c r="B958" s="572" t="s">
        <v>1190</v>
      </c>
    </row>
    <row r="959" spans="1:4" x14ac:dyDescent="0.2">
      <c r="A959" s="575">
        <v>958</v>
      </c>
      <c r="B959" s="572" t="s">
        <v>1165</v>
      </c>
    </row>
    <row r="960" spans="1:4" x14ac:dyDescent="0.2">
      <c r="A960" s="575">
        <v>959</v>
      </c>
      <c r="B960" s="572" t="s">
        <v>1534</v>
      </c>
    </row>
    <row r="961" spans="1:2" x14ac:dyDescent="0.2">
      <c r="A961" s="575">
        <v>960</v>
      </c>
      <c r="B961" s="572" t="s">
        <v>337</v>
      </c>
    </row>
    <row r="962" spans="1:2" x14ac:dyDescent="0.2">
      <c r="A962" s="575">
        <v>961</v>
      </c>
      <c r="B962" s="145" t="s">
        <v>727</v>
      </c>
    </row>
    <row r="963" spans="1:2" x14ac:dyDescent="0.2">
      <c r="A963" s="575">
        <v>962</v>
      </c>
      <c r="B963" s="88" t="s">
        <v>1357</v>
      </c>
    </row>
    <row r="964" spans="1:2" x14ac:dyDescent="0.2">
      <c r="A964" s="575">
        <v>963</v>
      </c>
      <c r="B964" s="88" t="s">
        <v>1559</v>
      </c>
    </row>
    <row r="965" spans="1:2" x14ac:dyDescent="0.2">
      <c r="A965" s="575">
        <v>964</v>
      </c>
      <c r="B965" s="88" t="s">
        <v>317</v>
      </c>
    </row>
    <row r="966" spans="1:2" x14ac:dyDescent="0.2">
      <c r="A966" s="575">
        <v>965</v>
      </c>
      <c r="B966" s="573" t="s">
        <v>310</v>
      </c>
    </row>
    <row r="967" spans="1:2" x14ac:dyDescent="0.2">
      <c r="A967" s="575">
        <v>966</v>
      </c>
      <c r="B967" s="573" t="s">
        <v>311</v>
      </c>
    </row>
    <row r="968" spans="1:2" x14ac:dyDescent="0.2">
      <c r="A968" s="575">
        <v>967</v>
      </c>
      <c r="B968" s="573" t="s">
        <v>312</v>
      </c>
    </row>
    <row r="969" spans="1:2" x14ac:dyDescent="0.2">
      <c r="A969" s="575">
        <v>968</v>
      </c>
      <c r="B969" s="573" t="s">
        <v>313</v>
      </c>
    </row>
    <row r="970" spans="1:2" x14ac:dyDescent="0.2">
      <c r="A970" s="575">
        <v>969</v>
      </c>
      <c r="B970" s="88" t="s">
        <v>318</v>
      </c>
    </row>
    <row r="971" spans="1:2" x14ac:dyDescent="0.2">
      <c r="A971" s="575">
        <v>970</v>
      </c>
      <c r="B971" s="88" t="s">
        <v>319</v>
      </c>
    </row>
    <row r="972" spans="1:2" x14ac:dyDescent="0.2">
      <c r="A972" s="575">
        <v>971</v>
      </c>
      <c r="B972" s="88" t="s">
        <v>758</v>
      </c>
    </row>
    <row r="973" spans="1:2" x14ac:dyDescent="0.2">
      <c r="A973" s="575">
        <v>972</v>
      </c>
      <c r="B973" s="88" t="s">
        <v>728</v>
      </c>
    </row>
    <row r="974" spans="1:2" x14ac:dyDescent="0.2">
      <c r="A974" s="575">
        <v>973</v>
      </c>
      <c r="B974" s="88" t="s">
        <v>764</v>
      </c>
    </row>
    <row r="975" spans="1:2" x14ac:dyDescent="0.2">
      <c r="A975" s="575">
        <v>974</v>
      </c>
      <c r="B975" s="88" t="s">
        <v>320</v>
      </c>
    </row>
    <row r="976" spans="1:2" x14ac:dyDescent="0.2">
      <c r="A976" s="575">
        <v>975</v>
      </c>
      <c r="B976" s="88" t="s">
        <v>759</v>
      </c>
    </row>
    <row r="977" spans="1:2" x14ac:dyDescent="0.2">
      <c r="A977" s="575">
        <v>976</v>
      </c>
      <c r="B977" s="573" t="s">
        <v>314</v>
      </c>
    </row>
    <row r="978" spans="1:2" x14ac:dyDescent="0.2">
      <c r="A978" s="575">
        <v>977</v>
      </c>
      <c r="B978" s="573" t="s">
        <v>315</v>
      </c>
    </row>
    <row r="979" spans="1:2" x14ac:dyDescent="0.2">
      <c r="A979" s="575">
        <v>978</v>
      </c>
      <c r="B979" s="88" t="s">
        <v>321</v>
      </c>
    </row>
    <row r="980" spans="1:2" x14ac:dyDescent="0.2">
      <c r="A980" s="575">
        <v>979</v>
      </c>
      <c r="B980" s="88" t="s">
        <v>760</v>
      </c>
    </row>
    <row r="981" spans="1:2" x14ac:dyDescent="0.2">
      <c r="A981" s="575">
        <v>980</v>
      </c>
      <c r="B981" s="88" t="s">
        <v>322</v>
      </c>
    </row>
    <row r="982" spans="1:2" x14ac:dyDescent="0.2">
      <c r="A982" s="575">
        <v>981</v>
      </c>
      <c r="B982" s="88" t="s">
        <v>761</v>
      </c>
    </row>
    <row r="983" spans="1:2" x14ac:dyDescent="0.2">
      <c r="A983" s="575">
        <v>982</v>
      </c>
      <c r="B983" s="88" t="s">
        <v>1233</v>
      </c>
    </row>
    <row r="984" spans="1:2" x14ac:dyDescent="0.2">
      <c r="A984" s="575">
        <v>983</v>
      </c>
      <c r="B984" s="88" t="s">
        <v>325</v>
      </c>
    </row>
    <row r="985" spans="1:2" x14ac:dyDescent="0.2">
      <c r="A985" s="575">
        <v>984</v>
      </c>
      <c r="B985" s="88" t="s">
        <v>323</v>
      </c>
    </row>
    <row r="986" spans="1:2" x14ac:dyDescent="0.2">
      <c r="A986" s="575">
        <v>985</v>
      </c>
      <c r="B986" s="88" t="s">
        <v>762</v>
      </c>
    </row>
    <row r="987" spans="1:2" x14ac:dyDescent="0.2">
      <c r="A987" s="575">
        <v>986</v>
      </c>
      <c r="B987" s="573" t="s">
        <v>826</v>
      </c>
    </row>
    <row r="988" spans="1:2" x14ac:dyDescent="0.2">
      <c r="A988" s="575">
        <v>987</v>
      </c>
      <c r="B988" s="573" t="s">
        <v>827</v>
      </c>
    </row>
    <row r="989" spans="1:2" x14ac:dyDescent="0.2">
      <c r="A989" s="575">
        <v>988</v>
      </c>
      <c r="B989" s="573" t="s">
        <v>828</v>
      </c>
    </row>
    <row r="990" spans="1:2" x14ac:dyDescent="0.2">
      <c r="A990" s="575">
        <v>989</v>
      </c>
      <c r="B990" s="573" t="s">
        <v>829</v>
      </c>
    </row>
    <row r="991" spans="1:2" x14ac:dyDescent="0.2">
      <c r="A991" s="575">
        <v>990</v>
      </c>
      <c r="B991" s="88" t="s">
        <v>324</v>
      </c>
    </row>
    <row r="992" spans="1:2" x14ac:dyDescent="0.2">
      <c r="A992" s="575">
        <v>991</v>
      </c>
      <c r="B992" s="88" t="s">
        <v>763</v>
      </c>
    </row>
    <row r="993" spans="1:2" x14ac:dyDescent="0.2">
      <c r="A993" s="575">
        <v>992</v>
      </c>
      <c r="B993" s="88" t="s">
        <v>1234</v>
      </c>
    </row>
    <row r="994" spans="1:2" x14ac:dyDescent="0.2">
      <c r="A994" s="575">
        <v>993</v>
      </c>
      <c r="B994" s="88" t="s">
        <v>326</v>
      </c>
    </row>
    <row r="995" spans="1:2" x14ac:dyDescent="0.2">
      <c r="A995" s="575">
        <v>994</v>
      </c>
      <c r="B995" s="88" t="s">
        <v>725</v>
      </c>
    </row>
    <row r="996" spans="1:2" x14ac:dyDescent="0.2">
      <c r="A996" s="575">
        <v>995</v>
      </c>
      <c r="B996" s="88" t="s">
        <v>493</v>
      </c>
    </row>
    <row r="997" spans="1:2" x14ac:dyDescent="0.2">
      <c r="A997" s="575">
        <v>996</v>
      </c>
      <c r="B997" s="88" t="s">
        <v>726</v>
      </c>
    </row>
    <row r="998" spans="1:2" x14ac:dyDescent="0.2">
      <c r="A998" s="575">
        <v>997</v>
      </c>
      <c r="B998" s="88" t="s">
        <v>494</v>
      </c>
    </row>
    <row r="999" spans="1:2" x14ac:dyDescent="0.2">
      <c r="A999" s="575">
        <v>998</v>
      </c>
      <c r="B999" s="88" t="s">
        <v>327</v>
      </c>
    </row>
    <row r="1000" spans="1:2" x14ac:dyDescent="0.2">
      <c r="A1000" s="575">
        <v>999</v>
      </c>
      <c r="B1000" s="88" t="s">
        <v>1235</v>
      </c>
    </row>
    <row r="1001" spans="1:2" x14ac:dyDescent="0.2">
      <c r="A1001" s="575">
        <v>1000</v>
      </c>
      <c r="B1001" s="88" t="s">
        <v>328</v>
      </c>
    </row>
    <row r="1002" spans="1:2" x14ac:dyDescent="0.2">
      <c r="A1002" s="575">
        <v>1001</v>
      </c>
      <c r="B1002" s="88" t="s">
        <v>765</v>
      </c>
    </row>
    <row r="1003" spans="1:2" x14ac:dyDescent="0.2">
      <c r="A1003" s="575">
        <v>1002</v>
      </c>
      <c r="B1003" s="88" t="s">
        <v>329</v>
      </c>
    </row>
    <row r="1004" spans="1:2" x14ac:dyDescent="0.2">
      <c r="A1004" s="575">
        <v>1003</v>
      </c>
      <c r="B1004" s="88" t="s">
        <v>1360</v>
      </c>
    </row>
    <row r="1005" spans="1:2" x14ac:dyDescent="0.2">
      <c r="A1005" s="575">
        <v>1004</v>
      </c>
      <c r="B1005" s="88" t="s">
        <v>766</v>
      </c>
    </row>
    <row r="1006" spans="1:2" x14ac:dyDescent="0.2">
      <c r="A1006" s="575">
        <v>1005</v>
      </c>
      <c r="B1006" s="88" t="s">
        <v>1359</v>
      </c>
    </row>
    <row r="1007" spans="1:2" x14ac:dyDescent="0.2">
      <c r="A1007" s="575">
        <v>1006</v>
      </c>
      <c r="B1007" s="88" t="s">
        <v>755</v>
      </c>
    </row>
    <row r="1008" spans="1:2" x14ac:dyDescent="0.2">
      <c r="A1008" s="575">
        <v>1007</v>
      </c>
      <c r="B1008" s="88" t="s">
        <v>767</v>
      </c>
    </row>
    <row r="1009" spans="1:2" x14ac:dyDescent="0.2">
      <c r="A1009" s="575">
        <v>1008</v>
      </c>
      <c r="B1009" s="88" t="s">
        <v>756</v>
      </c>
    </row>
    <row r="1010" spans="1:2" x14ac:dyDescent="0.2">
      <c r="A1010" s="575">
        <v>1009</v>
      </c>
      <c r="B1010" s="88" t="s">
        <v>768</v>
      </c>
    </row>
    <row r="1011" spans="1:2" x14ac:dyDescent="0.2">
      <c r="A1011" s="575">
        <v>1010</v>
      </c>
      <c r="B1011" s="88" t="s">
        <v>335</v>
      </c>
    </row>
    <row r="1012" spans="1:2" x14ac:dyDescent="0.2">
      <c r="A1012" s="575">
        <v>1011</v>
      </c>
      <c r="B1012" s="88" t="s">
        <v>769</v>
      </c>
    </row>
    <row r="1013" spans="1:2" x14ac:dyDescent="0.2">
      <c r="A1013" s="575">
        <v>1012</v>
      </c>
      <c r="B1013" s="88" t="s">
        <v>336</v>
      </c>
    </row>
    <row r="1014" spans="1:2" x14ac:dyDescent="0.2">
      <c r="A1014" s="575">
        <v>1013</v>
      </c>
      <c r="B1014" s="88" t="s">
        <v>770</v>
      </c>
    </row>
    <row r="1015" spans="1:2" x14ac:dyDescent="0.2">
      <c r="A1015" s="575">
        <v>1014</v>
      </c>
      <c r="B1015" s="573" t="s">
        <v>316</v>
      </c>
    </row>
    <row r="1016" spans="1:2" x14ac:dyDescent="0.2">
      <c r="A1016" s="575">
        <v>1015</v>
      </c>
      <c r="B1016" s="88" t="s">
        <v>754</v>
      </c>
    </row>
    <row r="1017" spans="1:2" x14ac:dyDescent="0.2">
      <c r="A1017" s="575">
        <v>1016</v>
      </c>
      <c r="B1017" s="88" t="s">
        <v>1242</v>
      </c>
    </row>
    <row r="1018" spans="1:2" x14ac:dyDescent="0.2">
      <c r="A1018" s="575">
        <v>1017</v>
      </c>
      <c r="B1018" s="88" t="s">
        <v>771</v>
      </c>
    </row>
    <row r="1019" spans="1:2" x14ac:dyDescent="0.2">
      <c r="A1019" s="575">
        <v>1018</v>
      </c>
      <c r="B1019" s="88" t="s">
        <v>772</v>
      </c>
    </row>
    <row r="1020" spans="1:2" x14ac:dyDescent="0.2">
      <c r="A1020" s="575">
        <v>1019</v>
      </c>
      <c r="B1020" s="88" t="s">
        <v>774</v>
      </c>
    </row>
    <row r="1021" spans="1:2" x14ac:dyDescent="0.2">
      <c r="A1021" s="575">
        <v>1020</v>
      </c>
      <c r="B1021" s="88" t="s">
        <v>834</v>
      </c>
    </row>
    <row r="1022" spans="1:2" x14ac:dyDescent="0.2">
      <c r="A1022" s="575">
        <v>1021</v>
      </c>
      <c r="B1022" s="88" t="s">
        <v>773</v>
      </c>
    </row>
    <row r="1023" spans="1:2" x14ac:dyDescent="0.2">
      <c r="A1023" s="575">
        <v>1022</v>
      </c>
      <c r="B1023" s="88" t="s">
        <v>775</v>
      </c>
    </row>
    <row r="1024" spans="1:2" x14ac:dyDescent="0.2">
      <c r="A1024" s="575">
        <v>1023</v>
      </c>
      <c r="B1024" s="88" t="s">
        <v>1361</v>
      </c>
    </row>
    <row r="1025" spans="1:2" x14ac:dyDescent="0.2">
      <c r="A1025" s="575">
        <v>1024</v>
      </c>
      <c r="B1025" s="88" t="s">
        <v>776</v>
      </c>
    </row>
    <row r="1026" spans="1:2" x14ac:dyDescent="0.2">
      <c r="A1026" s="575">
        <v>1025</v>
      </c>
      <c r="B1026" s="88" t="s">
        <v>781</v>
      </c>
    </row>
    <row r="1027" spans="1:2" x14ac:dyDescent="0.2">
      <c r="A1027" s="575">
        <v>1026</v>
      </c>
      <c r="B1027" s="88" t="s">
        <v>777</v>
      </c>
    </row>
    <row r="1028" spans="1:2" x14ac:dyDescent="0.2">
      <c r="A1028" s="575">
        <v>1027</v>
      </c>
      <c r="B1028" s="88" t="s">
        <v>1236</v>
      </c>
    </row>
    <row r="1029" spans="1:2" x14ac:dyDescent="0.2">
      <c r="A1029" s="575">
        <v>1028</v>
      </c>
      <c r="B1029" s="88" t="s">
        <v>778</v>
      </c>
    </row>
    <row r="1030" spans="1:2" x14ac:dyDescent="0.2">
      <c r="A1030" s="575">
        <v>1029</v>
      </c>
      <c r="B1030" s="88" t="s">
        <v>781</v>
      </c>
    </row>
    <row r="1031" spans="1:2" x14ac:dyDescent="0.2">
      <c r="A1031" s="575">
        <v>1030</v>
      </c>
      <c r="B1031" s="88" t="s">
        <v>779</v>
      </c>
    </row>
    <row r="1032" spans="1:2" x14ac:dyDescent="0.2">
      <c r="A1032" s="575">
        <v>1031</v>
      </c>
      <c r="B1032" s="88" t="s">
        <v>782</v>
      </c>
    </row>
    <row r="1033" spans="1:2" x14ac:dyDescent="0.2">
      <c r="A1033" s="575">
        <v>1032</v>
      </c>
      <c r="B1033" s="88" t="s">
        <v>780</v>
      </c>
    </row>
    <row r="1034" spans="1:2" x14ac:dyDescent="0.2">
      <c r="A1034" s="575">
        <v>1033</v>
      </c>
      <c r="B1034" s="88" t="s">
        <v>783</v>
      </c>
    </row>
    <row r="1035" spans="1:2" x14ac:dyDescent="0.2">
      <c r="A1035" s="575">
        <v>1034</v>
      </c>
      <c r="B1035" s="88" t="s">
        <v>784</v>
      </c>
    </row>
    <row r="1036" spans="1:2" x14ac:dyDescent="0.2">
      <c r="A1036" s="575">
        <v>1035</v>
      </c>
      <c r="B1036" s="88" t="s">
        <v>1362</v>
      </c>
    </row>
    <row r="1037" spans="1:2" x14ac:dyDescent="0.2">
      <c r="A1037" s="575">
        <v>1036</v>
      </c>
      <c r="B1037" s="88" t="s">
        <v>785</v>
      </c>
    </row>
    <row r="1038" spans="1:2" x14ac:dyDescent="0.2">
      <c r="A1038" s="575">
        <v>1037</v>
      </c>
      <c r="B1038" s="88" t="s">
        <v>786</v>
      </c>
    </row>
    <row r="1039" spans="1:2" x14ac:dyDescent="0.2">
      <c r="A1039" s="575">
        <v>1038</v>
      </c>
      <c r="B1039" s="88" t="s">
        <v>1363</v>
      </c>
    </row>
    <row r="1040" spans="1:2" x14ac:dyDescent="0.2">
      <c r="A1040" s="575">
        <v>1039</v>
      </c>
      <c r="B1040" s="88" t="s">
        <v>787</v>
      </c>
    </row>
    <row r="1041" spans="1:2" x14ac:dyDescent="0.2">
      <c r="A1041" s="575">
        <v>1040</v>
      </c>
      <c r="B1041" s="88" t="s">
        <v>1364</v>
      </c>
    </row>
    <row r="1042" spans="1:2" x14ac:dyDescent="0.2">
      <c r="A1042" s="575">
        <v>1041</v>
      </c>
      <c r="B1042" s="88" t="s">
        <v>788</v>
      </c>
    </row>
    <row r="1043" spans="1:2" x14ac:dyDescent="0.2">
      <c r="A1043" s="575">
        <v>1042</v>
      </c>
      <c r="B1043" s="88" t="s">
        <v>1365</v>
      </c>
    </row>
    <row r="1044" spans="1:2" x14ac:dyDescent="0.2">
      <c r="A1044" s="575">
        <v>1043</v>
      </c>
      <c r="B1044" s="88" t="s">
        <v>789</v>
      </c>
    </row>
    <row r="1045" spans="1:2" x14ac:dyDescent="0.2">
      <c r="A1045" s="575">
        <v>1044</v>
      </c>
      <c r="B1045" s="88" t="s">
        <v>790</v>
      </c>
    </row>
    <row r="1046" spans="1:2" x14ac:dyDescent="0.2">
      <c r="A1046" s="575">
        <v>1045</v>
      </c>
      <c r="B1046" s="88" t="s">
        <v>1366</v>
      </c>
    </row>
    <row r="1047" spans="1:2" x14ac:dyDescent="0.2">
      <c r="A1047" s="575">
        <v>1046</v>
      </c>
      <c r="B1047" s="88" t="s">
        <v>330</v>
      </c>
    </row>
    <row r="1048" spans="1:2" x14ac:dyDescent="0.2">
      <c r="A1048" s="575">
        <v>1047</v>
      </c>
      <c r="B1048" s="88" t="s">
        <v>1241</v>
      </c>
    </row>
    <row r="1049" spans="1:2" x14ac:dyDescent="0.2">
      <c r="A1049" s="575">
        <v>1048</v>
      </c>
      <c r="B1049" s="88" t="s">
        <v>331</v>
      </c>
    </row>
    <row r="1050" spans="1:2" x14ac:dyDescent="0.2">
      <c r="A1050" s="575">
        <v>1049</v>
      </c>
      <c r="B1050" s="88" t="s">
        <v>1086</v>
      </c>
    </row>
    <row r="1051" spans="1:2" x14ac:dyDescent="0.2">
      <c r="A1051" s="575">
        <v>1050</v>
      </c>
      <c r="B1051" s="88" t="s">
        <v>1243</v>
      </c>
    </row>
    <row r="1052" spans="1:2" x14ac:dyDescent="0.2">
      <c r="A1052" s="575">
        <v>1051</v>
      </c>
      <c r="B1052" s="88" t="s">
        <v>332</v>
      </c>
    </row>
    <row r="1053" spans="1:2" x14ac:dyDescent="0.2">
      <c r="A1053" s="575">
        <v>1052</v>
      </c>
      <c r="B1053" s="88" t="s">
        <v>1367</v>
      </c>
    </row>
    <row r="1054" spans="1:2" x14ac:dyDescent="0.2">
      <c r="A1054" s="575">
        <v>1053</v>
      </c>
      <c r="B1054" s="88" t="s">
        <v>333</v>
      </c>
    </row>
    <row r="1055" spans="1:2" x14ac:dyDescent="0.2">
      <c r="A1055" s="575">
        <v>1054</v>
      </c>
      <c r="B1055" s="88" t="s">
        <v>1087</v>
      </c>
    </row>
    <row r="1056" spans="1:2" x14ac:dyDescent="0.2">
      <c r="A1056" s="575">
        <v>1055</v>
      </c>
      <c r="B1056" s="88" t="s">
        <v>334</v>
      </c>
    </row>
    <row r="1057" spans="1:2" x14ac:dyDescent="0.2">
      <c r="A1057" s="575">
        <v>1056</v>
      </c>
      <c r="B1057" s="88" t="s">
        <v>1088</v>
      </c>
    </row>
    <row r="1058" spans="1:2" x14ac:dyDescent="0.2">
      <c r="A1058" s="575">
        <v>1057</v>
      </c>
      <c r="B1058" s="88" t="s">
        <v>1171</v>
      </c>
    </row>
    <row r="1059" spans="1:2" x14ac:dyDescent="0.2">
      <c r="A1059" s="575">
        <v>1058</v>
      </c>
      <c r="B1059" s="572" t="s">
        <v>650</v>
      </c>
    </row>
    <row r="1060" spans="1:2" x14ac:dyDescent="0.2">
      <c r="A1060" s="575">
        <v>1059</v>
      </c>
      <c r="B1060" s="572" t="s">
        <v>383</v>
      </c>
    </row>
    <row r="1061" spans="1:2" x14ac:dyDescent="0.2">
      <c r="A1061" s="575">
        <v>1060</v>
      </c>
      <c r="B1061" s="153" t="s">
        <v>531</v>
      </c>
    </row>
    <row r="1062" spans="1:2" ht="51" x14ac:dyDescent="0.2">
      <c r="A1062" s="575">
        <v>1061</v>
      </c>
      <c r="B1062" s="153" t="s">
        <v>1211</v>
      </c>
    </row>
    <row r="1063" spans="1:2" ht="38.25" x14ac:dyDescent="0.2">
      <c r="A1063" s="575">
        <v>1062</v>
      </c>
      <c r="B1063" s="153" t="s">
        <v>866</v>
      </c>
    </row>
    <row r="1064" spans="1:2" ht="63.75" x14ac:dyDescent="0.2">
      <c r="A1064" s="575">
        <v>1063</v>
      </c>
      <c r="B1064" s="153" t="s">
        <v>865</v>
      </c>
    </row>
    <row r="1065" spans="1:2" ht="25.5" x14ac:dyDescent="0.2">
      <c r="A1065" s="575">
        <v>1064</v>
      </c>
      <c r="B1065" s="153" t="s">
        <v>1537</v>
      </c>
    </row>
    <row r="1066" spans="1:2" x14ac:dyDescent="0.2">
      <c r="A1066" s="575">
        <v>1065</v>
      </c>
      <c r="B1066" s="153" t="s">
        <v>1276</v>
      </c>
    </row>
    <row r="1067" spans="1:2" x14ac:dyDescent="0.2">
      <c r="A1067" s="575">
        <v>1066</v>
      </c>
      <c r="B1067" s="153" t="s">
        <v>1277</v>
      </c>
    </row>
    <row r="1068" spans="1:2" ht="25.5" x14ac:dyDescent="0.2">
      <c r="A1068" s="575">
        <v>1067</v>
      </c>
      <c r="B1068" s="153" t="s">
        <v>1094</v>
      </c>
    </row>
    <row r="1069" spans="1:2" ht="114.75" x14ac:dyDescent="0.2">
      <c r="A1069" s="575">
        <v>1068</v>
      </c>
      <c r="B1069" s="153" t="s">
        <v>867</v>
      </c>
    </row>
    <row r="1070" spans="1:2" x14ac:dyDescent="0.2">
      <c r="A1070" s="575">
        <v>1069</v>
      </c>
      <c r="B1070" s="153" t="s">
        <v>1595</v>
      </c>
    </row>
    <row r="1071" spans="1:2" ht="51" x14ac:dyDescent="0.2">
      <c r="A1071" s="575">
        <v>1070</v>
      </c>
      <c r="B1071" s="153" t="s">
        <v>1092</v>
      </c>
    </row>
    <row r="1072" spans="1:2" x14ac:dyDescent="0.2">
      <c r="A1072" s="575">
        <v>1071</v>
      </c>
      <c r="B1072" s="153" t="s">
        <v>1278</v>
      </c>
    </row>
    <row r="1073" spans="1:2" ht="25.5" x14ac:dyDescent="0.2">
      <c r="A1073" s="575">
        <v>1072</v>
      </c>
      <c r="B1073" s="153" t="s">
        <v>1093</v>
      </c>
    </row>
    <row r="1074" spans="1:2" ht="25.5" x14ac:dyDescent="0.2">
      <c r="A1074" s="575">
        <v>1073</v>
      </c>
      <c r="B1074" s="153" t="s">
        <v>1279</v>
      </c>
    </row>
    <row r="1075" spans="1:2" ht="25.5" x14ac:dyDescent="0.2">
      <c r="A1075" s="575">
        <v>1074</v>
      </c>
      <c r="B1075" s="153" t="s">
        <v>1095</v>
      </c>
    </row>
    <row r="1076" spans="1:2" ht="38.25" x14ac:dyDescent="0.2">
      <c r="A1076" s="575">
        <v>1075</v>
      </c>
      <c r="B1076" s="153" t="s">
        <v>835</v>
      </c>
    </row>
    <row r="1077" spans="1:2" x14ac:dyDescent="0.2">
      <c r="A1077" s="575">
        <v>1076</v>
      </c>
      <c r="B1077" s="153" t="s">
        <v>1096</v>
      </c>
    </row>
    <row r="1078" spans="1:2" x14ac:dyDescent="0.2">
      <c r="A1078" s="575">
        <v>1077</v>
      </c>
      <c r="B1078" s="153" t="s">
        <v>1282</v>
      </c>
    </row>
    <row r="1079" spans="1:2" x14ac:dyDescent="0.2">
      <c r="A1079" s="575">
        <v>1078</v>
      </c>
      <c r="B1079" s="153" t="s">
        <v>1097</v>
      </c>
    </row>
    <row r="1080" spans="1:2" ht="102" x14ac:dyDescent="0.2">
      <c r="A1080" s="575">
        <v>1079</v>
      </c>
      <c r="B1080" s="153" t="s">
        <v>832</v>
      </c>
    </row>
    <row r="1081" spans="1:2" x14ac:dyDescent="0.2">
      <c r="A1081" s="575">
        <v>1080</v>
      </c>
      <c r="B1081" s="576" t="s">
        <v>1280</v>
      </c>
    </row>
    <row r="1082" spans="1:2" x14ac:dyDescent="0.2">
      <c r="A1082" s="575">
        <v>1081</v>
      </c>
      <c r="B1082" s="153" t="s">
        <v>1281</v>
      </c>
    </row>
    <row r="1083" spans="1:2" x14ac:dyDescent="0.2">
      <c r="A1083" s="575">
        <v>1082</v>
      </c>
      <c r="B1083" s="153" t="s">
        <v>802</v>
      </c>
    </row>
    <row r="1084" spans="1:2" ht="38.25" x14ac:dyDescent="0.2">
      <c r="A1084" s="575">
        <v>1083</v>
      </c>
      <c r="B1084" s="153" t="s">
        <v>803</v>
      </c>
    </row>
    <row r="1085" spans="1:2" x14ac:dyDescent="0.2">
      <c r="A1085" s="575">
        <v>1084</v>
      </c>
      <c r="B1085" s="153" t="s">
        <v>1283</v>
      </c>
    </row>
    <row r="1086" spans="1:2" ht="38.25" x14ac:dyDescent="0.2">
      <c r="A1086" s="575">
        <v>1085</v>
      </c>
      <c r="B1086" s="153" t="s">
        <v>822</v>
      </c>
    </row>
    <row r="1087" spans="1:2" ht="38.25" x14ac:dyDescent="0.2">
      <c r="A1087" s="575">
        <v>1086</v>
      </c>
      <c r="B1087" s="153" t="s">
        <v>823</v>
      </c>
    </row>
    <row r="1088" spans="1:2" ht="51" x14ac:dyDescent="0.2">
      <c r="A1088" s="575">
        <v>1087</v>
      </c>
      <c r="B1088" s="153" t="s">
        <v>202</v>
      </c>
    </row>
    <row r="1089" spans="1:2" x14ac:dyDescent="0.2">
      <c r="A1089" s="575">
        <v>1088</v>
      </c>
      <c r="B1089" s="153" t="s">
        <v>824</v>
      </c>
    </row>
    <row r="1090" spans="1:2" ht="38.25" x14ac:dyDescent="0.2">
      <c r="A1090" s="575">
        <v>1089</v>
      </c>
      <c r="B1090" s="153" t="s">
        <v>825</v>
      </c>
    </row>
    <row r="1091" spans="1:2" ht="25.5" x14ac:dyDescent="0.2">
      <c r="A1091" s="575">
        <v>1090</v>
      </c>
      <c r="B1091" s="153" t="s">
        <v>1163</v>
      </c>
    </row>
    <row r="1092" spans="1:2" ht="38.25" x14ac:dyDescent="0.2">
      <c r="A1092" s="575">
        <v>1091</v>
      </c>
      <c r="B1092" s="153" t="s">
        <v>1164</v>
      </c>
    </row>
    <row r="1093" spans="1:2" x14ac:dyDescent="0.2">
      <c r="A1093" s="575">
        <v>1092</v>
      </c>
      <c r="B1093" s="153" t="s">
        <v>1598</v>
      </c>
    </row>
    <row r="1094" spans="1:2" ht="63.75" x14ac:dyDescent="0.2">
      <c r="A1094" s="575">
        <v>1093</v>
      </c>
      <c r="B1094" s="153" t="s">
        <v>1596</v>
      </c>
    </row>
    <row r="1095" spans="1:2" ht="63.75" x14ac:dyDescent="0.2">
      <c r="A1095" s="575">
        <v>1094</v>
      </c>
      <c r="B1095" s="153" t="s">
        <v>1597</v>
      </c>
    </row>
    <row r="1096" spans="1:2" x14ac:dyDescent="0.2">
      <c r="A1096" s="575">
        <v>1095</v>
      </c>
      <c r="B1096" s="153" t="s">
        <v>1599</v>
      </c>
    </row>
    <row r="1097" spans="1:2" x14ac:dyDescent="0.2">
      <c r="A1097" s="575">
        <v>1096</v>
      </c>
      <c r="B1097" s="153" t="s">
        <v>530</v>
      </c>
    </row>
    <row r="1098" spans="1:2" ht="38.25" x14ac:dyDescent="0.2">
      <c r="A1098" s="575">
        <v>1097</v>
      </c>
      <c r="B1098" s="153" t="s">
        <v>1170</v>
      </c>
    </row>
    <row r="1099" spans="1:2" x14ac:dyDescent="0.2">
      <c r="A1099" s="575">
        <v>1098</v>
      </c>
      <c r="B1099" s="153" t="s">
        <v>1595</v>
      </c>
    </row>
    <row r="1100" spans="1:2" ht="76.5" x14ac:dyDescent="0.2">
      <c r="A1100" s="575">
        <v>1099</v>
      </c>
      <c r="B1100" s="153" t="s">
        <v>1043</v>
      </c>
    </row>
    <row r="1101" spans="1:2" x14ac:dyDescent="0.2">
      <c r="A1101" s="575">
        <v>1100</v>
      </c>
      <c r="B1101" s="153" t="s">
        <v>857</v>
      </c>
    </row>
    <row r="1102" spans="1:2" ht="25.5" x14ac:dyDescent="0.2">
      <c r="A1102" s="575">
        <v>1101</v>
      </c>
      <c r="B1102" s="153" t="s">
        <v>211</v>
      </c>
    </row>
    <row r="1103" spans="1:2" ht="102" x14ac:dyDescent="0.2">
      <c r="A1103" s="575">
        <v>1102</v>
      </c>
      <c r="B1103" s="153" t="s">
        <v>203</v>
      </c>
    </row>
    <row r="1104" spans="1:2" ht="38.25" x14ac:dyDescent="0.2">
      <c r="A1104" s="575">
        <v>1103</v>
      </c>
      <c r="B1104" s="153" t="s">
        <v>210</v>
      </c>
    </row>
    <row r="1105" spans="1:2" ht="140.25" x14ac:dyDescent="0.2">
      <c r="A1105" s="575">
        <v>1104</v>
      </c>
      <c r="B1105" s="153" t="s">
        <v>1169</v>
      </c>
    </row>
    <row r="1106" spans="1:2" x14ac:dyDescent="0.2">
      <c r="A1106" s="575">
        <v>1105</v>
      </c>
      <c r="B1106" s="153" t="s">
        <v>533</v>
      </c>
    </row>
    <row r="1107" spans="1:2" ht="63.75" x14ac:dyDescent="0.2">
      <c r="A1107" s="575">
        <v>1106</v>
      </c>
      <c r="B1107" s="153" t="s">
        <v>1525</v>
      </c>
    </row>
    <row r="1108" spans="1:2" x14ac:dyDescent="0.2">
      <c r="A1108" s="575">
        <v>1107</v>
      </c>
      <c r="B1108" s="572" t="s">
        <v>1521</v>
      </c>
    </row>
    <row r="1109" spans="1:2" x14ac:dyDescent="0.2">
      <c r="A1109" s="575">
        <v>1108</v>
      </c>
      <c r="B1109" s="150" t="s">
        <v>1600</v>
      </c>
    </row>
    <row r="1110" spans="1:2" ht="25.5" x14ac:dyDescent="0.2">
      <c r="A1110" s="575">
        <v>1109</v>
      </c>
      <c r="B1110" s="153" t="s">
        <v>869</v>
      </c>
    </row>
    <row r="1111" spans="1:2" ht="63.75" x14ac:dyDescent="0.2">
      <c r="A1111" s="575">
        <v>1110</v>
      </c>
      <c r="B1111" s="150" t="s">
        <v>868</v>
      </c>
    </row>
    <row r="1112" spans="1:2" ht="38.25" x14ac:dyDescent="0.2">
      <c r="A1112" s="575">
        <v>1111</v>
      </c>
      <c r="B1112" s="153" t="s">
        <v>1275</v>
      </c>
    </row>
    <row r="1113" spans="1:2" x14ac:dyDescent="0.2">
      <c r="A1113" s="575">
        <v>1112</v>
      </c>
      <c r="B1113" s="572" t="s">
        <v>1330</v>
      </c>
    </row>
    <row r="1114" spans="1:2" ht="63.75" x14ac:dyDescent="0.2">
      <c r="A1114" s="575">
        <v>1113</v>
      </c>
      <c r="B1114" s="153" t="s">
        <v>1172</v>
      </c>
    </row>
    <row r="1115" spans="1:2" ht="51" x14ac:dyDescent="0.2">
      <c r="A1115" s="575">
        <v>1114</v>
      </c>
      <c r="B1115" s="153" t="s">
        <v>871</v>
      </c>
    </row>
    <row r="1116" spans="1:2" ht="102" x14ac:dyDescent="0.2">
      <c r="A1116" s="575">
        <v>1115</v>
      </c>
      <c r="B1116" s="150" t="s">
        <v>870</v>
      </c>
    </row>
    <row r="1117" spans="1:2" ht="25.5" x14ac:dyDescent="0.2">
      <c r="A1117" s="575">
        <v>1116</v>
      </c>
      <c r="B1117" s="153" t="s">
        <v>1173</v>
      </c>
    </row>
    <row r="1118" spans="1:2" x14ac:dyDescent="0.2">
      <c r="A1118" s="575">
        <v>1117</v>
      </c>
      <c r="B1118" s="572" t="s">
        <v>1168</v>
      </c>
    </row>
    <row r="1119" spans="1:2" ht="38.25" x14ac:dyDescent="0.2">
      <c r="A1119" s="575">
        <v>1118</v>
      </c>
      <c r="B1119" s="153" t="s">
        <v>1540</v>
      </c>
    </row>
    <row r="1120" spans="1:2" x14ac:dyDescent="0.2">
      <c r="A1120" s="575">
        <v>1119</v>
      </c>
      <c r="B1120" s="153" t="s">
        <v>1541</v>
      </c>
    </row>
    <row r="1121" spans="1:2" x14ac:dyDescent="0.2">
      <c r="A1121" s="575">
        <v>1120</v>
      </c>
      <c r="B1121" s="153" t="s">
        <v>1538</v>
      </c>
    </row>
    <row r="1122" spans="1:2" ht="38.25" x14ac:dyDescent="0.2">
      <c r="A1122" s="575">
        <v>1121</v>
      </c>
      <c r="B1122" s="153" t="s">
        <v>1539</v>
      </c>
    </row>
    <row r="1123" spans="1:2" ht="63.75" x14ac:dyDescent="0.2">
      <c r="A1123" s="575">
        <v>1122</v>
      </c>
      <c r="B1123" s="153" t="s">
        <v>724</v>
      </c>
    </row>
    <row r="1124" spans="1:2" ht="25.5" x14ac:dyDescent="0.2">
      <c r="A1124" s="575">
        <v>1123</v>
      </c>
      <c r="B1124" s="577" t="s">
        <v>1044</v>
      </c>
    </row>
    <row r="1125" spans="1:2" x14ac:dyDescent="0.2">
      <c r="A1125" s="575">
        <v>1124</v>
      </c>
      <c r="B1125" s="153" t="s">
        <v>1046</v>
      </c>
    </row>
    <row r="1126" spans="1:2" x14ac:dyDescent="0.2">
      <c r="A1126" s="575">
        <v>1125</v>
      </c>
      <c r="B1126" s="577" t="s">
        <v>1045</v>
      </c>
    </row>
    <row r="1127" spans="1:2" x14ac:dyDescent="0.2">
      <c r="A1127" s="575">
        <v>1126</v>
      </c>
      <c r="B1127" s="153" t="s">
        <v>1602</v>
      </c>
    </row>
    <row r="1128" spans="1:2" x14ac:dyDescent="0.2">
      <c r="A1128" s="575">
        <v>1127</v>
      </c>
      <c r="B1128" s="153" t="s">
        <v>1526</v>
      </c>
    </row>
    <row r="1129" spans="1:2" ht="102" x14ac:dyDescent="0.2">
      <c r="A1129" s="575">
        <v>1128</v>
      </c>
      <c r="B1129" s="153" t="s">
        <v>877</v>
      </c>
    </row>
    <row r="1130" spans="1:2" ht="140.25" x14ac:dyDescent="0.2">
      <c r="A1130" s="575">
        <v>1129</v>
      </c>
      <c r="B1130" s="153" t="s">
        <v>1527</v>
      </c>
    </row>
    <row r="1131" spans="1:2" x14ac:dyDescent="0.2">
      <c r="A1131" s="575">
        <v>1130</v>
      </c>
      <c r="B1131" s="572" t="s">
        <v>1560</v>
      </c>
    </row>
    <row r="1132" spans="1:2" x14ac:dyDescent="0.2">
      <c r="A1132" s="575">
        <v>1131</v>
      </c>
      <c r="B1132" s="573" t="s">
        <v>625</v>
      </c>
    </row>
    <row r="1133" spans="1:2" x14ac:dyDescent="0.2">
      <c r="A1133" s="575">
        <v>1132</v>
      </c>
      <c r="B1133" s="574" t="s">
        <v>818</v>
      </c>
    </row>
    <row r="1134" spans="1:2" x14ac:dyDescent="0.2">
      <c r="A1134" s="575">
        <v>1133</v>
      </c>
      <c r="B1134" s="572" t="s">
        <v>628</v>
      </c>
    </row>
    <row r="1135" spans="1:2" x14ac:dyDescent="0.2">
      <c r="A1135" s="575">
        <v>1134</v>
      </c>
      <c r="B1135" s="88" t="s">
        <v>1261</v>
      </c>
    </row>
    <row r="1136" spans="1:2" x14ac:dyDescent="0.2">
      <c r="A1136" s="575">
        <v>1135</v>
      </c>
      <c r="B1136" s="73" t="s">
        <v>1287</v>
      </c>
    </row>
    <row r="1137" spans="1:3" x14ac:dyDescent="0.2">
      <c r="A1137" s="575">
        <v>1136</v>
      </c>
      <c r="B1137" s="88" t="s">
        <v>630</v>
      </c>
    </row>
    <row r="1138" spans="1:3" x14ac:dyDescent="0.2">
      <c r="A1138" s="575">
        <v>1137</v>
      </c>
      <c r="B1138" s="88" t="s">
        <v>1262</v>
      </c>
    </row>
    <row r="1139" spans="1:3" x14ac:dyDescent="0.2">
      <c r="A1139" s="575">
        <v>1138</v>
      </c>
      <c r="B1139" s="88" t="s">
        <v>1285</v>
      </c>
    </row>
    <row r="1140" spans="1:3" x14ac:dyDescent="0.2">
      <c r="A1140" s="575">
        <v>1139</v>
      </c>
      <c r="B1140" s="88" t="s">
        <v>510</v>
      </c>
    </row>
    <row r="1141" spans="1:3" x14ac:dyDescent="0.2">
      <c r="A1141" s="575">
        <v>1140</v>
      </c>
      <c r="B1141" s="88" t="s">
        <v>1284</v>
      </c>
    </row>
    <row r="1142" spans="1:3" x14ac:dyDescent="0.2">
      <c r="A1142" s="575">
        <v>1141</v>
      </c>
      <c r="B1142" s="88" t="s">
        <v>1286</v>
      </c>
    </row>
    <row r="1143" spans="1:3" x14ac:dyDescent="0.2">
      <c r="A1143" s="575">
        <v>1142</v>
      </c>
      <c r="B1143" s="88" t="s">
        <v>512</v>
      </c>
    </row>
    <row r="1144" spans="1:3" x14ac:dyDescent="0.2">
      <c r="A1144" s="575">
        <v>1143</v>
      </c>
      <c r="B1144" s="572" t="s">
        <v>629</v>
      </c>
    </row>
    <row r="1145" spans="1:3" x14ac:dyDescent="0.2">
      <c r="A1145" s="575">
        <v>1144</v>
      </c>
      <c r="B1145" s="73" t="s">
        <v>631</v>
      </c>
    </row>
    <row r="1146" spans="1:3" x14ac:dyDescent="0.2">
      <c r="A1146" s="575">
        <v>1145</v>
      </c>
      <c r="B1146" s="88" t="s">
        <v>378</v>
      </c>
    </row>
    <row r="1147" spans="1:3" ht="25.5" x14ac:dyDescent="0.2">
      <c r="A1147" s="575">
        <v>1146</v>
      </c>
      <c r="B1147" s="532" t="s">
        <v>158</v>
      </c>
    </row>
    <row r="1148" spans="1:3" ht="54" x14ac:dyDescent="0.2">
      <c r="A1148" s="575">
        <v>1147</v>
      </c>
      <c r="B1148" s="588" t="s">
        <v>157</v>
      </c>
    </row>
    <row r="1149" spans="1:3" x14ac:dyDescent="0.2">
      <c r="A1149" s="575">
        <v>1148</v>
      </c>
      <c r="B1149" s="129" t="s">
        <v>170</v>
      </c>
    </row>
    <row r="1150" spans="1:3" x14ac:dyDescent="0.2">
      <c r="A1150" s="575">
        <v>1149</v>
      </c>
      <c r="B1150" t="s">
        <v>280</v>
      </c>
    </row>
    <row r="1151" spans="1:3" x14ac:dyDescent="0.2">
      <c r="A1151" s="674">
        <v>1500</v>
      </c>
      <c r="B1151" s="675" t="s">
        <v>1740</v>
      </c>
      <c r="C1151" s="675" t="s">
        <v>1740</v>
      </c>
    </row>
    <row r="1152" spans="1:3" x14ac:dyDescent="0.2">
      <c r="A1152" s="584">
        <v>1501</v>
      </c>
      <c r="B1152" s="671" t="s">
        <v>1665</v>
      </c>
    </row>
    <row r="1153" spans="1:3" x14ac:dyDescent="0.2">
      <c r="A1153" s="584">
        <v>1502</v>
      </c>
      <c r="B1153" s="672" t="s">
        <v>1609</v>
      </c>
      <c r="C1153" t="s">
        <v>1749</v>
      </c>
    </row>
    <row r="1154" spans="1:3" x14ac:dyDescent="0.2">
      <c r="A1154" s="584">
        <v>1503</v>
      </c>
      <c r="B1154" s="669" t="s">
        <v>1658</v>
      </c>
      <c r="C1154" t="s">
        <v>1750</v>
      </c>
    </row>
    <row r="1155" spans="1:3" ht="38.25" x14ac:dyDescent="0.2">
      <c r="A1155" s="584">
        <v>1504</v>
      </c>
      <c r="B1155" s="532" t="s">
        <v>1744</v>
      </c>
    </row>
    <row r="1156" spans="1:3" x14ac:dyDescent="0.2">
      <c r="A1156" s="584">
        <v>1505</v>
      </c>
      <c r="B1156" s="676" t="s">
        <v>1743</v>
      </c>
      <c r="C1156" t="s">
        <v>1750</v>
      </c>
    </row>
    <row r="1157" spans="1:3" ht="72" x14ac:dyDescent="0.2">
      <c r="A1157" s="584">
        <v>1506</v>
      </c>
      <c r="B1157" s="588" t="s">
        <v>1742</v>
      </c>
    </row>
    <row r="1158" spans="1:3" x14ac:dyDescent="0.2">
      <c r="A1158" s="584">
        <v>1507</v>
      </c>
      <c r="B1158" s="669" t="s">
        <v>1720</v>
      </c>
      <c r="C1158" t="s">
        <v>1750</v>
      </c>
    </row>
    <row r="1159" spans="1:3" ht="25.5" x14ac:dyDescent="0.2">
      <c r="A1159" s="584">
        <v>1508</v>
      </c>
      <c r="B1159" s="532" t="s">
        <v>1721</v>
      </c>
    </row>
    <row r="1160" spans="1:3" ht="33.75" x14ac:dyDescent="0.2">
      <c r="A1160" s="584">
        <v>1509</v>
      </c>
      <c r="B1160" s="71" t="s">
        <v>1681</v>
      </c>
    </row>
    <row r="1161" spans="1:3" ht="22.5" x14ac:dyDescent="0.2">
      <c r="A1161" s="584">
        <v>1510</v>
      </c>
      <c r="B1161" s="71" t="s">
        <v>1719</v>
      </c>
    </row>
    <row r="1162" spans="1:3" x14ac:dyDescent="0.2">
      <c r="A1162" s="584">
        <v>1511</v>
      </c>
      <c r="B1162" s="413" t="s">
        <v>1718</v>
      </c>
    </row>
    <row r="1163" spans="1:3" x14ac:dyDescent="0.2">
      <c r="A1163" s="584">
        <v>1512</v>
      </c>
      <c r="B1163" s="415" t="s">
        <v>1723</v>
      </c>
    </row>
    <row r="1164" spans="1:3" x14ac:dyDescent="0.2">
      <c r="A1164" s="584">
        <v>1513</v>
      </c>
      <c r="B1164" s="129" t="s">
        <v>1722</v>
      </c>
    </row>
    <row r="1165" spans="1:3" ht="33.75" x14ac:dyDescent="0.2">
      <c r="A1165" s="584">
        <v>1514</v>
      </c>
      <c r="B1165" s="67" t="s">
        <v>1732</v>
      </c>
    </row>
    <row r="1166" spans="1:3" ht="33.75" x14ac:dyDescent="0.2">
      <c r="A1166" s="584">
        <v>1515</v>
      </c>
      <c r="B1166" s="67" t="s">
        <v>1684</v>
      </c>
    </row>
    <row r="1167" spans="1:3" ht="25.5" x14ac:dyDescent="0.2">
      <c r="A1167" s="584">
        <v>1516</v>
      </c>
      <c r="B1167" s="691" t="s">
        <v>1695</v>
      </c>
    </row>
    <row r="1168" spans="1:3" ht="22.5" x14ac:dyDescent="0.2">
      <c r="A1168" s="584">
        <v>1517</v>
      </c>
      <c r="B1168" s="67" t="s">
        <v>1696</v>
      </c>
    </row>
    <row r="1169" spans="1:2" ht="25.5" x14ac:dyDescent="0.2">
      <c r="A1169" s="584">
        <v>1518</v>
      </c>
      <c r="B1169" s="691" t="s">
        <v>1697</v>
      </c>
    </row>
    <row r="1170" spans="1:2" ht="22.5" x14ac:dyDescent="0.2">
      <c r="A1170" s="584">
        <v>1519</v>
      </c>
      <c r="B1170" s="67" t="s">
        <v>1698</v>
      </c>
    </row>
    <row r="1171" spans="1:2" ht="22.5" x14ac:dyDescent="0.2">
      <c r="A1171" s="584">
        <v>1520</v>
      </c>
      <c r="B1171" s="67" t="s">
        <v>1717</v>
      </c>
    </row>
    <row r="1172" spans="1:2" x14ac:dyDescent="0.2">
      <c r="A1172" s="584">
        <v>1521</v>
      </c>
      <c r="B1172" s="558" t="s">
        <v>1724</v>
      </c>
    </row>
    <row r="1173" spans="1:2" x14ac:dyDescent="0.2">
      <c r="A1173" s="584">
        <v>1522</v>
      </c>
      <c r="B1173" s="508" t="s">
        <v>1625</v>
      </c>
    </row>
    <row r="1174" spans="1:2" x14ac:dyDescent="0.2">
      <c r="A1174" s="584">
        <v>1523</v>
      </c>
      <c r="B1174" s="67" t="s">
        <v>1626</v>
      </c>
    </row>
    <row r="1175" spans="1:2" ht="22.5" x14ac:dyDescent="0.2">
      <c r="A1175" s="584">
        <v>1524</v>
      </c>
      <c r="B1175" s="507" t="s">
        <v>1630</v>
      </c>
    </row>
    <row r="1176" spans="1:2" x14ac:dyDescent="0.2">
      <c r="A1176" s="584">
        <v>1525</v>
      </c>
      <c r="B1176" s="558" t="s">
        <v>1725</v>
      </c>
    </row>
    <row r="1177" spans="1:2" x14ac:dyDescent="0.2">
      <c r="A1177" s="584">
        <v>1526</v>
      </c>
      <c r="B1177" s="508" t="s">
        <v>1627</v>
      </c>
    </row>
    <row r="1178" spans="1:2" ht="22.5" x14ac:dyDescent="0.2">
      <c r="A1178" s="584">
        <v>1527</v>
      </c>
      <c r="B1178" s="67" t="s">
        <v>1629</v>
      </c>
    </row>
    <row r="1179" spans="1:2" ht="22.5" x14ac:dyDescent="0.2">
      <c r="A1179" s="584">
        <v>1528</v>
      </c>
      <c r="B1179" s="67" t="s">
        <v>1628</v>
      </c>
    </row>
    <row r="1180" spans="1:2" ht="22.5" x14ac:dyDescent="0.2">
      <c r="A1180" s="584">
        <v>1529</v>
      </c>
      <c r="B1180" s="507" t="s">
        <v>1631</v>
      </c>
    </row>
    <row r="1181" spans="1:2" x14ac:dyDescent="0.2">
      <c r="A1181" s="584">
        <v>1530</v>
      </c>
      <c r="B1181" s="558" t="s">
        <v>1726</v>
      </c>
    </row>
    <row r="1182" spans="1:2" x14ac:dyDescent="0.2">
      <c r="A1182" s="584">
        <v>1531</v>
      </c>
      <c r="B1182" s="557" t="s">
        <v>1727</v>
      </c>
    </row>
    <row r="1183" spans="1:2" x14ac:dyDescent="0.2">
      <c r="A1183" s="584">
        <v>1532</v>
      </c>
      <c r="B1183" s="558" t="s">
        <v>1728</v>
      </c>
    </row>
    <row r="1184" spans="1:2" ht="45" x14ac:dyDescent="0.2">
      <c r="A1184" s="584">
        <v>1533</v>
      </c>
      <c r="B1184" s="508" t="s">
        <v>1644</v>
      </c>
    </row>
    <row r="1185" spans="1:2" ht="45" x14ac:dyDescent="0.2">
      <c r="A1185" s="584">
        <v>1534</v>
      </c>
      <c r="B1185" s="507" t="s">
        <v>1635</v>
      </c>
    </row>
    <row r="1186" spans="1:2" x14ac:dyDescent="0.2">
      <c r="A1186" s="584">
        <v>1535</v>
      </c>
      <c r="B1186" s="558" t="s">
        <v>1729</v>
      </c>
    </row>
    <row r="1187" spans="1:2" x14ac:dyDescent="0.2">
      <c r="A1187" s="584">
        <v>1536</v>
      </c>
      <c r="B1187" s="67" t="s">
        <v>1639</v>
      </c>
    </row>
    <row r="1188" spans="1:2" ht="22.5" x14ac:dyDescent="0.2">
      <c r="A1188" s="584">
        <v>1537</v>
      </c>
      <c r="B1188" s="67" t="s">
        <v>1633</v>
      </c>
    </row>
    <row r="1189" spans="1:2" x14ac:dyDescent="0.2">
      <c r="A1189" s="584">
        <v>1538</v>
      </c>
      <c r="B1189" s="67" t="s">
        <v>1634</v>
      </c>
    </row>
    <row r="1190" spans="1:2" ht="22.5" x14ac:dyDescent="0.2">
      <c r="A1190" s="584">
        <v>1539</v>
      </c>
      <c r="B1190" s="67" t="s">
        <v>1640</v>
      </c>
    </row>
    <row r="1191" spans="1:2" ht="33.75" x14ac:dyDescent="0.2">
      <c r="A1191" s="584">
        <v>1540</v>
      </c>
      <c r="B1191" s="507" t="s">
        <v>1678</v>
      </c>
    </row>
    <row r="1192" spans="1:2" x14ac:dyDescent="0.2">
      <c r="A1192" s="584">
        <v>1541</v>
      </c>
      <c r="B1192" s="558" t="s">
        <v>1730</v>
      </c>
    </row>
    <row r="1193" spans="1:2" ht="33.75" x14ac:dyDescent="0.2">
      <c r="A1193" s="584">
        <v>1542</v>
      </c>
      <c r="B1193" s="67" t="s">
        <v>1623</v>
      </c>
    </row>
    <row r="1194" spans="1:2" ht="33.75" x14ac:dyDescent="0.2">
      <c r="A1194" s="584">
        <v>1543</v>
      </c>
      <c r="B1194" s="67" t="s">
        <v>1624</v>
      </c>
    </row>
    <row r="1195" spans="1:2" ht="22.5" x14ac:dyDescent="0.2">
      <c r="A1195" s="584">
        <v>1544</v>
      </c>
      <c r="B1195" s="507" t="s">
        <v>1645</v>
      </c>
    </row>
    <row r="1196" spans="1:2" x14ac:dyDescent="0.2">
      <c r="A1196" s="584">
        <v>1545</v>
      </c>
      <c r="B1196" s="560" t="s">
        <v>1731</v>
      </c>
    </row>
    <row r="1197" spans="1:2" ht="22.5" x14ac:dyDescent="0.2">
      <c r="A1197" s="584">
        <v>1546</v>
      </c>
      <c r="B1197" s="507" t="s">
        <v>1632</v>
      </c>
    </row>
    <row r="1198" spans="1:2" x14ac:dyDescent="0.2">
      <c r="A1198" s="584">
        <v>1547</v>
      </c>
      <c r="B1198" s="129" t="s">
        <v>1691</v>
      </c>
    </row>
    <row r="1199" spans="1:2" ht="33.75" x14ac:dyDescent="0.2">
      <c r="A1199" s="584">
        <v>1548</v>
      </c>
      <c r="B1199" s="67" t="s">
        <v>1692</v>
      </c>
    </row>
    <row r="1200" spans="1:2" ht="21" x14ac:dyDescent="0.2">
      <c r="A1200" s="584">
        <v>1549</v>
      </c>
      <c r="B1200" s="488" t="s">
        <v>1668</v>
      </c>
    </row>
    <row r="1201" spans="1:2" x14ac:dyDescent="0.2">
      <c r="A1201" s="584">
        <v>1550</v>
      </c>
      <c r="B1201" s="563" t="s">
        <v>1699</v>
      </c>
    </row>
    <row r="1202" spans="1:2" x14ac:dyDescent="0.2">
      <c r="A1202" s="584">
        <v>1551</v>
      </c>
      <c r="B1202" s="129" t="s">
        <v>1694</v>
      </c>
    </row>
    <row r="1203" spans="1:2" ht="63.75" x14ac:dyDescent="0.2">
      <c r="A1203" s="584">
        <v>1552</v>
      </c>
      <c r="B1203" s="129" t="s">
        <v>1733</v>
      </c>
    </row>
    <row r="1204" spans="1:2" ht="36" x14ac:dyDescent="0.2">
      <c r="A1204" s="584">
        <v>1553</v>
      </c>
      <c r="B1204" s="216" t="s">
        <v>1674</v>
      </c>
    </row>
    <row r="1205" spans="1:2" ht="15.75" x14ac:dyDescent="0.2">
      <c r="A1205" s="584">
        <v>1554</v>
      </c>
      <c r="B1205" s="670" t="s">
        <v>1679</v>
      </c>
    </row>
    <row r="1206" spans="1:2" ht="51" x14ac:dyDescent="0.2">
      <c r="A1206" s="584">
        <v>1555</v>
      </c>
      <c r="B1206" s="485" t="s">
        <v>1701</v>
      </c>
    </row>
    <row r="1207" spans="1:2" ht="25.5" x14ac:dyDescent="0.2">
      <c r="A1207" s="584">
        <v>1556</v>
      </c>
      <c r="B1207" s="691" t="s">
        <v>1669</v>
      </c>
    </row>
    <row r="1208" spans="1:2" ht="22.5" x14ac:dyDescent="0.2">
      <c r="A1208" s="584">
        <v>1557</v>
      </c>
      <c r="B1208" s="67" t="s">
        <v>1702</v>
      </c>
    </row>
    <row r="1209" spans="1:2" ht="45" x14ac:dyDescent="0.2">
      <c r="A1209" s="584">
        <v>1558</v>
      </c>
      <c r="B1209" s="67" t="s">
        <v>1703</v>
      </c>
    </row>
    <row r="1210" spans="1:2" ht="22.5" x14ac:dyDescent="0.2">
      <c r="A1210" s="584">
        <v>1559</v>
      </c>
      <c r="B1210" s="507" t="s">
        <v>1670</v>
      </c>
    </row>
    <row r="1211" spans="1:2" ht="33.75" x14ac:dyDescent="0.2">
      <c r="A1211" s="584">
        <v>1560</v>
      </c>
      <c r="B1211" s="506" t="s">
        <v>1671</v>
      </c>
    </row>
    <row r="1212" spans="1:2" ht="33.75" x14ac:dyDescent="0.2">
      <c r="A1212" s="584">
        <v>1561</v>
      </c>
      <c r="B1212" s="506" t="s">
        <v>1672</v>
      </c>
    </row>
    <row r="1213" spans="1:2" ht="31.5" x14ac:dyDescent="0.2">
      <c r="A1213" s="584">
        <v>1562</v>
      </c>
      <c r="B1213" s="670" t="s">
        <v>1680</v>
      </c>
    </row>
    <row r="1214" spans="1:2" ht="45" x14ac:dyDescent="0.2">
      <c r="A1214" s="584">
        <v>1563</v>
      </c>
      <c r="B1214" s="452" t="s">
        <v>1704</v>
      </c>
    </row>
    <row r="1215" spans="1:2" ht="63.75" x14ac:dyDescent="0.2">
      <c r="A1215" s="584">
        <v>1564</v>
      </c>
      <c r="B1215" s="129" t="s">
        <v>1673</v>
      </c>
    </row>
    <row r="1216" spans="1:2" ht="25.5" x14ac:dyDescent="0.2">
      <c r="A1216" s="584">
        <v>1565</v>
      </c>
      <c r="B1216" s="129" t="s">
        <v>1676</v>
      </c>
    </row>
    <row r="1217" spans="1:4" ht="51" x14ac:dyDescent="0.2">
      <c r="A1217" s="584">
        <v>1566</v>
      </c>
      <c r="B1217" s="129" t="s">
        <v>1675</v>
      </c>
    </row>
    <row r="1218" spans="1:4" x14ac:dyDescent="0.2">
      <c r="A1218" s="584">
        <v>1567</v>
      </c>
      <c r="B1218" s="129" t="s">
        <v>1706</v>
      </c>
    </row>
    <row r="1219" spans="1:4" x14ac:dyDescent="0.2">
      <c r="A1219" s="584">
        <v>1568</v>
      </c>
      <c r="B1219" s="437" t="s">
        <v>1714</v>
      </c>
    </row>
    <row r="1220" spans="1:4" ht="33.75" x14ac:dyDescent="0.2">
      <c r="A1220" s="584">
        <v>1569</v>
      </c>
      <c r="B1220" s="452" t="s">
        <v>1715</v>
      </c>
    </row>
    <row r="1221" spans="1:4" ht="22.5" x14ac:dyDescent="0.2">
      <c r="A1221" s="584">
        <v>1570</v>
      </c>
      <c r="B1221" s="452" t="s">
        <v>1705</v>
      </c>
    </row>
    <row r="1222" spans="1:4" x14ac:dyDescent="0.2">
      <c r="A1222" s="584">
        <v>1571</v>
      </c>
      <c r="B1222" s="437" t="s">
        <v>1747</v>
      </c>
    </row>
    <row r="1223" spans="1:4" x14ac:dyDescent="0.2">
      <c r="A1223" s="584">
        <v>1572</v>
      </c>
      <c r="B1223" s="452" t="s">
        <v>1712</v>
      </c>
    </row>
    <row r="1224" spans="1:4" ht="22.5" x14ac:dyDescent="0.2">
      <c r="A1224" s="584">
        <v>1573</v>
      </c>
      <c r="B1224" s="452" t="s">
        <v>1713</v>
      </c>
    </row>
    <row r="1225" spans="1:4" ht="33.75" x14ac:dyDescent="0.2">
      <c r="A1225" s="584">
        <v>1574</v>
      </c>
      <c r="B1225" s="452" t="s">
        <v>1748</v>
      </c>
      <c r="D1225" t="s">
        <v>1894</v>
      </c>
    </row>
    <row r="1226" spans="1:4" ht="25.5" x14ac:dyDescent="0.2">
      <c r="A1226" s="584">
        <v>1575</v>
      </c>
      <c r="B1226" s="129" t="s">
        <v>1677</v>
      </c>
    </row>
    <row r="1227" spans="1:4" ht="25.5" x14ac:dyDescent="0.2">
      <c r="A1227" s="584">
        <v>1576</v>
      </c>
      <c r="B1227" s="129" t="s">
        <v>1659</v>
      </c>
    </row>
    <row r="1228" spans="1:4" ht="38.25" x14ac:dyDescent="0.2">
      <c r="A1228" s="584">
        <v>1577</v>
      </c>
      <c r="B1228" s="129" t="s">
        <v>1660</v>
      </c>
    </row>
    <row r="1229" spans="1:4" ht="38.25" x14ac:dyDescent="0.2">
      <c r="A1229" s="584">
        <v>1578</v>
      </c>
      <c r="B1229" s="129" t="s">
        <v>1661</v>
      </c>
    </row>
    <row r="1230" spans="1:4" ht="38.25" x14ac:dyDescent="0.2">
      <c r="A1230" s="584">
        <v>1579</v>
      </c>
      <c r="B1230" s="129" t="s">
        <v>1662</v>
      </c>
    </row>
    <row r="1231" spans="1:4" ht="25.5" x14ac:dyDescent="0.2">
      <c r="A1231" s="584">
        <v>1580</v>
      </c>
      <c r="B1231" s="129" t="s">
        <v>1663</v>
      </c>
    </row>
    <row r="1232" spans="1:4" ht="25.5" x14ac:dyDescent="0.2">
      <c r="A1232" s="584">
        <v>1581</v>
      </c>
      <c r="B1232" s="129" t="s">
        <v>1664</v>
      </c>
    </row>
    <row r="1233" spans="1:2" ht="25.5" x14ac:dyDescent="0.2">
      <c r="A1233" s="584">
        <v>1582</v>
      </c>
      <c r="B1233" s="129" t="s">
        <v>1688</v>
      </c>
    </row>
    <row r="1234" spans="1:2" ht="33.75" x14ac:dyDescent="0.2">
      <c r="A1234" s="584">
        <v>1583</v>
      </c>
      <c r="B1234" s="452" t="s">
        <v>1689</v>
      </c>
    </row>
    <row r="1235" spans="1:2" ht="22.5" x14ac:dyDescent="0.2">
      <c r="A1235" s="584">
        <v>1584</v>
      </c>
      <c r="B1235" s="452" t="s">
        <v>1690</v>
      </c>
    </row>
    <row r="1236" spans="1:2" x14ac:dyDescent="0.2">
      <c r="A1236" s="584">
        <v>1585</v>
      </c>
      <c r="B1236" s="452" t="s">
        <v>1716</v>
      </c>
    </row>
    <row r="1237" spans="1:2" ht="26.25" x14ac:dyDescent="0.4">
      <c r="A1237" s="584">
        <v>1586</v>
      </c>
      <c r="B1237" s="595" t="s">
        <v>1606</v>
      </c>
    </row>
    <row r="1238" spans="1:2" ht="26.25" x14ac:dyDescent="0.4">
      <c r="A1238" s="584">
        <v>1587</v>
      </c>
      <c r="B1238" s="595" t="s">
        <v>1607</v>
      </c>
    </row>
    <row r="1239" spans="1:2" ht="26.25" x14ac:dyDescent="0.4">
      <c r="A1239" s="584">
        <v>1588</v>
      </c>
      <c r="B1239" s="595" t="s">
        <v>1608</v>
      </c>
    </row>
    <row r="1240" spans="1:2" ht="26.25" x14ac:dyDescent="0.4">
      <c r="A1240" s="584">
        <v>1589</v>
      </c>
      <c r="B1240" s="595" t="s">
        <v>1735</v>
      </c>
    </row>
    <row r="1241" spans="1:2" x14ac:dyDescent="0.2">
      <c r="A1241" s="584">
        <v>1590</v>
      </c>
      <c r="B1241" s="88" t="s">
        <v>1643</v>
      </c>
    </row>
    <row r="1242" spans="1:2" x14ac:dyDescent="0.2">
      <c r="A1242" s="584">
        <v>1591</v>
      </c>
      <c r="B1242" s="454" t="s">
        <v>1700</v>
      </c>
    </row>
    <row r="1243" spans="1:2" x14ac:dyDescent="0.2">
      <c r="A1243" s="584">
        <v>1592</v>
      </c>
      <c r="B1243" s="454" t="s">
        <v>1666</v>
      </c>
    </row>
    <row r="1244" spans="1:2" x14ac:dyDescent="0.2">
      <c r="A1244" s="584">
        <v>1593</v>
      </c>
      <c r="B1244" s="454" t="s">
        <v>1667</v>
      </c>
    </row>
    <row r="1245" spans="1:2" x14ac:dyDescent="0.2">
      <c r="A1245" s="584">
        <v>1594</v>
      </c>
      <c r="B1245" s="88" t="s">
        <v>1707</v>
      </c>
    </row>
    <row r="1246" spans="1:2" x14ac:dyDescent="0.2">
      <c r="A1246" s="584">
        <v>1595</v>
      </c>
      <c r="B1246" s="88" t="s">
        <v>1708</v>
      </c>
    </row>
    <row r="1247" spans="1:2" x14ac:dyDescent="0.2">
      <c r="A1247" s="584">
        <v>1596</v>
      </c>
      <c r="B1247" s="88" t="s">
        <v>1709</v>
      </c>
    </row>
    <row r="1248" spans="1:2" x14ac:dyDescent="0.2">
      <c r="A1248" s="584">
        <v>1597</v>
      </c>
      <c r="B1248" s="88" t="s">
        <v>1710</v>
      </c>
    </row>
    <row r="1249" spans="1:2" x14ac:dyDescent="0.2">
      <c r="A1249" s="584">
        <v>1598</v>
      </c>
      <c r="B1249" s="73" t="s">
        <v>1686</v>
      </c>
    </row>
    <row r="1250" spans="1:2" x14ac:dyDescent="0.2">
      <c r="A1250" s="584">
        <v>1599</v>
      </c>
      <c r="B1250" s="73" t="s">
        <v>1687</v>
      </c>
    </row>
    <row r="1251" spans="1:2" x14ac:dyDescent="0.2">
      <c r="A1251" s="584">
        <v>1600</v>
      </c>
      <c r="B1251" s="88" t="s">
        <v>150</v>
      </c>
    </row>
    <row r="1252" spans="1:2" x14ac:dyDescent="0.2">
      <c r="A1252" s="584">
        <v>1601</v>
      </c>
      <c r="B1252" s="88" t="s">
        <v>151</v>
      </c>
    </row>
    <row r="1253" spans="1:2" x14ac:dyDescent="0.2">
      <c r="A1253" s="584">
        <v>1602</v>
      </c>
      <c r="B1253" s="88" t="s">
        <v>152</v>
      </c>
    </row>
    <row r="1254" spans="1:2" x14ac:dyDescent="0.2">
      <c r="A1254" s="584">
        <v>1603</v>
      </c>
      <c r="B1254" s="88" t="s">
        <v>153</v>
      </c>
    </row>
    <row r="1255" spans="1:2" x14ac:dyDescent="0.2">
      <c r="A1255" s="584">
        <v>1604</v>
      </c>
      <c r="B1255" s="88" t="s">
        <v>154</v>
      </c>
    </row>
    <row r="1256" spans="1:2" x14ac:dyDescent="0.2">
      <c r="A1256" s="584">
        <v>1605</v>
      </c>
      <c r="B1256" s="88" t="s">
        <v>1621</v>
      </c>
    </row>
    <row r="1257" spans="1:2" x14ac:dyDescent="0.2">
      <c r="A1257" s="584">
        <v>1606</v>
      </c>
      <c r="B1257" s="88" t="s">
        <v>1622</v>
      </c>
    </row>
    <row r="1258" spans="1:2" x14ac:dyDescent="0.2">
      <c r="A1258" s="584">
        <v>1607</v>
      </c>
      <c r="B1258" s="673" t="s">
        <v>1647</v>
      </c>
    </row>
    <row r="1259" spans="1:2" x14ac:dyDescent="0.2">
      <c r="A1259" s="584">
        <v>1608</v>
      </c>
      <c r="B1259" s="673" t="s">
        <v>1611</v>
      </c>
    </row>
    <row r="1260" spans="1:2" x14ac:dyDescent="0.2">
      <c r="A1260" s="584">
        <v>1609</v>
      </c>
      <c r="B1260" s="673" t="s">
        <v>1648</v>
      </c>
    </row>
    <row r="1261" spans="1:2" x14ac:dyDescent="0.2">
      <c r="A1261" s="584">
        <v>1610</v>
      </c>
      <c r="B1261" s="673" t="s">
        <v>1620</v>
      </c>
    </row>
    <row r="1262" spans="1:2" x14ac:dyDescent="0.2">
      <c r="A1262" s="584">
        <v>1611</v>
      </c>
      <c r="B1262" s="88" t="s">
        <v>1649</v>
      </c>
    </row>
    <row r="1263" spans="1:2" x14ac:dyDescent="0.2">
      <c r="A1263" s="584">
        <v>1612</v>
      </c>
      <c r="B1263" s="153" t="s">
        <v>1637</v>
      </c>
    </row>
    <row r="1264" spans="1:2" x14ac:dyDescent="0.2">
      <c r="A1264" s="584">
        <v>1613</v>
      </c>
      <c r="B1264" s="153" t="s">
        <v>1636</v>
      </c>
    </row>
    <row r="1265" spans="1:4" x14ac:dyDescent="0.2">
      <c r="A1265" s="584">
        <v>1614</v>
      </c>
      <c r="B1265" s="572" t="s">
        <v>1638</v>
      </c>
      <c r="D1265" t="s">
        <v>1895</v>
      </c>
    </row>
    <row r="1266" spans="1:4" x14ac:dyDescent="0.2">
      <c r="A1266" s="584">
        <v>1615</v>
      </c>
      <c r="B1266" s="153" t="s">
        <v>1641</v>
      </c>
    </row>
    <row r="1267" spans="1:4" x14ac:dyDescent="0.2">
      <c r="A1267" s="584">
        <v>1616</v>
      </c>
      <c r="B1267" s="572" t="s">
        <v>1642</v>
      </c>
      <c r="D1267" t="s">
        <v>1896</v>
      </c>
    </row>
    <row r="1268" spans="1:4" x14ac:dyDescent="0.2">
      <c r="A1268" s="584">
        <v>1617</v>
      </c>
      <c r="B1268" s="673" t="s">
        <v>1652</v>
      </c>
    </row>
    <row r="1269" spans="1:4" x14ac:dyDescent="0.2">
      <c r="A1269" s="584">
        <v>1618</v>
      </c>
      <c r="B1269" s="673" t="s">
        <v>1653</v>
      </c>
    </row>
    <row r="1270" spans="1:4" x14ac:dyDescent="0.2">
      <c r="A1270" s="584">
        <v>1619</v>
      </c>
      <c r="B1270" s="673" t="s">
        <v>1654</v>
      </c>
    </row>
    <row r="1271" spans="1:4" x14ac:dyDescent="0.2">
      <c r="A1271" s="584">
        <v>1620</v>
      </c>
      <c r="B1271" s="673" t="s">
        <v>1650</v>
      </c>
    </row>
    <row r="1272" spans="1:4" x14ac:dyDescent="0.2">
      <c r="A1272" s="584">
        <v>1621</v>
      </c>
      <c r="B1272" t="s">
        <v>1741</v>
      </c>
    </row>
    <row r="1273" spans="1:4" ht="12.75" customHeight="1" x14ac:dyDescent="0.2">
      <c r="A1273" s="584">
        <v>1622</v>
      </c>
      <c r="B1273" s="313" t="s">
        <v>1745</v>
      </c>
      <c r="C1273" s="313"/>
    </row>
    <row r="1274" spans="1:4" x14ac:dyDescent="0.2">
      <c r="A1274" s="584">
        <v>1623</v>
      </c>
      <c r="B1274" s="17" t="s">
        <v>1752</v>
      </c>
    </row>
    <row r="1275" spans="1:4" x14ac:dyDescent="0.2">
      <c r="A1275" s="584">
        <v>1624</v>
      </c>
      <c r="B1275" s="17" t="s">
        <v>1753</v>
      </c>
    </row>
    <row r="1276" spans="1:4" x14ac:dyDescent="0.2">
      <c r="A1276" s="584">
        <v>1625</v>
      </c>
      <c r="B1276" s="677" t="s">
        <v>1754</v>
      </c>
      <c r="C1276" s="325"/>
    </row>
    <row r="1277" spans="1:4" ht="18" x14ac:dyDescent="0.2">
      <c r="A1277" s="584">
        <v>1626</v>
      </c>
      <c r="B1277" s="678" t="s">
        <v>1755</v>
      </c>
    </row>
    <row r="1278" spans="1:4" x14ac:dyDescent="0.2">
      <c r="A1278" s="584">
        <v>1627</v>
      </c>
      <c r="B1278" s="17" t="s">
        <v>1757</v>
      </c>
    </row>
    <row r="1279" spans="1:4" x14ac:dyDescent="0.2">
      <c r="A1279" s="584">
        <v>1628</v>
      </c>
      <c r="B1279" s="12" t="s">
        <v>836</v>
      </c>
    </row>
    <row r="1280" spans="1:4" x14ac:dyDescent="0.2">
      <c r="A1280" s="584">
        <v>1629</v>
      </c>
      <c r="B1280" s="12" t="s">
        <v>665</v>
      </c>
    </row>
    <row r="1281" spans="1:2" x14ac:dyDescent="0.2">
      <c r="A1281" s="584">
        <v>1630</v>
      </c>
      <c r="B1281" s="12" t="s">
        <v>664</v>
      </c>
    </row>
    <row r="1282" spans="1:2" x14ac:dyDescent="0.2">
      <c r="A1282" s="584">
        <v>1631</v>
      </c>
      <c r="B1282" s="12" t="s">
        <v>1825</v>
      </c>
    </row>
    <row r="1283" spans="1:2" x14ac:dyDescent="0.2">
      <c r="A1283" s="584">
        <v>1632</v>
      </c>
      <c r="B1283" s="12" t="s">
        <v>1824</v>
      </c>
    </row>
    <row r="1284" spans="1:2" x14ac:dyDescent="0.2">
      <c r="A1284" s="584">
        <v>1633</v>
      </c>
      <c r="B1284" s="12" t="s">
        <v>1823</v>
      </c>
    </row>
    <row r="1285" spans="1:2" x14ac:dyDescent="0.2">
      <c r="A1285" s="584">
        <v>1634</v>
      </c>
      <c r="B1285" s="12" t="s">
        <v>669</v>
      </c>
    </row>
    <row r="1286" spans="1:2" x14ac:dyDescent="0.2">
      <c r="A1286" s="584">
        <v>1635</v>
      </c>
      <c r="B1286" s="12" t="s">
        <v>1152</v>
      </c>
    </row>
    <row r="1287" spans="1:2" x14ac:dyDescent="0.2">
      <c r="A1287" s="584">
        <v>1636</v>
      </c>
      <c r="B1287" s="12" t="s">
        <v>1153</v>
      </c>
    </row>
    <row r="1288" spans="1:2" x14ac:dyDescent="0.2">
      <c r="A1288" s="584">
        <v>1637</v>
      </c>
      <c r="B1288" s="12" t="s">
        <v>1154</v>
      </c>
    </row>
    <row r="1289" spans="1:2" x14ac:dyDescent="0.2">
      <c r="A1289" s="584">
        <v>1638</v>
      </c>
      <c r="B1289" s="12" t="s">
        <v>1155</v>
      </c>
    </row>
    <row r="1290" spans="1:2" x14ac:dyDescent="0.2">
      <c r="A1290" s="584">
        <v>1639</v>
      </c>
      <c r="B1290" s="12" t="s">
        <v>1156</v>
      </c>
    </row>
    <row r="1291" spans="1:2" x14ac:dyDescent="0.2">
      <c r="A1291" s="584">
        <v>1640</v>
      </c>
      <c r="B1291" s="12" t="s">
        <v>1157</v>
      </c>
    </row>
    <row r="1292" spans="1:2" x14ac:dyDescent="0.2">
      <c r="A1292" s="584">
        <v>1641</v>
      </c>
      <c r="B1292" s="12" t="s">
        <v>1158</v>
      </c>
    </row>
    <row r="1293" spans="1:2" x14ac:dyDescent="0.2">
      <c r="A1293" s="584">
        <v>1642</v>
      </c>
      <c r="B1293" s="12" t="s">
        <v>1826</v>
      </c>
    </row>
    <row r="1294" spans="1:2" x14ac:dyDescent="0.2">
      <c r="A1294" s="584">
        <v>1643</v>
      </c>
      <c r="B1294" s="12" t="s">
        <v>1160</v>
      </c>
    </row>
    <row r="1295" spans="1:2" x14ac:dyDescent="0.2">
      <c r="A1295" s="584">
        <v>1644</v>
      </c>
      <c r="B1295" s="12" t="s">
        <v>1161</v>
      </c>
    </row>
    <row r="1296" spans="1:2" x14ac:dyDescent="0.2">
      <c r="A1296" s="584">
        <v>1645</v>
      </c>
      <c r="B1296" s="12" t="s">
        <v>1827</v>
      </c>
    </row>
    <row r="1297" spans="1:2" x14ac:dyDescent="0.2">
      <c r="A1297" s="584">
        <v>1646</v>
      </c>
      <c r="B1297" s="12" t="s">
        <v>1269</v>
      </c>
    </row>
    <row r="1298" spans="1:2" x14ac:dyDescent="0.2">
      <c r="A1298" s="584">
        <v>1647</v>
      </c>
      <c r="B1298" s="12" t="s">
        <v>681</v>
      </c>
    </row>
    <row r="1299" spans="1:2" x14ac:dyDescent="0.2">
      <c r="A1299" s="584">
        <v>1648</v>
      </c>
      <c r="B1299" s="12" t="s">
        <v>682</v>
      </c>
    </row>
    <row r="1300" spans="1:2" x14ac:dyDescent="0.2">
      <c r="A1300" s="584">
        <v>1649</v>
      </c>
      <c r="B1300" s="12" t="s">
        <v>683</v>
      </c>
    </row>
    <row r="1301" spans="1:2" x14ac:dyDescent="0.2">
      <c r="A1301" s="584">
        <v>1650</v>
      </c>
      <c r="B1301" s="12" t="s">
        <v>1010</v>
      </c>
    </row>
    <row r="1302" spans="1:2" x14ac:dyDescent="0.2">
      <c r="A1302" s="584">
        <v>1651</v>
      </c>
      <c r="B1302" s="12" t="s">
        <v>1828</v>
      </c>
    </row>
    <row r="1303" spans="1:2" x14ac:dyDescent="0.2">
      <c r="A1303" s="584">
        <v>1652</v>
      </c>
      <c r="B1303" s="12" t="s">
        <v>1012</v>
      </c>
    </row>
    <row r="1304" spans="1:2" x14ac:dyDescent="0.2">
      <c r="A1304" s="584">
        <v>1653</v>
      </c>
      <c r="B1304" s="12" t="s">
        <v>1076</v>
      </c>
    </row>
    <row r="1305" spans="1:2" x14ac:dyDescent="0.2">
      <c r="A1305" s="584">
        <v>1654</v>
      </c>
      <c r="B1305" s="12" t="s">
        <v>1829</v>
      </c>
    </row>
    <row r="1306" spans="1:2" x14ac:dyDescent="0.2">
      <c r="A1306" s="584">
        <v>1655</v>
      </c>
      <c r="B1306" s="12" t="s">
        <v>1187</v>
      </c>
    </row>
    <row r="1307" spans="1:2" x14ac:dyDescent="0.2">
      <c r="A1307" s="584">
        <v>1656</v>
      </c>
      <c r="B1307" s="17" t="s">
        <v>516</v>
      </c>
    </row>
    <row r="1308" spans="1:2" x14ac:dyDescent="0.2">
      <c r="A1308" s="584">
        <v>1657</v>
      </c>
      <c r="B1308" s="17" t="s">
        <v>1830</v>
      </c>
    </row>
    <row r="1309" spans="1:2" x14ac:dyDescent="0.2">
      <c r="A1309" s="584">
        <v>1658</v>
      </c>
      <c r="B1309" s="72" t="s">
        <v>664</v>
      </c>
    </row>
    <row r="1310" spans="1:2" x14ac:dyDescent="0.2">
      <c r="A1310" s="584">
        <v>1659</v>
      </c>
      <c r="B1310" s="72" t="s">
        <v>666</v>
      </c>
    </row>
    <row r="1311" spans="1:2" x14ac:dyDescent="0.2">
      <c r="A1311" s="584">
        <v>1660</v>
      </c>
      <c r="B1311" s="72" t="s">
        <v>1831</v>
      </c>
    </row>
    <row r="1312" spans="1:2" x14ac:dyDescent="0.2">
      <c r="A1312" s="584">
        <v>1661</v>
      </c>
      <c r="B1312" s="72" t="s">
        <v>668</v>
      </c>
    </row>
    <row r="1313" spans="1:2" x14ac:dyDescent="0.2">
      <c r="A1313" s="584">
        <v>1662</v>
      </c>
      <c r="B1313" s="72" t="s">
        <v>669</v>
      </c>
    </row>
    <row r="1314" spans="1:2" x14ac:dyDescent="0.2">
      <c r="A1314" s="584">
        <v>1663</v>
      </c>
      <c r="B1314" s="72" t="s">
        <v>670</v>
      </c>
    </row>
    <row r="1315" spans="1:2" x14ac:dyDescent="0.2">
      <c r="A1315" s="584">
        <v>1664</v>
      </c>
      <c r="B1315" s="72" t="s">
        <v>671</v>
      </c>
    </row>
    <row r="1316" spans="1:2" x14ac:dyDescent="0.2">
      <c r="A1316" s="584">
        <v>1665</v>
      </c>
      <c r="B1316" s="72" t="s">
        <v>672</v>
      </c>
    </row>
    <row r="1317" spans="1:2" x14ac:dyDescent="0.2">
      <c r="A1317" s="584">
        <v>1666</v>
      </c>
      <c r="B1317" s="72" t="s">
        <v>673</v>
      </c>
    </row>
    <row r="1318" spans="1:2" x14ac:dyDescent="0.2">
      <c r="A1318" s="584">
        <v>1667</v>
      </c>
      <c r="B1318" s="72" t="s">
        <v>674</v>
      </c>
    </row>
    <row r="1319" spans="1:2" x14ac:dyDescent="0.2">
      <c r="A1319" s="584">
        <v>1668</v>
      </c>
      <c r="B1319" s="72" t="s">
        <v>675</v>
      </c>
    </row>
    <row r="1320" spans="1:2" x14ac:dyDescent="0.2">
      <c r="A1320" s="584">
        <v>1669</v>
      </c>
      <c r="B1320" s="72" t="s">
        <v>676</v>
      </c>
    </row>
    <row r="1321" spans="1:2" x14ac:dyDescent="0.2">
      <c r="A1321" s="584">
        <v>1670</v>
      </c>
      <c r="B1321" s="72" t="s">
        <v>677</v>
      </c>
    </row>
    <row r="1322" spans="1:2" x14ac:dyDescent="0.2">
      <c r="A1322" s="584">
        <v>1671</v>
      </c>
      <c r="B1322" s="72" t="s">
        <v>678</v>
      </c>
    </row>
    <row r="1323" spans="1:2" x14ac:dyDescent="0.2">
      <c r="A1323" s="584">
        <v>1672</v>
      </c>
      <c r="B1323" s="72" t="s">
        <v>679</v>
      </c>
    </row>
    <row r="1324" spans="1:2" x14ac:dyDescent="0.2">
      <c r="A1324" s="584">
        <v>1673</v>
      </c>
      <c r="B1324" s="72" t="s">
        <v>680</v>
      </c>
    </row>
    <row r="1325" spans="1:2" x14ac:dyDescent="0.2">
      <c r="A1325" s="584">
        <v>1674</v>
      </c>
      <c r="B1325" s="72" t="s">
        <v>1269</v>
      </c>
    </row>
    <row r="1326" spans="1:2" x14ac:dyDescent="0.2">
      <c r="A1326" s="584">
        <v>1675</v>
      </c>
      <c r="B1326" s="72" t="s">
        <v>681</v>
      </c>
    </row>
    <row r="1327" spans="1:2" x14ac:dyDescent="0.2">
      <c r="A1327" s="584">
        <v>1676</v>
      </c>
      <c r="B1327" s="72" t="s">
        <v>682</v>
      </c>
    </row>
    <row r="1328" spans="1:2" x14ac:dyDescent="0.2">
      <c r="A1328" s="584">
        <v>1677</v>
      </c>
      <c r="B1328" s="72" t="s">
        <v>683</v>
      </c>
    </row>
    <row r="1329" spans="1:4" x14ac:dyDescent="0.2">
      <c r="A1329" s="584">
        <v>1678</v>
      </c>
      <c r="B1329" s="72" t="s">
        <v>1050</v>
      </c>
    </row>
    <row r="1330" spans="1:4" x14ac:dyDescent="0.2">
      <c r="A1330" s="584">
        <v>1679</v>
      </c>
      <c r="B1330" s="17" t="s">
        <v>1051</v>
      </c>
    </row>
    <row r="1331" spans="1:4" x14ac:dyDescent="0.2">
      <c r="A1331" s="584">
        <v>1680</v>
      </c>
      <c r="B1331" s="72" t="s">
        <v>1052</v>
      </c>
    </row>
    <row r="1332" spans="1:4" x14ac:dyDescent="0.2">
      <c r="A1332" s="584">
        <v>1681</v>
      </c>
      <c r="B1332" s="72" t="s">
        <v>1053</v>
      </c>
    </row>
    <row r="1333" spans="1:4" x14ac:dyDescent="0.2">
      <c r="A1333" s="584">
        <v>1682</v>
      </c>
      <c r="B1333" s="72" t="s">
        <v>1054</v>
      </c>
    </row>
    <row r="1334" spans="1:4" x14ac:dyDescent="0.2">
      <c r="A1334" s="584">
        <v>1683</v>
      </c>
      <c r="B1334" s="72" t="s">
        <v>1055</v>
      </c>
    </row>
    <row r="1335" spans="1:4" ht="36" x14ac:dyDescent="0.2">
      <c r="A1335" s="584">
        <v>1684</v>
      </c>
      <c r="B1335" s="711" t="s">
        <v>1839</v>
      </c>
      <c r="D1335" s="712" t="s">
        <v>1841</v>
      </c>
    </row>
    <row r="1336" spans="1:4" ht="76.5" x14ac:dyDescent="0.2">
      <c r="A1336" s="584">
        <v>1685</v>
      </c>
      <c r="B1336" s="486" t="s">
        <v>1814</v>
      </c>
      <c r="D1336" s="712" t="s">
        <v>1842</v>
      </c>
    </row>
    <row r="1337" spans="1:4" ht="67.5" x14ac:dyDescent="0.2">
      <c r="A1337" s="584">
        <v>1686</v>
      </c>
      <c r="B1337" s="67" t="s">
        <v>1832</v>
      </c>
      <c r="D1337" s="712" t="s">
        <v>1843</v>
      </c>
    </row>
    <row r="1338" spans="1:4" ht="52.5" x14ac:dyDescent="0.2">
      <c r="A1338" s="584">
        <v>1687</v>
      </c>
      <c r="B1338" s="488" t="s">
        <v>1836</v>
      </c>
      <c r="D1338" s="712" t="s">
        <v>1844</v>
      </c>
    </row>
    <row r="1339" spans="1:4" ht="22.5" x14ac:dyDescent="0.2">
      <c r="A1339" s="584">
        <v>1688</v>
      </c>
      <c r="B1339" s="67" t="s">
        <v>1808</v>
      </c>
      <c r="D1339" s="712" t="s">
        <v>1845</v>
      </c>
    </row>
    <row r="1340" spans="1:4" x14ac:dyDescent="0.2">
      <c r="A1340" s="584">
        <v>1689</v>
      </c>
      <c r="B1340" s="495" t="s">
        <v>1780</v>
      </c>
      <c r="D1340" s="712" t="s">
        <v>1846</v>
      </c>
    </row>
    <row r="1341" spans="1:4" ht="31.5" x14ac:dyDescent="0.2">
      <c r="A1341" s="584">
        <v>1690</v>
      </c>
      <c r="B1341" s="488" t="s">
        <v>1819</v>
      </c>
      <c r="D1341" s="712" t="s">
        <v>1847</v>
      </c>
    </row>
    <row r="1342" spans="1:4" ht="38.25" x14ac:dyDescent="0.2">
      <c r="A1342" s="584">
        <v>1691</v>
      </c>
      <c r="B1342" s="691" t="s">
        <v>1762</v>
      </c>
      <c r="D1342" s="712" t="s">
        <v>1849</v>
      </c>
    </row>
    <row r="1343" spans="1:4" ht="45" x14ac:dyDescent="0.2">
      <c r="A1343" s="584">
        <v>1692</v>
      </c>
      <c r="B1343" s="67" t="s">
        <v>1765</v>
      </c>
      <c r="D1343" s="712" t="s">
        <v>1850</v>
      </c>
    </row>
    <row r="1344" spans="1:4" ht="38.25" x14ac:dyDescent="0.2">
      <c r="A1344" s="584">
        <v>1693</v>
      </c>
      <c r="B1344" s="691" t="s">
        <v>1763</v>
      </c>
      <c r="D1344" s="712" t="s">
        <v>1851</v>
      </c>
    </row>
    <row r="1345" spans="1:4" ht="22.5" x14ac:dyDescent="0.2">
      <c r="A1345" s="584">
        <v>1694</v>
      </c>
      <c r="B1345" s="67" t="s">
        <v>1764</v>
      </c>
      <c r="D1345" s="712" t="s">
        <v>1852</v>
      </c>
    </row>
    <row r="1346" spans="1:4" ht="25.5" x14ac:dyDescent="0.2">
      <c r="A1346" s="584">
        <v>1695</v>
      </c>
      <c r="B1346" s="691" t="s">
        <v>1791</v>
      </c>
      <c r="D1346" s="712" t="s">
        <v>1853</v>
      </c>
    </row>
    <row r="1347" spans="1:4" ht="33.75" x14ac:dyDescent="0.2">
      <c r="A1347" s="584">
        <v>1696</v>
      </c>
      <c r="B1347" s="67" t="s">
        <v>1792</v>
      </c>
      <c r="D1347" s="712" t="s">
        <v>1854</v>
      </c>
    </row>
    <row r="1348" spans="1:4" ht="51" x14ac:dyDescent="0.2">
      <c r="A1348" s="584">
        <v>1697</v>
      </c>
      <c r="B1348" s="691" t="s">
        <v>1820</v>
      </c>
      <c r="D1348" s="712" t="s">
        <v>1855</v>
      </c>
    </row>
    <row r="1349" spans="1:4" ht="33.75" x14ac:dyDescent="0.2">
      <c r="A1349" s="584">
        <v>1698</v>
      </c>
      <c r="B1349" s="67" t="s">
        <v>1821</v>
      </c>
      <c r="D1349" s="712" t="s">
        <v>1856</v>
      </c>
    </row>
    <row r="1350" spans="1:4" ht="33.75" x14ac:dyDescent="0.2">
      <c r="A1350" s="584">
        <v>1699</v>
      </c>
      <c r="B1350" s="507" t="s">
        <v>1818</v>
      </c>
      <c r="D1350" s="712" t="s">
        <v>1857</v>
      </c>
    </row>
    <row r="1351" spans="1:4" ht="45" x14ac:dyDescent="0.2">
      <c r="A1351" s="584">
        <v>1700</v>
      </c>
      <c r="B1351" s="67" t="s">
        <v>1809</v>
      </c>
      <c r="D1351" s="712" t="s">
        <v>1858</v>
      </c>
    </row>
    <row r="1352" spans="1:4" x14ac:dyDescent="0.2">
      <c r="A1352" s="584">
        <v>1701</v>
      </c>
      <c r="B1352" s="560" t="s">
        <v>1758</v>
      </c>
      <c r="D1352" s="712" t="s">
        <v>1859</v>
      </c>
    </row>
    <row r="1353" spans="1:4" x14ac:dyDescent="0.2">
      <c r="A1353" s="584">
        <v>1702</v>
      </c>
      <c r="B1353" s="557" t="s">
        <v>1797</v>
      </c>
      <c r="D1353" s="712" t="s">
        <v>1860</v>
      </c>
    </row>
    <row r="1354" spans="1:4" ht="45" x14ac:dyDescent="0.2">
      <c r="A1354" s="584">
        <v>1703</v>
      </c>
      <c r="B1354" s="506" t="s">
        <v>1817</v>
      </c>
      <c r="D1354" s="712" t="s">
        <v>1861</v>
      </c>
    </row>
    <row r="1355" spans="1:4" x14ac:dyDescent="0.2">
      <c r="A1355" s="584">
        <v>1704</v>
      </c>
      <c r="B1355" s="223" t="s">
        <v>1810</v>
      </c>
      <c r="D1355" s="712" t="s">
        <v>1862</v>
      </c>
    </row>
    <row r="1356" spans="1:4" x14ac:dyDescent="0.2">
      <c r="A1356" s="584">
        <v>1705</v>
      </c>
      <c r="B1356" s="134" t="s">
        <v>1774</v>
      </c>
      <c r="D1356" s="712" t="s">
        <v>1863</v>
      </c>
    </row>
    <row r="1357" spans="1:4" ht="38.25" x14ac:dyDescent="0.2">
      <c r="A1357" s="584">
        <v>1706</v>
      </c>
      <c r="B1357" s="485" t="s">
        <v>1775</v>
      </c>
      <c r="D1357" s="712" t="s">
        <v>1867</v>
      </c>
    </row>
    <row r="1358" spans="1:4" ht="51" x14ac:dyDescent="0.2">
      <c r="A1358" s="584">
        <v>1707</v>
      </c>
      <c r="B1358" s="485" t="s">
        <v>1789</v>
      </c>
      <c r="D1358" s="712" t="s">
        <v>1868</v>
      </c>
    </row>
    <row r="1359" spans="1:4" ht="63.75" x14ac:dyDescent="0.2">
      <c r="A1359" s="584">
        <v>1708</v>
      </c>
      <c r="B1359" s="691" t="s">
        <v>1811</v>
      </c>
      <c r="D1359" s="712" t="s">
        <v>1869</v>
      </c>
    </row>
    <row r="1360" spans="1:4" ht="31.5" x14ac:dyDescent="0.2">
      <c r="A1360" s="584">
        <v>1709</v>
      </c>
      <c r="B1360" s="670" t="s">
        <v>1776</v>
      </c>
      <c r="D1360" s="712" t="s">
        <v>1870</v>
      </c>
    </row>
    <row r="1361" spans="1:4" ht="67.5" x14ac:dyDescent="0.2">
      <c r="A1361" s="584">
        <v>1710</v>
      </c>
      <c r="B1361" s="67" t="s">
        <v>1790</v>
      </c>
      <c r="D1361" s="712" t="s">
        <v>1871</v>
      </c>
    </row>
    <row r="1362" spans="1:4" x14ac:dyDescent="0.2">
      <c r="A1362" s="584">
        <v>1711</v>
      </c>
      <c r="B1362" s="68" t="s">
        <v>1782</v>
      </c>
      <c r="D1362" s="712" t="s">
        <v>1872</v>
      </c>
    </row>
    <row r="1363" spans="1:4" ht="45" x14ac:dyDescent="0.2">
      <c r="A1363" s="584">
        <v>1712</v>
      </c>
      <c r="B1363" s="67" t="s">
        <v>1837</v>
      </c>
      <c r="D1363" s="712" t="s">
        <v>1873</v>
      </c>
    </row>
    <row r="1364" spans="1:4" ht="22.5" x14ac:dyDescent="0.2">
      <c r="A1364" s="584">
        <v>1713</v>
      </c>
      <c r="B1364" s="67" t="s">
        <v>1787</v>
      </c>
      <c r="D1364" s="712" t="s">
        <v>1874</v>
      </c>
    </row>
    <row r="1365" spans="1:4" ht="45" x14ac:dyDescent="0.2">
      <c r="A1365" s="584">
        <v>1714</v>
      </c>
      <c r="B1365" s="67" t="s">
        <v>1838</v>
      </c>
      <c r="D1365" s="712" t="s">
        <v>1875</v>
      </c>
    </row>
    <row r="1366" spans="1:4" ht="25.5" x14ac:dyDescent="0.2">
      <c r="A1366" s="584">
        <v>1715</v>
      </c>
      <c r="B1366" s="691" t="s">
        <v>1783</v>
      </c>
      <c r="D1366" s="712" t="s">
        <v>1876</v>
      </c>
    </row>
    <row r="1367" spans="1:4" ht="33.75" x14ac:dyDescent="0.2">
      <c r="A1367" s="584">
        <v>1716</v>
      </c>
      <c r="B1367" s="67" t="s">
        <v>1784</v>
      </c>
      <c r="D1367" s="712" t="s">
        <v>1877</v>
      </c>
    </row>
    <row r="1368" spans="1:4" ht="38.25" x14ac:dyDescent="0.2">
      <c r="A1368" s="584">
        <v>1717</v>
      </c>
      <c r="B1368" s="691" t="s">
        <v>1834</v>
      </c>
      <c r="D1368" s="712" t="s">
        <v>1878</v>
      </c>
    </row>
    <row r="1369" spans="1:4" ht="63.75" x14ac:dyDescent="0.2">
      <c r="A1369" s="584">
        <v>1718</v>
      </c>
      <c r="B1369" s="691" t="s">
        <v>1785</v>
      </c>
      <c r="D1369" s="712" t="s">
        <v>1879</v>
      </c>
    </row>
    <row r="1370" spans="1:4" ht="38.25" x14ac:dyDescent="0.2">
      <c r="A1370" s="584">
        <v>1719</v>
      </c>
      <c r="B1370" s="691" t="s">
        <v>1786</v>
      </c>
      <c r="D1370" s="712" t="s">
        <v>1880</v>
      </c>
    </row>
    <row r="1371" spans="1:4" ht="51.75" thickBot="1" x14ac:dyDescent="0.25">
      <c r="A1371" s="584">
        <v>1720</v>
      </c>
      <c r="B1371" s="691" t="s">
        <v>1788</v>
      </c>
      <c r="D1371" s="712" t="s">
        <v>1881</v>
      </c>
    </row>
    <row r="1372" spans="1:4" x14ac:dyDescent="0.2">
      <c r="A1372" s="584">
        <v>1721</v>
      </c>
      <c r="B1372" s="540" t="s">
        <v>1798</v>
      </c>
      <c r="D1372" s="712" t="s">
        <v>1882</v>
      </c>
    </row>
    <row r="1373" spans="1:4" ht="36" x14ac:dyDescent="0.2">
      <c r="A1373" s="584">
        <v>1722</v>
      </c>
      <c r="B1373" s="216" t="s">
        <v>1802</v>
      </c>
      <c r="D1373" s="712" t="s">
        <v>1883</v>
      </c>
    </row>
    <row r="1374" spans="1:4" ht="31.5" x14ac:dyDescent="0.2">
      <c r="A1374" s="584">
        <v>1723</v>
      </c>
      <c r="B1374" s="670" t="s">
        <v>1800</v>
      </c>
      <c r="D1374" s="712" t="s">
        <v>1884</v>
      </c>
    </row>
    <row r="1375" spans="1:4" ht="51" x14ac:dyDescent="0.2">
      <c r="A1375" s="584">
        <v>1724</v>
      </c>
      <c r="B1375" s="485" t="s">
        <v>1801</v>
      </c>
      <c r="D1375" s="712" t="s">
        <v>1885</v>
      </c>
    </row>
    <row r="1376" spans="1:4" ht="25.5" x14ac:dyDescent="0.2">
      <c r="A1376" s="584">
        <v>1725</v>
      </c>
      <c r="B1376" s="691" t="s">
        <v>1803</v>
      </c>
      <c r="D1376" s="712" t="s">
        <v>1886</v>
      </c>
    </row>
    <row r="1377" spans="1:4" ht="22.5" x14ac:dyDescent="0.2">
      <c r="A1377" s="584">
        <v>1726</v>
      </c>
      <c r="B1377" s="67" t="s">
        <v>1806</v>
      </c>
      <c r="D1377" s="712" t="s">
        <v>1887</v>
      </c>
    </row>
    <row r="1378" spans="1:4" ht="45" x14ac:dyDescent="0.2">
      <c r="A1378" s="584">
        <v>1727</v>
      </c>
      <c r="B1378" s="67" t="s">
        <v>1807</v>
      </c>
      <c r="D1378" s="712" t="s">
        <v>1888</v>
      </c>
    </row>
    <row r="1379" spans="1:4" ht="63.75" x14ac:dyDescent="0.2">
      <c r="A1379" s="584">
        <v>1728</v>
      </c>
      <c r="B1379" s="691" t="s">
        <v>1805</v>
      </c>
      <c r="D1379" s="712" t="s">
        <v>1891</v>
      </c>
    </row>
    <row r="1380" spans="1:4" ht="38.25" x14ac:dyDescent="0.2">
      <c r="A1380" s="584">
        <v>1729</v>
      </c>
      <c r="B1380" s="691" t="s">
        <v>1804</v>
      </c>
      <c r="D1380" s="712" t="s">
        <v>1892</v>
      </c>
    </row>
    <row r="1381" spans="1:4" ht="22.5" x14ac:dyDescent="0.2">
      <c r="A1381" s="584">
        <v>1730</v>
      </c>
      <c r="B1381" s="452" t="s">
        <v>1835</v>
      </c>
      <c r="D1381" s="712" t="s">
        <v>1893</v>
      </c>
    </row>
  </sheetData>
  <sheetProtection sheet="1" objects="1" scenarios="1" formatCells="0" formatColumns="0" formatRows="0"/>
  <phoneticPr fontId="73" type="noConversion"/>
  <conditionalFormatting sqref="B340:B346">
    <cfRule type="expression" dxfId="28" priority="28" stopIfTrue="1">
      <formula>$K$27</formula>
    </cfRule>
  </conditionalFormatting>
  <conditionalFormatting sqref="B442">
    <cfRule type="expression" dxfId="27" priority="29" stopIfTrue="1">
      <formula>NOT(ISERROR(SEARCH("!",B442)))</formula>
    </cfRule>
  </conditionalFormatting>
  <conditionalFormatting sqref="B963:B972 B974:B1057 B1059 B1132">
    <cfRule type="expression" dxfId="26" priority="31" stopIfTrue="1">
      <formula>NOT(ISERROR(SEARCH("!",B963)))</formula>
    </cfRule>
  </conditionalFormatting>
  <conditionalFormatting sqref="B973 B1058 B1061:B1126 B1131">
    <cfRule type="expression" dxfId="25" priority="32" stopIfTrue="1">
      <formula>$L973</formula>
    </cfRule>
  </conditionalFormatting>
  <conditionalFormatting sqref="B1257">
    <cfRule type="expression" dxfId="24" priority="25" stopIfTrue="1">
      <formula>$B1256&lt;&gt;$B1257</formula>
    </cfRule>
  </conditionalFormatting>
  <conditionalFormatting sqref="B1258">
    <cfRule type="expression" dxfId="23" priority="24" stopIfTrue="1">
      <formula>$B1257&lt;&gt;$B1258</formula>
    </cfRule>
  </conditionalFormatting>
  <conditionalFormatting sqref="B1259">
    <cfRule type="expression" dxfId="22" priority="23" stopIfTrue="1">
      <formula>$B1258&lt;&gt;$B1259</formula>
    </cfRule>
  </conditionalFormatting>
  <conditionalFormatting sqref="B1260">
    <cfRule type="expression" dxfId="21" priority="22" stopIfTrue="1">
      <formula>$B1259&lt;&gt;$B1260</formula>
    </cfRule>
  </conditionalFormatting>
  <conditionalFormatting sqref="B1261">
    <cfRule type="expression" dxfId="20" priority="19" stopIfTrue="1">
      <formula>$B1260&lt;&gt;$B1261</formula>
    </cfRule>
  </conditionalFormatting>
  <conditionalFormatting sqref="B1262">
    <cfRule type="expression" dxfId="19" priority="18" stopIfTrue="1">
      <formula>$B1261&lt;&gt;$B1262</formula>
    </cfRule>
  </conditionalFormatting>
  <conditionalFormatting sqref="B1263">
    <cfRule type="expression" dxfId="18" priority="17" stopIfTrue="1">
      <formula>$B1262&lt;&gt;$B1263</formula>
    </cfRule>
  </conditionalFormatting>
  <conditionalFormatting sqref="B1263">
    <cfRule type="expression" dxfId="17" priority="15" stopIfTrue="1">
      <formula>S1263=2</formula>
    </cfRule>
    <cfRule type="expression" dxfId="16" priority="16" stopIfTrue="1">
      <formula>S1263=1</formula>
    </cfRule>
  </conditionalFormatting>
  <conditionalFormatting sqref="B1263">
    <cfRule type="expression" dxfId="15" priority="14" stopIfTrue="1">
      <formula>$M1263</formula>
    </cfRule>
  </conditionalFormatting>
  <conditionalFormatting sqref="B1264">
    <cfRule type="expression" dxfId="14" priority="13" stopIfTrue="1">
      <formula>$B1263&lt;&gt;$B1264</formula>
    </cfRule>
  </conditionalFormatting>
  <conditionalFormatting sqref="B1264">
    <cfRule type="expression" dxfId="13" priority="11" stopIfTrue="1">
      <formula>S1264=2</formula>
    </cfRule>
    <cfRule type="expression" dxfId="12" priority="12" stopIfTrue="1">
      <formula>S1264=1</formula>
    </cfRule>
  </conditionalFormatting>
  <conditionalFormatting sqref="B1264">
    <cfRule type="expression" dxfId="11" priority="10" stopIfTrue="1">
      <formula>$M1264</formula>
    </cfRule>
  </conditionalFormatting>
  <conditionalFormatting sqref="B1265">
    <cfRule type="expression" dxfId="10" priority="9" stopIfTrue="1">
      <formula>$M1265</formula>
    </cfRule>
  </conditionalFormatting>
  <conditionalFormatting sqref="B1266">
    <cfRule type="expression" dxfId="9" priority="8" stopIfTrue="1">
      <formula>$B1265&lt;&gt;$B1266</formula>
    </cfRule>
  </conditionalFormatting>
  <conditionalFormatting sqref="B1266">
    <cfRule type="expression" dxfId="8" priority="6" stopIfTrue="1">
      <formula>S1266=2</formula>
    </cfRule>
    <cfRule type="expression" dxfId="7" priority="7" stopIfTrue="1">
      <formula>S1266=1</formula>
    </cfRule>
  </conditionalFormatting>
  <conditionalFormatting sqref="B1266">
    <cfRule type="expression" dxfId="6" priority="5" stopIfTrue="1">
      <formula>$M1266</formula>
    </cfRule>
  </conditionalFormatting>
  <conditionalFormatting sqref="B1267">
    <cfRule type="expression" dxfId="5" priority="4" stopIfTrue="1">
      <formula>$M1267</formula>
    </cfRule>
  </conditionalFormatting>
  <conditionalFormatting sqref="B1267">
    <cfRule type="containsText" dxfId="4" priority="3" stopIfTrue="1" operator="containsText" text="!">
      <formula>NOT(ISERROR(SEARCH("!",B1267)))</formula>
    </cfRule>
  </conditionalFormatting>
  <conditionalFormatting sqref="B1256">
    <cfRule type="expression" dxfId="3" priority="5078" stopIfTrue="1">
      <formula>#REF!&lt;&gt;$B1256</formula>
    </cfRule>
  </conditionalFormatting>
  <conditionalFormatting sqref="B1275">
    <cfRule type="expression" dxfId="2" priority="2" stopIfTrue="1">
      <formula>$B1274&lt;&gt;$B1275</formula>
    </cfRule>
  </conditionalFormatting>
  <conditionalFormatting sqref="B483">
    <cfRule type="expression" dxfId="1" priority="5083" stopIfTrue="1">
      <formula>#REF!=EUconst_NotRelevant</formula>
    </cfRule>
  </conditionalFormatting>
  <conditionalFormatting sqref="B1278">
    <cfRule type="expression" dxfId="0" priority="1" stopIfTrue="1">
      <formula>$B1277&lt;&gt;$B1278</formula>
    </cfRule>
  </conditionalFormatting>
  <dataValidations disablePrompts="1" count="9">
    <dataValidation type="list" allowBlank="1" showInputMessage="1" showErrorMessage="1" sqref="B140 B142 B145" xr:uid="{00000000-0002-0000-1300-000000000000}">
      <formula1>Euconst_MPReferenceDateTypes</formula1>
    </dataValidation>
    <dataValidation type="list" allowBlank="1" showInputMessage="1" showErrorMessage="1" sqref="B213 B215" xr:uid="{00000000-0002-0000-1300-000001000000}">
      <formula1>AnnexIActivities</formula1>
    </dataValidation>
    <dataValidation type="list" allowBlank="1" showInputMessage="1" showErrorMessage="1" sqref="B292" xr:uid="{00000000-0002-0000-1300-000002000000}">
      <formula1>CNTR_ActivityListAx</formula1>
    </dataValidation>
    <dataValidation type="list" allowBlank="1" showInputMessage="1" showErrorMessage="1" sqref="B293" xr:uid="{00000000-0002-0000-1300-000003000000}">
      <formula1>CNTR_SourceStreamListSx</formula1>
    </dataValidation>
    <dataValidation type="list" allowBlank="1" showInputMessage="1" showErrorMessage="1" sqref="B294" xr:uid="{00000000-0002-0000-1300-000004000000}">
      <formula1>CNTR_EmissionPointsListEPx</formula1>
    </dataValidation>
    <dataValidation type="list" allowBlank="1" showInputMessage="1" showErrorMessage="1" sqref="B366:B367" xr:uid="{00000000-0002-0000-1300-000005000000}">
      <formula1>MeteringDevices</formula1>
    </dataValidation>
    <dataValidation type="list" allowBlank="1" showInputMessage="1" showErrorMessage="1" sqref="B457" xr:uid="{00000000-0002-0000-1300-000006000000}">
      <formula1>EUconst_ActivityDeterminationMethod</formula1>
    </dataValidation>
    <dataValidation type="list" allowBlank="1" showInputMessage="1" showErrorMessage="1" sqref="B584" xr:uid="{00000000-0002-0000-1300-000007000000}">
      <formula1>OperationType</formula1>
    </dataValidation>
    <dataValidation type="list" allowBlank="1" showInputMessage="1" showErrorMessage="1" sqref="B291 B296" xr:uid="{00000000-0002-0000-1300-000008000000}">
      <formula1>INDIRECT("$i$" &amp; ROW(#REF!) &amp; ":$i$" &amp; ROW(#REF!)-1+MAX(#REF!))</formula1>
    </dataValidation>
  </dataValidations>
  <hyperlinks>
    <hyperlink ref="B1152" location="JUMP_K_19" display="JUMP_K_19" xr:uid="{00000000-0004-0000-1300-000000000000}"/>
    <hyperlink ref="B1153" location="JUMP_Accounting" display="M. Accounting" xr:uid="{00000000-0004-0000-1300-000001000000}"/>
    <hyperlink ref="B1154" r:id="rId1" display="http://ec.europa.eu/clima/documentation/ets/docs/decision_benchmarking_15_dec_en.pdf. " xr:uid="{00000000-0004-0000-1300-000002000000}"/>
    <hyperlink ref="B1158" r:id="rId2" location="tab-0-1" xr:uid="{00000000-0004-0000-1300-000003000000}"/>
    <hyperlink ref="B1156" r:id="rId3" xr:uid="{00000000-0004-0000-1300-000004000000}"/>
  </hyperlinks>
  <pageMargins left="0.7" right="0.7" top="0.78740157499999996" bottom="0.78740157499999996" header="0.3" footer="0.3"/>
  <pageSetup paperSize="132" orientation="portrait" r:id="rId4"/>
  <headerFooter>
    <oddHeader>&amp;L&amp;F, &amp;A&amp;R&amp;D, &amp;T</oddHeader>
    <oddFooter>&amp;C&amp;P / &amp;N</oddFooter>
  </headerFooter>
  <legacy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8">
    <tabColor indexed="17"/>
    <pageSetUpPr fitToPage="1"/>
  </sheetPr>
  <dimension ref="A1:E91"/>
  <sheetViews>
    <sheetView topLeftCell="A24" workbookViewId="0">
      <selection activeCell="L46" sqref="L46"/>
    </sheetView>
  </sheetViews>
  <sheetFormatPr defaultColWidth="9.140625" defaultRowHeight="12.75" x14ac:dyDescent="0.2"/>
  <cols>
    <col min="1" max="1" width="17.140625" customWidth="1"/>
    <col min="2" max="2" width="34.7109375" customWidth="1"/>
    <col min="3" max="3" width="15.140625" customWidth="1"/>
  </cols>
  <sheetData>
    <row r="1" spans="1:5" ht="13.5" thickBot="1" x14ac:dyDescent="0.25">
      <c r="A1" s="69" t="s">
        <v>1183</v>
      </c>
    </row>
    <row r="2" spans="1:5" ht="13.5" thickBot="1" x14ac:dyDescent="0.25">
      <c r="A2" s="162" t="s">
        <v>1184</v>
      </c>
      <c r="B2" s="163" t="s">
        <v>1655</v>
      </c>
    </row>
    <row r="3" spans="1:5" ht="13.5" thickBot="1" x14ac:dyDescent="0.25">
      <c r="A3" s="164" t="s">
        <v>1182</v>
      </c>
      <c r="B3" s="165">
        <v>45643</v>
      </c>
      <c r="C3" s="166" t="str">
        <f>IF(ISNUMBER(MATCH(B3,A18:A29,0)),VLOOKUP(B3,A18:B29,2,FALSE),"---")</f>
        <v>MP P4 Inst_COM_en_171224.xls</v>
      </c>
      <c r="D3" s="167"/>
      <c r="E3" s="168"/>
    </row>
    <row r="4" spans="1:5" x14ac:dyDescent="0.2">
      <c r="A4" s="169" t="s">
        <v>953</v>
      </c>
      <c r="B4" s="170" t="s">
        <v>954</v>
      </c>
    </row>
    <row r="5" spans="1:5" ht="13.5" thickBot="1" x14ac:dyDescent="0.25">
      <c r="A5" s="171" t="s">
        <v>944</v>
      </c>
      <c r="B5" s="172" t="s">
        <v>969</v>
      </c>
    </row>
    <row r="7" spans="1:5" x14ac:dyDescent="0.2">
      <c r="A7" s="69" t="s">
        <v>1185</v>
      </c>
    </row>
    <row r="8" spans="1:5" x14ac:dyDescent="0.2">
      <c r="A8" s="304" t="s">
        <v>949</v>
      </c>
      <c r="B8" s="304"/>
      <c r="C8" s="304" t="s">
        <v>945</v>
      </c>
    </row>
    <row r="9" spans="1:5" x14ac:dyDescent="0.2">
      <c r="A9" s="304" t="s">
        <v>950</v>
      </c>
      <c r="B9" s="304"/>
      <c r="C9" s="304" t="s">
        <v>946</v>
      </c>
    </row>
    <row r="10" spans="1:5" x14ac:dyDescent="0.2">
      <c r="A10" s="304" t="s">
        <v>951</v>
      </c>
      <c r="B10" s="304"/>
      <c r="C10" s="304" t="s">
        <v>947</v>
      </c>
    </row>
    <row r="11" spans="1:5" x14ac:dyDescent="0.2">
      <c r="A11" s="304" t="s">
        <v>952</v>
      </c>
      <c r="B11" s="304"/>
      <c r="C11" s="304" t="s">
        <v>948</v>
      </c>
    </row>
    <row r="12" spans="1:5" x14ac:dyDescent="0.2">
      <c r="A12" s="304" t="s">
        <v>1737</v>
      </c>
      <c r="B12" s="304"/>
      <c r="C12" s="304" t="s">
        <v>1245</v>
      </c>
    </row>
    <row r="13" spans="1:5" x14ac:dyDescent="0.2">
      <c r="A13" s="304" t="s">
        <v>1655</v>
      </c>
      <c r="B13" s="304"/>
      <c r="C13" s="304" t="s">
        <v>1736</v>
      </c>
    </row>
    <row r="14" spans="1:5" x14ac:dyDescent="0.2">
      <c r="A14" s="304" t="s">
        <v>1656</v>
      </c>
      <c r="B14" s="304"/>
      <c r="C14" s="304" t="s">
        <v>391</v>
      </c>
    </row>
    <row r="15" spans="1:5" x14ac:dyDescent="0.2">
      <c r="A15" s="304" t="s">
        <v>1657</v>
      </c>
      <c r="B15" s="304"/>
      <c r="C15" s="304" t="s">
        <v>392</v>
      </c>
    </row>
    <row r="17" spans="1:4" x14ac:dyDescent="0.2">
      <c r="A17" s="173" t="s">
        <v>599</v>
      </c>
      <c r="B17" s="174" t="s">
        <v>1422</v>
      </c>
      <c r="C17" s="174" t="s">
        <v>895</v>
      </c>
      <c r="D17" s="175"/>
    </row>
    <row r="18" spans="1:4" x14ac:dyDescent="0.2">
      <c r="A18" s="176">
        <v>44049</v>
      </c>
      <c r="B18" s="177" t="str">
        <f t="shared" ref="B18:B29" si="0">IF(ISBLANK($A18),"---", VLOOKUP($B$2,$A$8:$C$15,3,0) &amp; "_" &amp; VLOOKUP($B$4,$A$32:$B$64,2,0)&amp;"_"&amp;VLOOKUP($B$5,$A$67:$B$91,2,0)&amp;"_"&amp; TEXT(DAY($A18),"0#")&amp; TEXT(MONTH($A18),"0#")&amp; TEXT(YEAR($A18)-2000,"0#")&amp;".xls")</f>
        <v>MP P4 Inst_COM_en_060820.xls</v>
      </c>
      <c r="C18" s="177" t="s">
        <v>1738</v>
      </c>
      <c r="D18" s="178"/>
    </row>
    <row r="19" spans="1:4" x14ac:dyDescent="0.2">
      <c r="A19" s="179">
        <v>44137</v>
      </c>
      <c r="B19" s="180" t="str">
        <f t="shared" si="0"/>
        <v>MP P4 Inst_COM_en_021120.xls</v>
      </c>
      <c r="C19" s="180" t="s">
        <v>1734</v>
      </c>
      <c r="D19" s="181"/>
    </row>
    <row r="20" spans="1:4" x14ac:dyDescent="0.2">
      <c r="A20" s="179">
        <v>44138</v>
      </c>
      <c r="B20" s="180" t="str">
        <f t="shared" si="0"/>
        <v>MP P4 Inst_COM_en_031120.xls</v>
      </c>
      <c r="C20" s="180" t="s">
        <v>1739</v>
      </c>
      <c r="D20" s="181"/>
    </row>
    <row r="21" spans="1:4" x14ac:dyDescent="0.2">
      <c r="A21" s="179">
        <v>44169</v>
      </c>
      <c r="B21" s="180" t="str">
        <f>IF(ISBLANK($A21),"---", VLOOKUP($B$2,$A$8:$C$15,3,0) &amp; "_" &amp; VLOOKUP($B$4,$A$32:$B$64,2,0)&amp;"_"&amp;VLOOKUP($B$5,$A$67:$B$91,2,0)&amp;"_"&amp; TEXT(DAY($A21),"0#")&amp; TEXT(MONTH($A21),"0#")&amp; TEXT(YEAR($A21)-2000,"0#")&amp;".xls")</f>
        <v>MP P4 Inst_COM_en_041220.xls</v>
      </c>
      <c r="C21" s="594" t="s">
        <v>1746</v>
      </c>
      <c r="D21" s="181"/>
    </row>
    <row r="22" spans="1:4" x14ac:dyDescent="0.2">
      <c r="A22" s="179">
        <v>44965</v>
      </c>
      <c r="B22" s="180" t="str">
        <f t="shared" si="0"/>
        <v>MP P4 Inst_COM_en_080223.xls</v>
      </c>
      <c r="C22" s="594" t="s">
        <v>1751</v>
      </c>
      <c r="D22" s="181"/>
    </row>
    <row r="23" spans="1:4" x14ac:dyDescent="0.2">
      <c r="A23" s="179">
        <v>45260</v>
      </c>
      <c r="B23" s="180" t="str">
        <f t="shared" si="0"/>
        <v>MP P4 Inst_COM_en_301123.xls</v>
      </c>
      <c r="C23" s="180" t="s">
        <v>1756</v>
      </c>
      <c r="D23" s="181"/>
    </row>
    <row r="24" spans="1:4" x14ac:dyDescent="0.2">
      <c r="A24" s="179">
        <v>45643</v>
      </c>
      <c r="B24" s="180" t="str">
        <f t="shared" si="0"/>
        <v>MP P4 Inst_COM_en_171224.xls</v>
      </c>
      <c r="C24" s="594" t="s">
        <v>1822</v>
      </c>
      <c r="D24" s="181"/>
    </row>
    <row r="25" spans="1:4" x14ac:dyDescent="0.2">
      <c r="A25" s="179"/>
      <c r="B25" s="180" t="str">
        <f t="shared" si="0"/>
        <v>---</v>
      </c>
      <c r="C25" s="594"/>
      <c r="D25" s="181"/>
    </row>
    <row r="26" spans="1:4" x14ac:dyDescent="0.2">
      <c r="A26" s="179"/>
      <c r="B26" s="180" t="str">
        <f t="shared" si="0"/>
        <v>---</v>
      </c>
      <c r="C26" s="180"/>
      <c r="D26" s="181"/>
    </row>
    <row r="27" spans="1:4" x14ac:dyDescent="0.2">
      <c r="A27" s="179"/>
      <c r="B27" s="180" t="str">
        <f t="shared" si="0"/>
        <v>---</v>
      </c>
      <c r="C27" s="594"/>
      <c r="D27" s="181"/>
    </row>
    <row r="28" spans="1:4" x14ac:dyDescent="0.2">
      <c r="A28" s="179"/>
      <c r="B28" s="180" t="str">
        <f t="shared" si="0"/>
        <v>---</v>
      </c>
      <c r="C28" s="180"/>
      <c r="D28" s="181"/>
    </row>
    <row r="29" spans="1:4" x14ac:dyDescent="0.2">
      <c r="A29" s="589"/>
      <c r="B29" s="182" t="str">
        <f t="shared" si="0"/>
        <v>---</v>
      </c>
      <c r="C29" s="182"/>
      <c r="D29" s="183"/>
    </row>
    <row r="31" spans="1:4" x14ac:dyDescent="0.2">
      <c r="A31" s="69" t="s">
        <v>953</v>
      </c>
    </row>
    <row r="32" spans="1:4" x14ac:dyDescent="0.2">
      <c r="A32" s="160" t="s">
        <v>954</v>
      </c>
      <c r="B32" s="160" t="s">
        <v>1423</v>
      </c>
    </row>
    <row r="33" spans="1:2" x14ac:dyDescent="0.2">
      <c r="A33" s="160" t="s">
        <v>1246</v>
      </c>
      <c r="B33" s="160" t="s">
        <v>1247</v>
      </c>
    </row>
    <row r="34" spans="1:2" x14ac:dyDescent="0.2">
      <c r="A34" s="160" t="s">
        <v>1388</v>
      </c>
      <c r="B34" s="160" t="s">
        <v>1424</v>
      </c>
    </row>
    <row r="35" spans="1:2" x14ac:dyDescent="0.2">
      <c r="A35" s="160" t="s">
        <v>1389</v>
      </c>
      <c r="B35" s="160" t="s">
        <v>1425</v>
      </c>
    </row>
    <row r="36" spans="1:2" x14ac:dyDescent="0.2">
      <c r="A36" s="160" t="s">
        <v>1390</v>
      </c>
      <c r="B36" s="160" t="s">
        <v>1426</v>
      </c>
    </row>
    <row r="37" spans="1:2" x14ac:dyDescent="0.2">
      <c r="A37" s="160" t="s">
        <v>1248</v>
      </c>
      <c r="B37" s="160" t="s">
        <v>1249</v>
      </c>
    </row>
    <row r="38" spans="1:2" x14ac:dyDescent="0.2">
      <c r="A38" s="160" t="s">
        <v>1391</v>
      </c>
      <c r="B38" s="160" t="s">
        <v>1427</v>
      </c>
    </row>
    <row r="39" spans="1:2" x14ac:dyDescent="0.2">
      <c r="A39" s="160" t="s">
        <v>1392</v>
      </c>
      <c r="B39" s="160" t="s">
        <v>1428</v>
      </c>
    </row>
    <row r="40" spans="1:2" x14ac:dyDescent="0.2">
      <c r="A40" s="160" t="s">
        <v>1393</v>
      </c>
      <c r="B40" s="160" t="s">
        <v>1429</v>
      </c>
    </row>
    <row r="41" spans="1:2" x14ac:dyDescent="0.2">
      <c r="A41" s="160" t="s">
        <v>1394</v>
      </c>
      <c r="B41" s="160" t="s">
        <v>1430</v>
      </c>
    </row>
    <row r="42" spans="1:2" x14ac:dyDescent="0.2">
      <c r="A42" s="160" t="s">
        <v>1395</v>
      </c>
      <c r="B42" s="160" t="s">
        <v>1431</v>
      </c>
    </row>
    <row r="43" spans="1:2" x14ac:dyDescent="0.2">
      <c r="A43" s="160" t="s">
        <v>1396</v>
      </c>
      <c r="B43" s="160" t="s">
        <v>1432</v>
      </c>
    </row>
    <row r="44" spans="1:2" x14ac:dyDescent="0.2">
      <c r="A44" s="160" t="s">
        <v>1397</v>
      </c>
      <c r="B44" s="160" t="s">
        <v>1433</v>
      </c>
    </row>
    <row r="45" spans="1:2" x14ac:dyDescent="0.2">
      <c r="A45" s="160" t="s">
        <v>1398</v>
      </c>
      <c r="B45" s="160" t="s">
        <v>1434</v>
      </c>
    </row>
    <row r="46" spans="1:2" x14ac:dyDescent="0.2">
      <c r="A46" s="160" t="s">
        <v>1399</v>
      </c>
      <c r="B46" s="160" t="s">
        <v>1435</v>
      </c>
    </row>
    <row r="47" spans="1:2" x14ac:dyDescent="0.2">
      <c r="A47" s="160" t="s">
        <v>1250</v>
      </c>
      <c r="B47" s="160" t="s">
        <v>1251</v>
      </c>
    </row>
    <row r="48" spans="1:2" x14ac:dyDescent="0.2">
      <c r="A48" s="160" t="s">
        <v>1400</v>
      </c>
      <c r="B48" s="160" t="s">
        <v>1436</v>
      </c>
    </row>
    <row r="49" spans="1:2" x14ac:dyDescent="0.2">
      <c r="A49" s="160" t="s">
        <v>1401</v>
      </c>
      <c r="B49" s="160" t="s">
        <v>1437</v>
      </c>
    </row>
    <row r="50" spans="1:2" x14ac:dyDescent="0.2">
      <c r="A50" s="160" t="s">
        <v>1402</v>
      </c>
      <c r="B50" s="160" t="s">
        <v>1438</v>
      </c>
    </row>
    <row r="51" spans="1:2" x14ac:dyDescent="0.2">
      <c r="A51" s="160" t="s">
        <v>1252</v>
      </c>
      <c r="B51" s="160" t="s">
        <v>1253</v>
      </c>
    </row>
    <row r="52" spans="1:2" x14ac:dyDescent="0.2">
      <c r="A52" s="160" t="s">
        <v>1403</v>
      </c>
      <c r="B52" s="160" t="s">
        <v>576</v>
      </c>
    </row>
    <row r="53" spans="1:2" x14ac:dyDescent="0.2">
      <c r="A53" s="160" t="s">
        <v>1404</v>
      </c>
      <c r="B53" s="160" t="s">
        <v>577</v>
      </c>
    </row>
    <row r="54" spans="1:2" x14ac:dyDescent="0.2">
      <c r="A54" s="160" t="s">
        <v>1405</v>
      </c>
      <c r="B54" s="160" t="s">
        <v>578</v>
      </c>
    </row>
    <row r="55" spans="1:2" x14ac:dyDescent="0.2">
      <c r="A55" s="160" t="s">
        <v>500</v>
      </c>
      <c r="B55" s="160" t="s">
        <v>579</v>
      </c>
    </row>
    <row r="56" spans="1:2" x14ac:dyDescent="0.2">
      <c r="A56" s="160" t="s">
        <v>1254</v>
      </c>
      <c r="B56" s="160" t="s">
        <v>594</v>
      </c>
    </row>
    <row r="57" spans="1:2" x14ac:dyDescent="0.2">
      <c r="A57" s="160" t="s">
        <v>501</v>
      </c>
      <c r="B57" s="160" t="s">
        <v>580</v>
      </c>
    </row>
    <row r="58" spans="1:2" x14ac:dyDescent="0.2">
      <c r="A58" s="160" t="s">
        <v>502</v>
      </c>
      <c r="B58" s="160" t="s">
        <v>581</v>
      </c>
    </row>
    <row r="59" spans="1:2" x14ac:dyDescent="0.2">
      <c r="A59" s="160" t="s">
        <v>503</v>
      </c>
      <c r="B59" s="160" t="s">
        <v>582</v>
      </c>
    </row>
    <row r="60" spans="1:2" x14ac:dyDescent="0.2">
      <c r="A60" s="160" t="s">
        <v>504</v>
      </c>
      <c r="B60" s="160" t="s">
        <v>583</v>
      </c>
    </row>
    <row r="61" spans="1:2" x14ac:dyDescent="0.2">
      <c r="A61" s="160" t="s">
        <v>505</v>
      </c>
      <c r="B61" s="160" t="s">
        <v>584</v>
      </c>
    </row>
    <row r="62" spans="1:2" x14ac:dyDescent="0.2">
      <c r="A62" s="160" t="s">
        <v>1522</v>
      </c>
      <c r="B62" s="160" t="s">
        <v>585</v>
      </c>
    </row>
    <row r="63" spans="1:2" x14ac:dyDescent="0.2">
      <c r="A63" s="160" t="s">
        <v>1523</v>
      </c>
      <c r="B63" s="160" t="s">
        <v>586</v>
      </c>
    </row>
    <row r="64" spans="1:2" x14ac:dyDescent="0.2">
      <c r="A64" s="160" t="s">
        <v>1524</v>
      </c>
      <c r="B64" s="160" t="s">
        <v>587</v>
      </c>
    </row>
    <row r="66" spans="1:2" x14ac:dyDescent="0.2">
      <c r="A66" s="69" t="s">
        <v>600</v>
      </c>
    </row>
    <row r="67" spans="1:2" x14ac:dyDescent="0.2">
      <c r="A67" s="161" t="s">
        <v>955</v>
      </c>
      <c r="B67" s="161" t="s">
        <v>956</v>
      </c>
    </row>
    <row r="68" spans="1:2" x14ac:dyDescent="0.2">
      <c r="A68" s="161" t="s">
        <v>957</v>
      </c>
      <c r="B68" s="161" t="s">
        <v>958</v>
      </c>
    </row>
    <row r="69" spans="1:2" x14ac:dyDescent="0.2">
      <c r="A69" s="161" t="s">
        <v>1255</v>
      </c>
      <c r="B69" s="161" t="s">
        <v>1256</v>
      </c>
    </row>
    <row r="70" spans="1:2" x14ac:dyDescent="0.2">
      <c r="A70" s="161" t="s">
        <v>959</v>
      </c>
      <c r="B70" s="161" t="s">
        <v>960</v>
      </c>
    </row>
    <row r="71" spans="1:2" x14ac:dyDescent="0.2">
      <c r="A71" s="161" t="s">
        <v>961</v>
      </c>
      <c r="B71" s="161" t="s">
        <v>962</v>
      </c>
    </row>
    <row r="72" spans="1:2" x14ac:dyDescent="0.2">
      <c r="A72" s="161" t="s">
        <v>963</v>
      </c>
      <c r="B72" s="161" t="s">
        <v>964</v>
      </c>
    </row>
    <row r="73" spans="1:2" x14ac:dyDescent="0.2">
      <c r="A73" s="161" t="s">
        <v>965</v>
      </c>
      <c r="B73" s="161" t="s">
        <v>966</v>
      </c>
    </row>
    <row r="74" spans="1:2" x14ac:dyDescent="0.2">
      <c r="A74" s="161" t="s">
        <v>967</v>
      </c>
      <c r="B74" s="161" t="s">
        <v>968</v>
      </c>
    </row>
    <row r="75" spans="1:2" x14ac:dyDescent="0.2">
      <c r="A75" s="161" t="s">
        <v>969</v>
      </c>
      <c r="B75" s="161" t="s">
        <v>970</v>
      </c>
    </row>
    <row r="76" spans="1:2" x14ac:dyDescent="0.2">
      <c r="A76" s="161" t="s">
        <v>971</v>
      </c>
      <c r="B76" s="161" t="s">
        <v>972</v>
      </c>
    </row>
    <row r="77" spans="1:2" x14ac:dyDescent="0.2">
      <c r="A77" s="161" t="s">
        <v>1257</v>
      </c>
      <c r="B77" s="161" t="s">
        <v>1258</v>
      </c>
    </row>
    <row r="78" spans="1:2" x14ac:dyDescent="0.2">
      <c r="A78" s="161" t="s">
        <v>973</v>
      </c>
      <c r="B78" s="161" t="s">
        <v>974</v>
      </c>
    </row>
    <row r="79" spans="1:2" x14ac:dyDescent="0.2">
      <c r="A79" s="161" t="s">
        <v>975</v>
      </c>
      <c r="B79" s="161" t="s">
        <v>976</v>
      </c>
    </row>
    <row r="80" spans="1:2" x14ac:dyDescent="0.2">
      <c r="A80" s="161" t="s">
        <v>977</v>
      </c>
      <c r="B80" s="161" t="s">
        <v>978</v>
      </c>
    </row>
    <row r="81" spans="1:2" x14ac:dyDescent="0.2">
      <c r="A81" s="161" t="s">
        <v>979</v>
      </c>
      <c r="B81" s="161" t="s">
        <v>980</v>
      </c>
    </row>
    <row r="82" spans="1:2" x14ac:dyDescent="0.2">
      <c r="A82" s="161" t="s">
        <v>981</v>
      </c>
      <c r="B82" s="161" t="s">
        <v>982</v>
      </c>
    </row>
    <row r="83" spans="1:2" x14ac:dyDescent="0.2">
      <c r="A83" s="161" t="s">
        <v>1259</v>
      </c>
      <c r="B83" s="161" t="s">
        <v>1260</v>
      </c>
    </row>
    <row r="84" spans="1:2" x14ac:dyDescent="0.2">
      <c r="A84" s="161" t="s">
        <v>1406</v>
      </c>
      <c r="B84" s="161" t="s">
        <v>1407</v>
      </c>
    </row>
    <row r="85" spans="1:2" x14ac:dyDescent="0.2">
      <c r="A85" s="161" t="s">
        <v>1408</v>
      </c>
      <c r="B85" s="161" t="s">
        <v>1409</v>
      </c>
    </row>
    <row r="86" spans="1:2" x14ac:dyDescent="0.2">
      <c r="A86" s="161" t="s">
        <v>1410</v>
      </c>
      <c r="B86" s="161" t="s">
        <v>1411</v>
      </c>
    </row>
    <row r="87" spans="1:2" x14ac:dyDescent="0.2">
      <c r="A87" s="161" t="s">
        <v>1412</v>
      </c>
      <c r="B87" s="161" t="s">
        <v>1413</v>
      </c>
    </row>
    <row r="88" spans="1:2" x14ac:dyDescent="0.2">
      <c r="A88" s="161" t="s">
        <v>1414</v>
      </c>
      <c r="B88" s="161" t="s">
        <v>1415</v>
      </c>
    </row>
    <row r="89" spans="1:2" x14ac:dyDescent="0.2">
      <c r="A89" s="161" t="s">
        <v>1416</v>
      </c>
      <c r="B89" s="161" t="s">
        <v>1417</v>
      </c>
    </row>
    <row r="90" spans="1:2" x14ac:dyDescent="0.2">
      <c r="A90" s="161" t="s">
        <v>1418</v>
      </c>
      <c r="B90" s="161" t="s">
        <v>1419</v>
      </c>
    </row>
    <row r="91" spans="1:2" x14ac:dyDescent="0.2">
      <c r="A91" s="161" t="s">
        <v>1420</v>
      </c>
      <c r="B91" s="161" t="s">
        <v>1421</v>
      </c>
    </row>
  </sheetData>
  <sheetProtection sheet="1" objects="1" scenarios="1" formatCells="0" formatColumns="0" formatRows="0"/>
  <phoneticPr fontId="61" type="noConversion"/>
  <dataValidations count="4">
    <dataValidation type="list" allowBlank="1" showInputMessage="1" showErrorMessage="1" sqref="B3" xr:uid="{00000000-0002-0000-1400-000000000000}">
      <formula1>$A$18:$A$29</formula1>
    </dataValidation>
    <dataValidation type="list" allowBlank="1" showInputMessage="1" showErrorMessage="1" sqref="B5" xr:uid="{00000000-0002-0000-1400-000001000000}">
      <formula1>$A$67:$A$91</formula1>
    </dataValidation>
    <dataValidation type="list" allowBlank="1" showInputMessage="1" showErrorMessage="1" sqref="B4" xr:uid="{00000000-0002-0000-1400-000002000000}">
      <formula1>$A$32:$A$64</formula1>
    </dataValidation>
    <dataValidation type="list" allowBlank="1" showInputMessage="1" showErrorMessage="1" sqref="B2" xr:uid="{00000000-0002-0000-1400-000003000000}">
      <formula1>$A$8:$A$15</formula1>
    </dataValidation>
  </dataValidations>
  <pageMargins left="0.78740157480314965" right="0.78740157480314965" top="0.98425196850393704" bottom="0.98425196850393704" header="0.51181102362204722" footer="0.51181102362204722"/>
  <pageSetup paperSize="9" scale="64" orientation="portrait" r:id="rId1"/>
  <headerFooter alignWithMargins="0">
    <oddHeader>&amp;L&amp;F, &amp;A&amp;R&amp;D, &amp;T</oddHeader>
    <oddFooter>&amp;C&amp;P /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01"/>
  <dimension ref="C13:C14"/>
  <sheetViews>
    <sheetView workbookViewId="0">
      <selection activeCell="E5" sqref="E5"/>
    </sheetView>
  </sheetViews>
  <sheetFormatPr defaultColWidth="11.42578125" defaultRowHeight="12.75" x14ac:dyDescent="0.2"/>
  <sheetData>
    <row r="13" spans="3:3" x14ac:dyDescent="0.2">
      <c r="C13" s="21"/>
    </row>
    <row r="14" spans="3:3" x14ac:dyDescent="0.2">
      <c r="C14" s="21"/>
    </row>
  </sheetData>
  <sheetProtection sheet="1" objects="1" scenarios="1" formatCells="0" formatColumns="0" formatRows="0"/>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indexed="43"/>
    <pageSetUpPr fitToPage="1"/>
  </sheetPr>
  <dimension ref="A1:P54"/>
  <sheetViews>
    <sheetView workbookViewId="0">
      <pane ySplit="4" topLeftCell="A5" activePane="bottomLeft" state="frozen"/>
      <selection activeCell="B2" sqref="B2"/>
      <selection pane="bottomLeft" activeCell="B2" sqref="B2:D4"/>
    </sheetView>
  </sheetViews>
  <sheetFormatPr defaultColWidth="9.140625" defaultRowHeight="12.75" x14ac:dyDescent="0.2"/>
  <cols>
    <col min="1" max="1" width="2.7109375" style="314" hidden="1" customWidth="1"/>
    <col min="2" max="2" width="2.7109375" style="308" customWidth="1"/>
    <col min="3" max="4" width="4.7109375" style="308" customWidth="1"/>
    <col min="5" max="14" width="12.7109375" style="308" customWidth="1"/>
    <col min="15" max="15" width="6.7109375" style="308" customWidth="1"/>
    <col min="16" max="16" width="9.140625" style="311" hidden="1" customWidth="1"/>
    <col min="17" max="16384" width="9.140625" style="308"/>
  </cols>
  <sheetData>
    <row r="1" spans="1:16" s="314" customFormat="1" ht="13.5" hidden="1" thickBot="1" x14ac:dyDescent="0.25">
      <c r="A1" s="314" t="s">
        <v>1090</v>
      </c>
      <c r="P1" s="314" t="s">
        <v>1090</v>
      </c>
    </row>
    <row r="2" spans="1:16" s="8" customFormat="1" ht="13.5" thickBot="1" x14ac:dyDescent="0.25">
      <c r="A2" s="12"/>
      <c r="B2" s="803" t="str">
        <f>Translations!$B$130</f>
        <v>A.
MP Versions</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c r="P2" s="72"/>
    </row>
    <row r="3" spans="1:16" s="8" customFormat="1" x14ac:dyDescent="0.2">
      <c r="A3" s="12"/>
      <c r="B3" s="806"/>
      <c r="C3" s="807"/>
      <c r="D3" s="808"/>
      <c r="E3" s="776" t="str">
        <f>Translations!$B$63</f>
        <v>Top of sheet</v>
      </c>
      <c r="F3" s="776"/>
      <c r="G3" s="776"/>
      <c r="H3" s="776"/>
      <c r="I3" s="776"/>
      <c r="J3" s="776"/>
      <c r="K3" s="776"/>
      <c r="L3" s="776"/>
      <c r="M3" s="777"/>
      <c r="N3" s="778"/>
      <c r="O3" s="7"/>
      <c r="P3" s="72"/>
    </row>
    <row r="4" spans="1:16" s="8" customFormat="1" ht="13.5" thickBot="1" x14ac:dyDescent="0.25">
      <c r="A4" s="12"/>
      <c r="B4" s="809"/>
      <c r="C4" s="810"/>
      <c r="D4" s="811"/>
      <c r="E4" s="776" t="str">
        <f>Translations!$B$64</f>
        <v>End of sheet</v>
      </c>
      <c r="F4" s="776"/>
      <c r="G4" s="776"/>
      <c r="H4" s="776"/>
      <c r="I4" s="776"/>
      <c r="J4" s="776"/>
      <c r="K4" s="776"/>
      <c r="L4" s="776"/>
      <c r="M4" s="777"/>
      <c r="N4" s="778"/>
      <c r="O4" s="7"/>
      <c r="P4" s="72"/>
    </row>
    <row r="6" spans="1:16" ht="25.5" customHeight="1" x14ac:dyDescent="0.2">
      <c r="C6" s="812" t="str">
        <f>Translations!$B$7</f>
        <v>A. Monitoring Plan versions</v>
      </c>
      <c r="D6" s="812"/>
      <c r="E6" s="812"/>
      <c r="F6" s="812"/>
      <c r="G6" s="812"/>
      <c r="H6" s="812"/>
      <c r="I6" s="812"/>
      <c r="J6" s="812"/>
      <c r="K6" s="812"/>
      <c r="L6" s="812"/>
      <c r="M6" s="812"/>
      <c r="N6" s="812"/>
    </row>
    <row r="8" spans="1:16" ht="15.75" customHeight="1" x14ac:dyDescent="0.25">
      <c r="C8" s="70">
        <v>1</v>
      </c>
      <c r="D8" s="813" t="str">
        <f>Translations!$B$8</f>
        <v>List of monitoring plan versions</v>
      </c>
      <c r="E8" s="813"/>
      <c r="F8" s="813"/>
      <c r="G8" s="813"/>
      <c r="H8" s="813"/>
      <c r="I8" s="813"/>
      <c r="J8" s="813"/>
      <c r="K8" s="813"/>
      <c r="L8" s="813"/>
      <c r="M8" s="813"/>
      <c r="N8" s="813"/>
    </row>
    <row r="10" spans="1:16" ht="25.5" customHeight="1" x14ac:dyDescent="0.2">
      <c r="E10" s="796" t="str">
        <f>Translations!$B$1160</f>
        <v>This sheet is used to identify the current version of the monitoring plan. Each version of the monitoring plan must have a unique version number that does not coincide with previous phase plans, and a reference date.</v>
      </c>
      <c r="F10" s="796"/>
      <c r="G10" s="796"/>
      <c r="H10" s="796"/>
      <c r="I10" s="796"/>
      <c r="J10" s="796"/>
      <c r="K10" s="796"/>
      <c r="L10" s="796"/>
      <c r="M10" s="796"/>
      <c r="N10" s="796"/>
    </row>
    <row r="11" spans="1:16" ht="25.5" customHeight="1" x14ac:dyDescent="0.2">
      <c r="E11" s="796" t="str">
        <f>Translations!$B$132</f>
        <v>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monitoring plan.</v>
      </c>
      <c r="F11" s="797"/>
      <c r="G11" s="797"/>
      <c r="H11" s="797"/>
      <c r="I11" s="797"/>
      <c r="J11" s="797"/>
      <c r="K11" s="797"/>
      <c r="L11" s="797"/>
      <c r="M11" s="797"/>
      <c r="N11" s="797"/>
    </row>
    <row r="12" spans="1:16" ht="25.5" customHeight="1" x14ac:dyDescent="0.2">
      <c r="E12" s="796" t="str">
        <f>Translations!$B$133</f>
        <v>The status of the monitoring plan at the reference date should be described in the "status" column. Possible status types include "submitted to the competent authority (CA)", "approved by the CA", "working draft" etc.</v>
      </c>
      <c r="F12" s="797"/>
      <c r="G12" s="797"/>
      <c r="H12" s="797"/>
      <c r="I12" s="797"/>
      <c r="J12" s="797"/>
      <c r="K12" s="797"/>
      <c r="L12" s="797"/>
      <c r="M12" s="797"/>
      <c r="N12" s="797"/>
    </row>
    <row r="13" spans="1:16" ht="38.25" customHeight="1" x14ac:dyDescent="0.2">
      <c r="E13" s="796" t="str">
        <f>Translations!$B$134</f>
        <v>Please note that monitoring of the emissions of your installation must always be carried out in accordance with the latest approved version of the monitoring plan, except in cases where an update of the MP has already been submitted to the CA and/or is pending approval. In accordance with Article 16(1), in such situations the monitoring must be carried out in parallel using the latest approved as well as the latest MP submitted for approval.</v>
      </c>
      <c r="F13" s="797"/>
      <c r="G13" s="797"/>
      <c r="H13" s="797"/>
      <c r="I13" s="797"/>
      <c r="J13" s="797"/>
      <c r="K13" s="797"/>
      <c r="L13" s="797"/>
      <c r="M13" s="797"/>
      <c r="N13" s="797"/>
    </row>
    <row r="14" spans="1:16" ht="12.75" customHeight="1" x14ac:dyDescent="0.2">
      <c r="E14" s="796" t="str">
        <f>Translations!$B$1161</f>
        <v>In the "date of application" column, the date as of which the monitoring methodology as described in the plan applies, if applicable.</v>
      </c>
      <c r="F14" s="797"/>
      <c r="G14" s="797"/>
      <c r="H14" s="797"/>
      <c r="I14" s="797"/>
      <c r="J14" s="797"/>
      <c r="K14" s="797"/>
      <c r="L14" s="797"/>
      <c r="M14" s="797"/>
      <c r="N14" s="797"/>
    </row>
    <row r="15" spans="1:16" ht="12.75" customHeight="1" x14ac:dyDescent="0.2">
      <c r="E15" s="798" t="str">
        <f>Translations!$B$135</f>
        <v>For showing/hiding examples, press the "Examples" button in the navigation area.</v>
      </c>
      <c r="F15" s="797"/>
      <c r="G15" s="797"/>
      <c r="H15" s="797"/>
      <c r="I15" s="797"/>
      <c r="J15" s="797"/>
      <c r="K15" s="797"/>
      <c r="L15" s="797"/>
      <c r="M15" s="797"/>
      <c r="N15" s="797"/>
    </row>
    <row r="16" spans="1:16" ht="4.9000000000000004" customHeight="1" x14ac:dyDescent="0.2">
      <c r="E16" s="71"/>
      <c r="F16" s="71"/>
      <c r="G16" s="71"/>
      <c r="H16" s="71"/>
      <c r="I16" s="71"/>
      <c r="J16" s="71"/>
      <c r="K16" s="71"/>
      <c r="L16" s="71"/>
      <c r="M16" s="71"/>
    </row>
    <row r="17" spans="1:16" s="309" customFormat="1" ht="27" customHeight="1" x14ac:dyDescent="0.2">
      <c r="A17" s="315"/>
      <c r="E17" s="412" t="str">
        <f>Translations!$B$136</f>
        <v>Version No</v>
      </c>
      <c r="F17" s="412" t="str">
        <f>Translations!$B$137</f>
        <v>Reference date</v>
      </c>
      <c r="G17" s="802" t="str">
        <f>Translations!$B$138</f>
        <v>Status at reference date</v>
      </c>
      <c r="H17" s="802"/>
      <c r="I17" s="412" t="str">
        <f>Translations!$B$1162</f>
        <v>Date of application</v>
      </c>
      <c r="J17" s="799" t="str">
        <f>Translations!$B$139</f>
        <v>Chapters where modifications have been made. 
Brief explanation of changes</v>
      </c>
      <c r="K17" s="800"/>
      <c r="L17" s="800"/>
      <c r="M17" s="800"/>
      <c r="N17" s="801"/>
      <c r="O17" s="308"/>
      <c r="P17" s="312"/>
    </row>
    <row r="18" spans="1:16" ht="33.75" customHeight="1" x14ac:dyDescent="0.2">
      <c r="A18" s="6" t="s">
        <v>1373</v>
      </c>
      <c r="C18" s="309"/>
      <c r="E18" s="235">
        <v>1</v>
      </c>
      <c r="F18" s="236">
        <v>44012</v>
      </c>
      <c r="G18" s="793" t="str">
        <f>Translations!$B$140</f>
        <v>submitted to competent authority</v>
      </c>
      <c r="H18" s="793"/>
      <c r="I18" s="236">
        <v>44197</v>
      </c>
      <c r="J18" s="788" t="str">
        <f>Translations!$B$141</f>
        <v>New monitoring plan for meeting the requirements of the M&amp;R Regulation.</v>
      </c>
      <c r="K18" s="789"/>
      <c r="L18" s="789"/>
      <c r="M18" s="789"/>
      <c r="N18" s="790"/>
    </row>
    <row r="19" spans="1:16" ht="22.5" customHeight="1" x14ac:dyDescent="0.2">
      <c r="A19" s="6" t="s">
        <v>1373</v>
      </c>
      <c r="C19" s="309"/>
      <c r="E19" s="235">
        <v>2</v>
      </c>
      <c r="F19" s="236">
        <v>44031</v>
      </c>
      <c r="G19" s="793" t="str">
        <f>Translations!$B$142</f>
        <v>returned with remarks</v>
      </c>
      <c r="H19" s="793"/>
      <c r="I19" s="236"/>
      <c r="J19" s="788" t="str">
        <f>Translations!$B$143</f>
        <v>CA has entered some corrections for source streams 1 and 2. Procedures on data flows should be improved before re-submission.</v>
      </c>
      <c r="K19" s="791"/>
      <c r="L19" s="791"/>
      <c r="M19" s="791"/>
      <c r="N19" s="792"/>
    </row>
    <row r="20" spans="1:16" ht="33.75" customHeight="1" x14ac:dyDescent="0.2">
      <c r="A20" s="6" t="s">
        <v>1373</v>
      </c>
      <c r="C20" s="309"/>
      <c r="E20" s="235">
        <v>3</v>
      </c>
      <c r="F20" s="236">
        <v>44050</v>
      </c>
      <c r="G20" s="793" t="str">
        <f>Translations!$B$140</f>
        <v>submitted to competent authority</v>
      </c>
      <c r="H20" s="793"/>
      <c r="I20" s="236">
        <v>44197</v>
      </c>
      <c r="J20" s="788" t="str">
        <f>Translations!$B$144</f>
        <v>MP updated according to CA's suggestions. Furthermore added a new source stream No. 4 (wood panel wastes, contaminated with ca. 5% fossil fraction).</v>
      </c>
      <c r="K20" s="791"/>
      <c r="L20" s="791"/>
      <c r="M20" s="791"/>
      <c r="N20" s="792"/>
    </row>
    <row r="21" spans="1:16" ht="33.75" customHeight="1" x14ac:dyDescent="0.2">
      <c r="A21" s="6" t="s">
        <v>1373</v>
      </c>
      <c r="C21" s="309"/>
      <c r="E21" s="235">
        <v>4</v>
      </c>
      <c r="F21" s="236">
        <v>44081</v>
      </c>
      <c r="G21" s="793" t="str">
        <f>Translations!$B$145</f>
        <v>approved by competent authority</v>
      </c>
      <c r="H21" s="793"/>
      <c r="I21" s="236">
        <v>44197</v>
      </c>
      <c r="J21" s="788" t="str">
        <f>Translations!$B$146</f>
        <v>Approved without further changes. Operator has received paper copy together with the updated permit for ensuring authentic content of the MP file returned electronically.</v>
      </c>
      <c r="K21" s="791"/>
      <c r="L21" s="791"/>
      <c r="M21" s="791"/>
      <c r="N21" s="792"/>
    </row>
    <row r="22" spans="1:16" ht="33.75" hidden="1" customHeight="1" x14ac:dyDescent="0.2">
      <c r="A22" s="6" t="s">
        <v>1090</v>
      </c>
      <c r="C22" s="309"/>
      <c r="E22" s="235"/>
      <c r="F22" s="236"/>
      <c r="G22" s="793"/>
      <c r="H22" s="793"/>
      <c r="I22" s="236"/>
      <c r="J22" s="649"/>
      <c r="K22" s="650"/>
      <c r="L22" s="650"/>
      <c r="M22" s="647"/>
      <c r="N22" s="648"/>
    </row>
    <row r="23" spans="1:16" x14ac:dyDescent="0.2">
      <c r="E23" s="652"/>
      <c r="F23" s="653"/>
      <c r="G23" s="787"/>
      <c r="H23" s="787"/>
      <c r="I23" s="653"/>
      <c r="J23" s="654"/>
      <c r="K23" s="655"/>
      <c r="L23" s="655"/>
      <c r="M23" s="656"/>
      <c r="N23" s="657"/>
    </row>
    <row r="24" spans="1:16" x14ac:dyDescent="0.2">
      <c r="E24" s="652"/>
      <c r="F24" s="653"/>
      <c r="G24" s="787"/>
      <c r="H24" s="787"/>
      <c r="I24" s="653"/>
      <c r="J24" s="654"/>
      <c r="K24" s="655"/>
      <c r="L24" s="655"/>
      <c r="M24" s="656"/>
      <c r="N24" s="657"/>
    </row>
    <row r="25" spans="1:16" x14ac:dyDescent="0.2">
      <c r="E25" s="652"/>
      <c r="F25" s="653"/>
      <c r="G25" s="787"/>
      <c r="H25" s="787"/>
      <c r="I25" s="653"/>
      <c r="J25" s="654"/>
      <c r="K25" s="655"/>
      <c r="L25" s="655"/>
      <c r="M25" s="656"/>
      <c r="N25" s="657"/>
    </row>
    <row r="26" spans="1:16" x14ac:dyDescent="0.2">
      <c r="E26" s="652"/>
      <c r="F26" s="653"/>
      <c r="G26" s="787"/>
      <c r="H26" s="787"/>
      <c r="I26" s="653"/>
      <c r="J26" s="654"/>
      <c r="K26" s="655"/>
      <c r="L26" s="655"/>
      <c r="M26" s="656"/>
      <c r="N26" s="657"/>
    </row>
    <row r="27" spans="1:16" x14ac:dyDescent="0.2">
      <c r="E27" s="652"/>
      <c r="F27" s="653"/>
      <c r="G27" s="787"/>
      <c r="H27" s="787"/>
      <c r="I27" s="653"/>
      <c r="J27" s="654"/>
      <c r="K27" s="655"/>
      <c r="L27" s="655"/>
      <c r="M27" s="656"/>
      <c r="N27" s="657"/>
    </row>
    <row r="28" spans="1:16" x14ac:dyDescent="0.2">
      <c r="E28" s="652"/>
      <c r="F28" s="653"/>
      <c r="G28" s="787"/>
      <c r="H28" s="787"/>
      <c r="I28" s="653"/>
      <c r="J28" s="654"/>
      <c r="K28" s="655"/>
      <c r="L28" s="655"/>
      <c r="M28" s="656"/>
      <c r="N28" s="657"/>
    </row>
    <row r="29" spans="1:16" x14ac:dyDescent="0.2">
      <c r="E29" s="652"/>
      <c r="F29" s="653"/>
      <c r="G29" s="787"/>
      <c r="H29" s="787"/>
      <c r="I29" s="653"/>
      <c r="J29" s="654"/>
      <c r="K29" s="655"/>
      <c r="L29" s="655"/>
      <c r="M29" s="656"/>
      <c r="N29" s="657"/>
    </row>
    <row r="30" spans="1:16" x14ac:dyDescent="0.2">
      <c r="E30" s="652"/>
      <c r="F30" s="653"/>
      <c r="G30" s="787"/>
      <c r="H30" s="787"/>
      <c r="I30" s="653"/>
      <c r="J30" s="654"/>
      <c r="K30" s="655"/>
      <c r="L30" s="655"/>
      <c r="M30" s="656"/>
      <c r="N30" s="657"/>
    </row>
    <row r="31" spans="1:16" x14ac:dyDescent="0.2">
      <c r="E31" s="652"/>
      <c r="F31" s="653"/>
      <c r="G31" s="787"/>
      <c r="H31" s="787"/>
      <c r="I31" s="653"/>
      <c r="J31" s="654"/>
      <c r="K31" s="655"/>
      <c r="L31" s="655"/>
      <c r="M31" s="656"/>
      <c r="N31" s="657"/>
    </row>
    <row r="32" spans="1:16" x14ac:dyDescent="0.2">
      <c r="E32" s="652"/>
      <c r="F32" s="653"/>
      <c r="G32" s="787"/>
      <c r="H32" s="787"/>
      <c r="I32" s="653"/>
      <c r="J32" s="654"/>
      <c r="K32" s="655"/>
      <c r="L32" s="655"/>
      <c r="M32" s="656"/>
      <c r="N32" s="657"/>
    </row>
    <row r="33" spans="1:14" x14ac:dyDescent="0.2">
      <c r="E33" s="652"/>
      <c r="F33" s="653"/>
      <c r="G33" s="787"/>
      <c r="H33" s="787"/>
      <c r="I33" s="653"/>
      <c r="J33" s="654"/>
      <c r="K33" s="655"/>
      <c r="L33" s="655"/>
      <c r="M33" s="656"/>
      <c r="N33" s="657"/>
    </row>
    <row r="34" spans="1:14" x14ac:dyDescent="0.2">
      <c r="E34" s="652"/>
      <c r="F34" s="653"/>
      <c r="G34" s="787"/>
      <c r="H34" s="787"/>
      <c r="I34" s="653"/>
      <c r="J34" s="654"/>
      <c r="K34" s="655"/>
      <c r="L34" s="655"/>
      <c r="M34" s="656"/>
      <c r="N34" s="657"/>
    </row>
    <row r="35" spans="1:14" x14ac:dyDescent="0.2">
      <c r="E35" s="652"/>
      <c r="F35" s="653"/>
      <c r="G35" s="787"/>
      <c r="H35" s="787"/>
      <c r="I35" s="653"/>
      <c r="J35" s="654"/>
      <c r="K35" s="655"/>
      <c r="L35" s="655"/>
      <c r="M35" s="656"/>
      <c r="N35" s="657"/>
    </row>
    <row r="36" spans="1:14" x14ac:dyDescent="0.2">
      <c r="E36" s="652"/>
      <c r="F36" s="653"/>
      <c r="G36" s="787"/>
      <c r="H36" s="787"/>
      <c r="I36" s="653"/>
      <c r="J36" s="654"/>
      <c r="K36" s="655"/>
      <c r="L36" s="655"/>
      <c r="M36" s="656"/>
      <c r="N36" s="657"/>
    </row>
    <row r="37" spans="1:14" x14ac:dyDescent="0.2">
      <c r="E37" s="652"/>
      <c r="F37" s="653"/>
      <c r="G37" s="787"/>
      <c r="H37" s="787"/>
      <c r="I37" s="653"/>
      <c r="J37" s="654"/>
      <c r="K37" s="655"/>
      <c r="L37" s="655"/>
      <c r="M37" s="656"/>
      <c r="N37" s="657"/>
    </row>
    <row r="38" spans="1:14" x14ac:dyDescent="0.2">
      <c r="E38" s="652"/>
      <c r="F38" s="653"/>
      <c r="G38" s="787"/>
      <c r="H38" s="787"/>
      <c r="I38" s="653"/>
      <c r="J38" s="654"/>
      <c r="K38" s="655"/>
      <c r="L38" s="655"/>
      <c r="M38" s="656"/>
      <c r="N38" s="657"/>
    </row>
    <row r="39" spans="1:14" x14ac:dyDescent="0.2">
      <c r="E39" s="652"/>
      <c r="F39" s="653"/>
      <c r="G39" s="787"/>
      <c r="H39" s="787"/>
      <c r="I39" s="653"/>
      <c r="J39" s="654"/>
      <c r="K39" s="655"/>
      <c r="L39" s="655"/>
      <c r="M39" s="656"/>
      <c r="N39" s="657"/>
    </row>
    <row r="40" spans="1:14" x14ac:dyDescent="0.2">
      <c r="E40" s="652"/>
      <c r="F40" s="653"/>
      <c r="G40" s="787"/>
      <c r="H40" s="787"/>
      <c r="I40" s="653"/>
      <c r="J40" s="654"/>
      <c r="K40" s="655"/>
      <c r="L40" s="655"/>
      <c r="M40" s="656"/>
      <c r="N40" s="657"/>
    </row>
    <row r="41" spans="1:14" x14ac:dyDescent="0.2">
      <c r="E41" s="652"/>
      <c r="F41" s="653"/>
      <c r="G41" s="787"/>
      <c r="H41" s="787"/>
      <c r="I41" s="653"/>
      <c r="J41" s="654"/>
      <c r="K41" s="655"/>
      <c r="L41" s="655"/>
      <c r="M41" s="656"/>
      <c r="N41" s="657"/>
    </row>
    <row r="42" spans="1:14" x14ac:dyDescent="0.2">
      <c r="E42" s="652"/>
      <c r="F42" s="653"/>
      <c r="G42" s="787"/>
      <c r="H42" s="787"/>
      <c r="I42" s="653"/>
      <c r="J42" s="654"/>
      <c r="K42" s="655"/>
      <c r="L42" s="655"/>
      <c r="M42" s="656"/>
      <c r="N42" s="657"/>
    </row>
    <row r="43" spans="1:14" x14ac:dyDescent="0.2">
      <c r="E43" s="652"/>
      <c r="F43" s="653"/>
      <c r="G43" s="787"/>
      <c r="H43" s="787"/>
      <c r="I43" s="653"/>
      <c r="J43" s="654"/>
      <c r="K43" s="655"/>
      <c r="L43" s="655"/>
      <c r="M43" s="656"/>
      <c r="N43" s="657"/>
    </row>
    <row r="44" spans="1:14" x14ac:dyDescent="0.2">
      <c r="E44" s="652"/>
      <c r="F44" s="653"/>
      <c r="G44" s="787"/>
      <c r="H44" s="787"/>
      <c r="I44" s="653"/>
      <c r="J44" s="654"/>
      <c r="K44" s="655"/>
      <c r="L44" s="655"/>
      <c r="M44" s="656"/>
      <c r="N44" s="657"/>
    </row>
    <row r="45" spans="1:14" x14ac:dyDescent="0.2">
      <c r="E45" s="652"/>
      <c r="F45" s="653"/>
      <c r="G45" s="787"/>
      <c r="H45" s="787"/>
      <c r="I45" s="653"/>
      <c r="J45" s="654"/>
      <c r="K45" s="655"/>
      <c r="L45" s="655"/>
      <c r="M45" s="656"/>
      <c r="N45" s="657"/>
    </row>
    <row r="46" spans="1:14" x14ac:dyDescent="0.2">
      <c r="E46" s="652"/>
      <c r="F46" s="653"/>
      <c r="G46" s="787"/>
      <c r="H46" s="787"/>
      <c r="I46" s="653"/>
      <c r="J46" s="654"/>
      <c r="K46" s="655"/>
      <c r="L46" s="655"/>
      <c r="M46" s="656"/>
      <c r="N46" s="657"/>
    </row>
    <row r="47" spans="1:14" x14ac:dyDescent="0.2">
      <c r="A47" s="12"/>
      <c r="E47" s="652"/>
      <c r="F47" s="653"/>
      <c r="G47" s="787"/>
      <c r="H47" s="787"/>
      <c r="I47" s="653"/>
      <c r="J47" s="654"/>
      <c r="K47" s="655"/>
      <c r="L47" s="655"/>
      <c r="M47" s="656"/>
      <c r="N47" s="657"/>
    </row>
    <row r="48" spans="1:14" hidden="1" x14ac:dyDescent="0.2">
      <c r="A48" s="12" t="s">
        <v>1090</v>
      </c>
      <c r="E48" s="652"/>
      <c r="F48" s="653"/>
      <c r="G48" s="787"/>
      <c r="H48" s="787"/>
      <c r="I48" s="653"/>
      <c r="J48" s="654"/>
      <c r="K48" s="655"/>
      <c r="L48" s="655"/>
      <c r="M48" s="656"/>
      <c r="N48" s="657"/>
    </row>
    <row r="49" spans="1:16" s="11" customFormat="1" x14ac:dyDescent="0.2">
      <c r="A49" s="12" t="s">
        <v>859</v>
      </c>
      <c r="D49" s="310"/>
      <c r="E49" s="310"/>
      <c r="F49" s="310"/>
      <c r="G49" s="310"/>
      <c r="H49" s="310"/>
      <c r="I49" s="310"/>
      <c r="J49" s="310"/>
      <c r="K49" s="310"/>
      <c r="L49" s="310"/>
      <c r="M49" s="310"/>
      <c r="N49" s="310"/>
      <c r="P49" s="15"/>
    </row>
    <row r="50" spans="1:16" s="8" customFormat="1" ht="5.0999999999999996" customHeight="1" x14ac:dyDescent="0.2">
      <c r="A50" s="12"/>
      <c r="C50" s="78"/>
      <c r="D50" s="14"/>
      <c r="G50" s="794" t="str">
        <f>Translations!$B$147</f>
        <v>Click "+" to add more monitoring plan versions</v>
      </c>
      <c r="H50" s="794"/>
      <c r="I50" s="794"/>
      <c r="J50" s="794"/>
      <c r="K50" s="795"/>
      <c r="L50" s="11"/>
      <c r="M50" s="11"/>
      <c r="N50" s="11"/>
      <c r="O50" s="11"/>
      <c r="P50" s="65"/>
    </row>
    <row r="51" spans="1:16" s="8" customFormat="1" ht="12.75" customHeight="1" x14ac:dyDescent="0.2">
      <c r="A51" s="12"/>
      <c r="C51" s="78"/>
      <c r="D51" s="14"/>
      <c r="G51" s="794"/>
      <c r="H51" s="794"/>
      <c r="I51" s="794"/>
      <c r="J51" s="794"/>
      <c r="K51" s="795"/>
      <c r="L51" s="11"/>
      <c r="M51" s="11"/>
      <c r="N51" s="11"/>
      <c r="O51" s="11"/>
      <c r="P51" s="65"/>
    </row>
    <row r="52" spans="1:16" s="8" customFormat="1" ht="5.0999999999999996" customHeight="1" x14ac:dyDescent="0.2">
      <c r="A52" s="12"/>
      <c r="C52" s="78"/>
      <c r="D52" s="14"/>
      <c r="G52" s="794"/>
      <c r="H52" s="794"/>
      <c r="I52" s="794"/>
      <c r="J52" s="794"/>
      <c r="K52" s="795"/>
      <c r="L52" s="11"/>
      <c r="M52" s="11"/>
      <c r="N52" s="11"/>
      <c r="O52" s="11"/>
      <c r="P52" s="65"/>
    </row>
    <row r="53" spans="1:16" s="11" customFormat="1" x14ac:dyDescent="0.2">
      <c r="A53" s="12"/>
      <c r="D53" s="310"/>
      <c r="E53" s="310"/>
      <c r="F53" s="310"/>
      <c r="G53" s="310"/>
      <c r="H53" s="310"/>
      <c r="I53" s="310"/>
      <c r="J53" s="310"/>
      <c r="K53" s="310"/>
      <c r="L53" s="310"/>
      <c r="M53" s="310"/>
      <c r="N53" s="310"/>
      <c r="P53" s="15"/>
    </row>
    <row r="54" spans="1:16" ht="15" customHeight="1" x14ac:dyDescent="0.2">
      <c r="F54" s="770" t="str">
        <f>EUconst_MsgNextSheet</f>
        <v xml:space="preserve">&lt;&lt;&lt; Click here to proceed to next sheet &gt;&gt;&gt; </v>
      </c>
      <c r="G54" s="770"/>
      <c r="H54" s="770"/>
      <c r="I54" s="770"/>
      <c r="J54" s="770"/>
      <c r="K54" s="770"/>
      <c r="L54" s="770"/>
    </row>
  </sheetData>
  <sheetProtection sheet="1" objects="1" scenarios="1" formatCells="0" formatColumns="0" formatRows="0"/>
  <mergeCells count="63">
    <mergeCell ref="D8:N8"/>
    <mergeCell ref="E4:F4"/>
    <mergeCell ref="I4:J4"/>
    <mergeCell ref="E2:F2"/>
    <mergeCell ref="G2:H2"/>
    <mergeCell ref="M2:N2"/>
    <mergeCell ref="M3:N3"/>
    <mergeCell ref="C6:N6"/>
    <mergeCell ref="K4:L4"/>
    <mergeCell ref="M4:N4"/>
    <mergeCell ref="I2:J2"/>
    <mergeCell ref="K2:L2"/>
    <mergeCell ref="G4:H4"/>
    <mergeCell ref="B2:D4"/>
    <mergeCell ref="G3:H3"/>
    <mergeCell ref="I3:J3"/>
    <mergeCell ref="E3:F3"/>
    <mergeCell ref="K3:L3"/>
    <mergeCell ref="F54:L54"/>
    <mergeCell ref="G50:K52"/>
    <mergeCell ref="E10:N10"/>
    <mergeCell ref="E11:N11"/>
    <mergeCell ref="E12:N12"/>
    <mergeCell ref="E13:N13"/>
    <mergeCell ref="E15:N15"/>
    <mergeCell ref="E14:N14"/>
    <mergeCell ref="J17:N17"/>
    <mergeCell ref="G17:H17"/>
    <mergeCell ref="G29:H29"/>
    <mergeCell ref="G18:H18"/>
    <mergeCell ref="G19:H19"/>
    <mergeCell ref="G20:H20"/>
    <mergeCell ref="G21:H21"/>
    <mergeCell ref="G22:H22"/>
    <mergeCell ref="G23:H23"/>
    <mergeCell ref="G24:H24"/>
    <mergeCell ref="G25:H25"/>
    <mergeCell ref="G26:H26"/>
    <mergeCell ref="G27:H27"/>
    <mergeCell ref="G28:H28"/>
    <mergeCell ref="G41:H41"/>
    <mergeCell ref="G30:H30"/>
    <mergeCell ref="G31:H31"/>
    <mergeCell ref="G32:H32"/>
    <mergeCell ref="G33:H33"/>
    <mergeCell ref="G34:H34"/>
    <mergeCell ref="G35:H35"/>
    <mergeCell ref="G48:H48"/>
    <mergeCell ref="J18:N18"/>
    <mergeCell ref="J19:N19"/>
    <mergeCell ref="J20:N20"/>
    <mergeCell ref="J21:N21"/>
    <mergeCell ref="G42:H42"/>
    <mergeCell ref="G43:H43"/>
    <mergeCell ref="G44:H44"/>
    <mergeCell ref="G45:H45"/>
    <mergeCell ref="G46:H46"/>
    <mergeCell ref="G47:H47"/>
    <mergeCell ref="G36:H36"/>
    <mergeCell ref="G37:H37"/>
    <mergeCell ref="G38:H38"/>
    <mergeCell ref="G39:H39"/>
    <mergeCell ref="G40:H40"/>
  </mergeCells>
  <phoneticPr fontId="61" type="noConversion"/>
  <conditionalFormatting sqref="F23:F48 I23:I48">
    <cfRule type="expression" dxfId="211" priority="4" stopIfTrue="1">
      <formula>AND(F23&lt;&gt;"",F23&lt;MAX($F$22:F22))</formula>
    </cfRule>
  </conditionalFormatting>
  <conditionalFormatting sqref="E23:E48">
    <cfRule type="expression" dxfId="210" priority="3" stopIfTrue="1">
      <formula>AND(E23&lt;&gt;"",E23&lt;MAX($E$22:E22))</formula>
    </cfRule>
  </conditionalFormatting>
  <dataValidations count="4">
    <dataValidation type="list" allowBlank="1" showInputMessage="1" showErrorMessage="1" sqref="G22:G48" xr:uid="{00000000-0002-0000-0200-000000000000}">
      <formula1>Euconst_MPReferenceDateTypes</formula1>
    </dataValidation>
    <dataValidation type="date" operator="greaterThan" allowBlank="1" showInputMessage="1" showErrorMessage="1" sqref="I23:I48" xr:uid="{00000000-0002-0000-0200-000001000000}">
      <formula1>43831</formula1>
    </dataValidation>
    <dataValidation type="whole" operator="greaterThanOrEqual" allowBlank="1" showInputMessage="1" showErrorMessage="1" sqref="E23:E48" xr:uid="{00000000-0002-0000-0200-000002000000}">
      <formula1>1</formula1>
    </dataValidation>
    <dataValidation type="date" operator="greaterThan" allowBlank="1" showInputMessage="1" showErrorMessage="1" sqref="F23:F48" xr:uid="{00000000-0002-0000-0200-000003000000}">
      <formula1>40909</formula1>
    </dataValidation>
  </dataValidations>
  <hyperlinks>
    <hyperlink ref="E3:F3" location="JUMP_A_Top" display="Top of sheet" xr:uid="{00000000-0004-0000-0200-000000000000}"/>
    <hyperlink ref="G2:H2" location="JUMP_a_Content" display="Table of contents" xr:uid="{00000000-0004-0000-0200-000001000000}"/>
    <hyperlink ref="E4:F4" location="JUMP_A_Bottom" display="End of sheet" xr:uid="{00000000-0004-0000-0200-000002000000}"/>
    <hyperlink ref="K2:L2" location="JUMP_B_Top" display="Next sheet" xr:uid="{00000000-0004-0000-0200-000003000000}"/>
    <hyperlink ref="F54:L54" location="JUMP_B_Top" display="JUMP_B_Top" xr:uid="{00000000-0004-0000-0200-000004000000}"/>
    <hyperlink ref="I2:J2" location="JUMP_b_Guidelines_Top" display="Previous sheet" xr:uid="{00000000-0004-0000-0200-000005000000}"/>
  </hyperlinks>
  <pageMargins left="0.78740157480314965" right="0.78740157480314965" top="0.78740157480314965" bottom="0.78740157480314965" header="0.39370078740157483" footer="0.39370078740157483"/>
  <pageSetup paperSize="9" scale="61" orientation="portrait" r:id="rId1"/>
  <headerFooter alignWithMargins="0">
    <oddHeader>&amp;L&amp;F, &amp;A&amp;R&amp;D, &amp;T</oddHeader>
    <oddFooter>&amp;C&amp;P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indexed="43"/>
    <pageSetUpPr fitToPage="1"/>
  </sheetPr>
  <dimension ref="A1:P65"/>
  <sheetViews>
    <sheetView workbookViewId="0">
      <pane ySplit="4" topLeftCell="A5" activePane="bottomLeft" state="frozen"/>
      <selection activeCell="B2" sqref="B2"/>
      <selection pane="bottomLeft" activeCell="B2" sqref="B2:D4"/>
    </sheetView>
  </sheetViews>
  <sheetFormatPr defaultColWidth="9.140625" defaultRowHeight="12.75" x14ac:dyDescent="0.2"/>
  <cols>
    <col min="1" max="1" width="2.7109375" style="317" hidden="1" customWidth="1"/>
    <col min="2" max="2" width="2.7109375" style="316" customWidth="1"/>
    <col min="3" max="4" width="4.7109375" style="316" customWidth="1"/>
    <col min="5" max="14" width="12.7109375" style="316" customWidth="1"/>
    <col min="15" max="15" width="4.7109375" style="316" customWidth="1"/>
    <col min="16" max="16" width="12.7109375" style="317" hidden="1" customWidth="1"/>
    <col min="17" max="16384" width="9.140625" style="316"/>
  </cols>
  <sheetData>
    <row r="1" spans="1:16" ht="13.5" hidden="1" thickBot="1" x14ac:dyDescent="0.25">
      <c r="A1" s="12" t="s">
        <v>1090</v>
      </c>
      <c r="B1" s="72"/>
      <c r="C1" s="73"/>
      <c r="D1" s="189"/>
      <c r="E1" s="72"/>
      <c r="F1" s="72"/>
      <c r="G1" s="75"/>
      <c r="H1" s="75"/>
      <c r="I1" s="72"/>
      <c r="J1" s="72"/>
      <c r="K1" s="72"/>
      <c r="L1" s="72"/>
      <c r="M1" s="72"/>
      <c r="N1" s="72"/>
      <c r="O1" s="72"/>
      <c r="P1" s="65" t="s">
        <v>1090</v>
      </c>
    </row>
    <row r="2" spans="1:16" ht="13.5" customHeight="1" thickBot="1" x14ac:dyDescent="0.25">
      <c r="A2" s="12"/>
      <c r="B2" s="803" t="str">
        <f>Translations!$B$148</f>
        <v>B.
OperatorInst ID</v>
      </c>
      <c r="C2" s="840"/>
      <c r="D2" s="841"/>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11"/>
      <c r="P2" s="65"/>
    </row>
    <row r="3" spans="1:16" ht="12.75" customHeight="1" x14ac:dyDescent="0.2">
      <c r="A3" s="12"/>
      <c r="B3" s="842"/>
      <c r="C3" s="843"/>
      <c r="D3" s="844"/>
      <c r="E3" s="832" t="str">
        <f>Translations!$B$63</f>
        <v>Top of sheet</v>
      </c>
      <c r="F3" s="831"/>
      <c r="G3" s="830" t="str">
        <f>Translations!$B$149</f>
        <v>Operator</v>
      </c>
      <c r="H3" s="831"/>
      <c r="I3" s="830" t="str">
        <f>Translations!$B$150</f>
        <v>Installation</v>
      </c>
      <c r="J3" s="831"/>
      <c r="K3" s="830" t="str">
        <f>Translations!$B$151</f>
        <v>Contacts</v>
      </c>
      <c r="L3" s="833"/>
      <c r="M3" s="835"/>
      <c r="N3" s="835"/>
      <c r="O3" s="11"/>
      <c r="P3" s="65"/>
    </row>
    <row r="4" spans="1:16" x14ac:dyDescent="0.2">
      <c r="A4" s="12"/>
      <c r="B4" s="842"/>
      <c r="C4" s="843"/>
      <c r="D4" s="844"/>
      <c r="E4" s="828" t="str">
        <f>Translations!$B$64</f>
        <v>End of sheet</v>
      </c>
      <c r="F4" s="829"/>
      <c r="G4" s="834"/>
      <c r="H4" s="829"/>
      <c r="I4" s="834"/>
      <c r="J4" s="829"/>
      <c r="K4" s="834"/>
      <c r="L4" s="836"/>
      <c r="M4" s="835"/>
      <c r="N4" s="835"/>
      <c r="O4" s="11"/>
      <c r="P4" s="65"/>
    </row>
    <row r="5" spans="1:16" x14ac:dyDescent="0.2">
      <c r="A5" s="65"/>
      <c r="O5" s="11"/>
      <c r="P5" s="65"/>
    </row>
    <row r="6" spans="1:16" ht="25.5" customHeight="1" x14ac:dyDescent="0.2">
      <c r="A6" s="248"/>
      <c r="C6" s="766" t="str">
        <f>Translations!$B$9</f>
        <v>B. Operator &amp; Installation Identification</v>
      </c>
      <c r="D6" s="766"/>
      <c r="E6" s="766"/>
      <c r="F6" s="766"/>
      <c r="G6" s="766"/>
      <c r="H6" s="766"/>
      <c r="I6" s="766"/>
      <c r="J6" s="766"/>
      <c r="K6" s="766"/>
      <c r="L6" s="766"/>
      <c r="M6" s="766"/>
      <c r="N6" s="766"/>
      <c r="O6" s="11"/>
      <c r="P6" s="65"/>
    </row>
    <row r="7" spans="1:16" x14ac:dyDescent="0.2">
      <c r="A7" s="65"/>
      <c r="O7" s="11"/>
      <c r="P7" s="65"/>
    </row>
    <row r="8" spans="1:16" ht="15.75" x14ac:dyDescent="0.25">
      <c r="A8" s="65"/>
      <c r="B8" s="11"/>
      <c r="C8" s="77">
        <v>2</v>
      </c>
      <c r="D8" s="826" t="str">
        <f>Translations!$B$10</f>
        <v>About the operator</v>
      </c>
      <c r="E8" s="826"/>
      <c r="F8" s="826"/>
      <c r="G8" s="826"/>
      <c r="H8" s="826"/>
      <c r="I8" s="826"/>
      <c r="J8" s="826"/>
      <c r="K8" s="826"/>
      <c r="L8" s="826"/>
      <c r="M8" s="826"/>
      <c r="N8" s="826"/>
      <c r="O8" s="11"/>
      <c r="P8" s="65"/>
    </row>
    <row r="9" spans="1:16" x14ac:dyDescent="0.2">
      <c r="A9" s="65"/>
      <c r="B9" s="11"/>
      <c r="C9" s="78"/>
      <c r="D9" s="78"/>
      <c r="E9" s="8"/>
      <c r="F9" s="8"/>
      <c r="G9" s="8"/>
      <c r="H9" s="8"/>
      <c r="I9" s="8"/>
      <c r="J9" s="8"/>
      <c r="K9" s="8"/>
      <c r="L9" s="8"/>
      <c r="M9" s="8"/>
      <c r="N9" s="8"/>
      <c r="O9" s="11"/>
      <c r="P9" s="65"/>
    </row>
    <row r="10" spans="1:16" x14ac:dyDescent="0.2">
      <c r="A10" s="65"/>
      <c r="B10" s="11"/>
      <c r="C10" s="78"/>
      <c r="D10" s="68" t="s">
        <v>1018</v>
      </c>
      <c r="E10" s="846" t="str">
        <f>Translations!$B$152</f>
        <v>Competent Authority</v>
      </c>
      <c r="F10" s="847"/>
      <c r="G10" s="848"/>
      <c r="H10" s="8"/>
      <c r="I10" s="850"/>
      <c r="J10" s="851"/>
      <c r="K10" s="851"/>
      <c r="L10" s="852"/>
      <c r="M10" s="8"/>
      <c r="N10" s="8"/>
      <c r="O10" s="11"/>
      <c r="P10" s="65"/>
    </row>
    <row r="11" spans="1:16" ht="4.9000000000000004" customHeight="1" x14ac:dyDescent="0.2">
      <c r="A11" s="65"/>
      <c r="B11" s="11"/>
      <c r="C11" s="78"/>
      <c r="D11" s="68"/>
      <c r="E11" s="68"/>
      <c r="F11" s="68"/>
      <c r="G11" s="68"/>
      <c r="H11" s="8"/>
      <c r="I11" s="8"/>
      <c r="J11" s="8"/>
      <c r="K11" s="8"/>
      <c r="L11" s="8"/>
      <c r="M11" s="320"/>
      <c r="N11" s="318"/>
      <c r="O11" s="11"/>
      <c r="P11" s="65"/>
    </row>
    <row r="12" spans="1:16" x14ac:dyDescent="0.2">
      <c r="A12" s="65"/>
      <c r="B12" s="11"/>
      <c r="C12" s="78"/>
      <c r="D12" s="68" t="s">
        <v>1020</v>
      </c>
      <c r="E12" s="846" t="str">
        <f>Translations!$B$153</f>
        <v>Member State</v>
      </c>
      <c r="F12" s="847"/>
      <c r="G12" s="848"/>
      <c r="H12" s="8"/>
      <c r="I12" s="850"/>
      <c r="J12" s="851"/>
      <c r="K12" s="851"/>
      <c r="L12" s="852"/>
      <c r="M12" s="320"/>
      <c r="N12" s="318"/>
      <c r="O12" s="11"/>
      <c r="P12" s="65"/>
    </row>
    <row r="13" spans="1:16" ht="4.9000000000000004" customHeight="1" x14ac:dyDescent="0.2">
      <c r="A13" s="65"/>
      <c r="B13" s="11"/>
      <c r="C13" s="78"/>
      <c r="D13" s="68"/>
      <c r="E13" s="68"/>
      <c r="F13" s="68"/>
      <c r="G13" s="68"/>
      <c r="H13" s="8"/>
      <c r="I13" s="8"/>
      <c r="J13" s="8"/>
      <c r="K13" s="8"/>
      <c r="L13" s="8"/>
      <c r="M13" s="320"/>
      <c r="N13" s="318"/>
      <c r="O13" s="11"/>
      <c r="P13" s="65"/>
    </row>
    <row r="14" spans="1:16" x14ac:dyDescent="0.2">
      <c r="A14" s="65"/>
      <c r="B14" s="11"/>
      <c r="C14" s="78"/>
      <c r="D14" s="68" t="s">
        <v>642</v>
      </c>
      <c r="E14" s="846" t="str">
        <f>Translations!$B$154</f>
        <v>Emissions trading permit number</v>
      </c>
      <c r="F14" s="847"/>
      <c r="G14" s="848"/>
      <c r="H14" s="8"/>
      <c r="I14" s="853" t="str">
        <f>Translations!$B$155</f>
        <v>member state/CA prefix</v>
      </c>
      <c r="J14" s="854"/>
      <c r="K14" s="850"/>
      <c r="L14" s="852"/>
      <c r="M14" s="8"/>
      <c r="N14" s="8"/>
      <c r="O14" s="11"/>
      <c r="P14" s="65"/>
    </row>
    <row r="15" spans="1:16" ht="4.9000000000000004" customHeight="1" x14ac:dyDescent="0.2">
      <c r="A15" s="65"/>
      <c r="B15" s="11"/>
      <c r="C15" s="78"/>
      <c r="D15" s="68"/>
      <c r="E15" s="68"/>
      <c r="F15" s="68"/>
      <c r="G15" s="68"/>
      <c r="H15" s="8"/>
      <c r="I15" s="68"/>
      <c r="J15" s="14"/>
      <c r="K15" s="8"/>
      <c r="L15" s="8"/>
      <c r="M15" s="8"/>
      <c r="N15" s="8"/>
      <c r="O15" s="11"/>
      <c r="P15" s="65"/>
    </row>
    <row r="16" spans="1:16" x14ac:dyDescent="0.2">
      <c r="A16" s="65"/>
      <c r="B16" s="11"/>
      <c r="C16" s="78"/>
      <c r="D16" s="68" t="s">
        <v>1022</v>
      </c>
      <c r="E16" s="319" t="str">
        <f>Translations!$B$156</f>
        <v>Operator Name</v>
      </c>
      <c r="F16" s="68"/>
      <c r="G16" s="68"/>
      <c r="H16" s="8"/>
      <c r="I16" s="855"/>
      <c r="J16" s="856"/>
      <c r="K16" s="856"/>
      <c r="L16" s="857"/>
      <c r="M16" s="8"/>
      <c r="N16" s="8"/>
      <c r="O16" s="11"/>
      <c r="P16" s="65"/>
    </row>
    <row r="17" spans="1:16" x14ac:dyDescent="0.2">
      <c r="A17" s="65"/>
      <c r="B17" s="11"/>
      <c r="C17" s="78"/>
      <c r="D17" s="78"/>
      <c r="E17" s="8"/>
      <c r="F17" s="8"/>
      <c r="G17" s="8"/>
      <c r="H17" s="8"/>
      <c r="I17" s="8"/>
      <c r="J17" s="8"/>
      <c r="K17" s="8"/>
      <c r="L17" s="8"/>
      <c r="M17" s="8"/>
      <c r="N17" s="8"/>
      <c r="O17" s="11"/>
      <c r="P17" s="65"/>
    </row>
    <row r="18" spans="1:16" ht="15.75" x14ac:dyDescent="0.25">
      <c r="A18" s="65"/>
      <c r="B18" s="11"/>
      <c r="C18" s="79">
        <v>3</v>
      </c>
      <c r="D18" s="826" t="str">
        <f>Translations!$B$11</f>
        <v>About your installation</v>
      </c>
      <c r="E18" s="826"/>
      <c r="F18" s="826"/>
      <c r="G18" s="826"/>
      <c r="H18" s="826"/>
      <c r="I18" s="826"/>
      <c r="J18" s="826"/>
      <c r="K18" s="826"/>
      <c r="L18" s="826"/>
      <c r="M18" s="826"/>
      <c r="N18" s="826"/>
      <c r="O18" s="11"/>
      <c r="P18" s="65"/>
    </row>
    <row r="19" spans="1:16" x14ac:dyDescent="0.2">
      <c r="A19" s="65"/>
      <c r="B19" s="11"/>
      <c r="C19" s="78"/>
      <c r="D19" s="67"/>
      <c r="E19" s="313"/>
      <c r="F19" s="313"/>
      <c r="G19" s="313"/>
      <c r="H19" s="313"/>
      <c r="I19" s="313"/>
      <c r="J19" s="313"/>
      <c r="K19" s="313"/>
      <c r="L19" s="313"/>
      <c r="M19" s="8"/>
      <c r="N19" s="8"/>
      <c r="O19" s="11"/>
      <c r="P19" s="65"/>
    </row>
    <row r="20" spans="1:16" ht="15.75" x14ac:dyDescent="0.2">
      <c r="A20" s="249"/>
      <c r="B20" s="11"/>
      <c r="C20" s="321"/>
      <c r="D20" s="322" t="s">
        <v>1018</v>
      </c>
      <c r="E20" s="322" t="str">
        <f>Translations!$B$159</f>
        <v>Name of the installation and the site on which it is located:</v>
      </c>
      <c r="F20" s="323"/>
      <c r="G20" s="323"/>
      <c r="H20" s="323"/>
      <c r="I20" s="34"/>
      <c r="J20" s="324"/>
      <c r="K20" s="34"/>
      <c r="L20" s="34"/>
      <c r="M20" s="34"/>
      <c r="N20" s="34"/>
      <c r="O20" s="11"/>
      <c r="P20" s="65"/>
    </row>
    <row r="21" spans="1:16" ht="4.9000000000000004" customHeight="1" x14ac:dyDescent="0.2">
      <c r="A21" s="65"/>
      <c r="B21" s="11"/>
      <c r="C21" s="78"/>
      <c r="D21" s="78"/>
      <c r="E21" s="325"/>
      <c r="F21" s="325"/>
      <c r="G21" s="325"/>
      <c r="H21" s="325"/>
      <c r="I21" s="8"/>
      <c r="J21" s="8"/>
      <c r="K21" s="8"/>
      <c r="L21" s="8"/>
      <c r="M21" s="326"/>
      <c r="N21" s="8"/>
      <c r="O21" s="11"/>
      <c r="P21" s="65"/>
    </row>
    <row r="22" spans="1:16" x14ac:dyDescent="0.2">
      <c r="A22" s="65"/>
      <c r="B22" s="11"/>
      <c r="C22" s="78"/>
      <c r="D22" s="327" t="s">
        <v>1030</v>
      </c>
      <c r="E22" s="823" t="str">
        <f>Translations!$B$47</f>
        <v>Installation name:</v>
      </c>
      <c r="F22" s="824"/>
      <c r="G22" s="824"/>
      <c r="H22" s="8"/>
      <c r="I22" s="849"/>
      <c r="J22" s="849"/>
      <c r="K22" s="849"/>
      <c r="L22" s="849"/>
      <c r="O22" s="11"/>
      <c r="P22" s="65"/>
    </row>
    <row r="23" spans="1:16" x14ac:dyDescent="0.2">
      <c r="A23" s="65"/>
      <c r="B23" s="11"/>
      <c r="C23" s="78"/>
      <c r="D23" s="327" t="s">
        <v>1031</v>
      </c>
      <c r="E23" s="823" t="str">
        <f>Translations!$B$160</f>
        <v>Site name:</v>
      </c>
      <c r="F23" s="824"/>
      <c r="G23" s="824"/>
      <c r="H23" s="8"/>
      <c r="I23" s="849"/>
      <c r="J23" s="849"/>
      <c r="K23" s="849"/>
      <c r="L23" s="849"/>
      <c r="O23" s="11"/>
      <c r="P23" s="65"/>
    </row>
    <row r="24" spans="1:16" x14ac:dyDescent="0.2">
      <c r="A24" s="65"/>
      <c r="B24" s="11"/>
      <c r="C24" s="78"/>
      <c r="D24" s="327" t="s">
        <v>1468</v>
      </c>
      <c r="E24" s="823" t="str">
        <f>Translations!$B$1276</f>
        <v>Unique ID of the installation (e.g. as in NIMs):</v>
      </c>
      <c r="F24" s="824"/>
      <c r="G24" s="824"/>
      <c r="H24" s="8"/>
      <c r="I24" s="849"/>
      <c r="J24" s="849"/>
      <c r="K24" s="849"/>
      <c r="L24" s="849"/>
      <c r="O24" s="11"/>
      <c r="P24" s="65"/>
    </row>
    <row r="25" spans="1:16" x14ac:dyDescent="0.2">
      <c r="A25" s="65"/>
      <c r="B25" s="11"/>
      <c r="C25" s="78"/>
      <c r="D25" s="327" t="s">
        <v>1469</v>
      </c>
      <c r="E25" s="823" t="str">
        <f>Translations!$B$162</f>
        <v>EPRTR (optional):</v>
      </c>
      <c r="F25" s="824"/>
      <c r="G25" s="824"/>
      <c r="H25" s="8"/>
      <c r="I25" s="816"/>
      <c r="J25" s="816"/>
      <c r="K25" s="816"/>
      <c r="L25" s="816"/>
      <c r="O25" s="11"/>
      <c r="P25" s="65"/>
    </row>
    <row r="26" spans="1:16" x14ac:dyDescent="0.2">
      <c r="A26" s="65"/>
      <c r="B26" s="11"/>
      <c r="C26" s="78"/>
      <c r="D26" s="78"/>
      <c r="E26" s="325"/>
      <c r="F26" s="325"/>
      <c r="G26" s="325"/>
      <c r="H26" s="325"/>
      <c r="O26" s="11"/>
      <c r="P26" s="65"/>
    </row>
    <row r="27" spans="1:16" x14ac:dyDescent="0.2">
      <c r="A27" s="65"/>
      <c r="B27" s="11"/>
      <c r="C27" s="78"/>
      <c r="D27" s="78"/>
      <c r="E27" s="821" t="str">
        <f>Translations!$B$163</f>
        <v>Include any Member State specific guidance on naming of installations.</v>
      </c>
      <c r="F27" s="822"/>
      <c r="G27" s="822"/>
      <c r="H27" s="822"/>
      <c r="I27" s="822"/>
      <c r="J27" s="822"/>
      <c r="K27" s="822"/>
      <c r="L27" s="822"/>
      <c r="M27" s="822"/>
      <c r="N27" s="822"/>
      <c r="O27" s="11"/>
      <c r="P27" s="65"/>
    </row>
    <row r="28" spans="1:16" x14ac:dyDescent="0.2">
      <c r="A28" s="65"/>
      <c r="B28" s="11"/>
      <c r="C28" s="78"/>
      <c r="D28" s="78"/>
      <c r="E28" s="8"/>
      <c r="F28" s="8"/>
      <c r="G28" s="8"/>
      <c r="H28" s="8"/>
      <c r="I28" s="8"/>
      <c r="J28" s="8"/>
      <c r="K28" s="8"/>
      <c r="L28" s="8"/>
      <c r="M28" s="8"/>
      <c r="N28" s="8"/>
      <c r="O28" s="11"/>
      <c r="P28" s="65"/>
    </row>
    <row r="29" spans="1:16" x14ac:dyDescent="0.2">
      <c r="A29" s="65"/>
      <c r="B29" s="11"/>
      <c r="C29" s="78"/>
      <c r="D29" s="328" t="s">
        <v>1020</v>
      </c>
      <c r="E29" s="845" t="str">
        <f>Translations!$B$164</f>
        <v>Address / location of the site of the installation:</v>
      </c>
      <c r="F29" s="824"/>
      <c r="G29" s="824"/>
      <c r="H29" s="824"/>
      <c r="I29" s="824"/>
      <c r="J29" s="824"/>
      <c r="K29" s="8"/>
      <c r="L29" s="8"/>
      <c r="M29" s="8"/>
      <c r="N29" s="8"/>
      <c r="O29" s="11"/>
      <c r="P29" s="65"/>
    </row>
    <row r="30" spans="1:16" x14ac:dyDescent="0.2">
      <c r="A30" s="65"/>
      <c r="B30" s="11"/>
      <c r="C30" s="78"/>
      <c r="D30" s="78"/>
      <c r="E30" s="8"/>
      <c r="F30" s="8"/>
      <c r="G30" s="8"/>
      <c r="H30" s="8"/>
      <c r="I30" s="8"/>
      <c r="J30" s="8"/>
      <c r="K30" s="8"/>
      <c r="L30" s="8"/>
      <c r="M30" s="8"/>
      <c r="N30" s="8"/>
      <c r="O30" s="11"/>
      <c r="P30" s="65"/>
    </row>
    <row r="31" spans="1:16" x14ac:dyDescent="0.2">
      <c r="A31" s="65"/>
      <c r="B31" s="11"/>
      <c r="C31" s="78"/>
      <c r="D31" s="327" t="s">
        <v>1030</v>
      </c>
      <c r="E31" s="823" t="str">
        <f>Translations!$B$165</f>
        <v>Address Line 1:</v>
      </c>
      <c r="F31" s="824"/>
      <c r="G31" s="824"/>
      <c r="H31" s="8"/>
      <c r="I31" s="818"/>
      <c r="J31" s="819"/>
      <c r="K31" s="819"/>
      <c r="L31" s="820"/>
      <c r="M31" s="8"/>
      <c r="N31" s="8"/>
      <c r="O31" s="11"/>
      <c r="P31" s="65"/>
    </row>
    <row r="32" spans="1:16" x14ac:dyDescent="0.2">
      <c r="A32" s="65"/>
      <c r="B32" s="11"/>
      <c r="C32" s="78"/>
      <c r="D32" s="327" t="s">
        <v>1031</v>
      </c>
      <c r="E32" s="823" t="str">
        <f>Translations!$B$166</f>
        <v>Address Line 2:</v>
      </c>
      <c r="F32" s="824"/>
      <c r="G32" s="824"/>
      <c r="H32" s="8"/>
      <c r="I32" s="818"/>
      <c r="J32" s="819"/>
      <c r="K32" s="819"/>
      <c r="L32" s="820"/>
      <c r="M32" s="8"/>
      <c r="N32" s="8"/>
      <c r="O32" s="11"/>
      <c r="P32" s="65"/>
    </row>
    <row r="33" spans="1:16" x14ac:dyDescent="0.2">
      <c r="A33" s="65"/>
      <c r="B33" s="11"/>
      <c r="C33" s="78"/>
      <c r="D33" s="327" t="s">
        <v>1468</v>
      </c>
      <c r="E33" s="823" t="str">
        <f>Translations!$B$167</f>
        <v>City:</v>
      </c>
      <c r="F33" s="824"/>
      <c r="G33" s="824"/>
      <c r="H33" s="8"/>
      <c r="I33" s="818"/>
      <c r="J33" s="819"/>
      <c r="K33" s="819"/>
      <c r="L33" s="820"/>
      <c r="M33" s="8"/>
      <c r="N33" s="8"/>
      <c r="O33" s="11"/>
      <c r="P33" s="65"/>
    </row>
    <row r="34" spans="1:16" x14ac:dyDescent="0.2">
      <c r="A34" s="65"/>
      <c r="B34" s="11"/>
      <c r="C34" s="78"/>
      <c r="D34" s="327" t="s">
        <v>1469</v>
      </c>
      <c r="E34" s="823" t="str">
        <f>Translations!$B$168</f>
        <v>State/Province/Region:</v>
      </c>
      <c r="F34" s="824"/>
      <c r="G34" s="824"/>
      <c r="H34" s="8"/>
      <c r="I34" s="818"/>
      <c r="J34" s="819"/>
      <c r="K34" s="819"/>
      <c r="L34" s="820"/>
      <c r="M34" s="8"/>
      <c r="N34" s="8"/>
      <c r="O34" s="11"/>
      <c r="P34" s="65"/>
    </row>
    <row r="35" spans="1:16" x14ac:dyDescent="0.2">
      <c r="A35" s="65"/>
      <c r="B35" s="11"/>
      <c r="C35" s="78"/>
      <c r="D35" s="327" t="s">
        <v>1470</v>
      </c>
      <c r="E35" s="823" t="str">
        <f>Translations!$B$169</f>
        <v>Postcode/ZIP:</v>
      </c>
      <c r="F35" s="824"/>
      <c r="G35" s="824"/>
      <c r="H35" s="8"/>
      <c r="I35" s="818"/>
      <c r="J35" s="819"/>
      <c r="K35" s="819"/>
      <c r="L35" s="820"/>
      <c r="M35" s="8"/>
      <c r="N35" s="8"/>
      <c r="O35" s="11"/>
      <c r="P35" s="65"/>
    </row>
    <row r="36" spans="1:16" x14ac:dyDescent="0.2">
      <c r="A36" s="65"/>
      <c r="B36" s="11"/>
      <c r="C36" s="78"/>
      <c r="D36" s="327" t="s">
        <v>1471</v>
      </c>
      <c r="E36" s="823" t="str">
        <f>Translations!$B$170</f>
        <v>Country:</v>
      </c>
      <c r="F36" s="824"/>
      <c r="G36" s="824"/>
      <c r="H36" s="8"/>
      <c r="I36" s="818"/>
      <c r="J36" s="819"/>
      <c r="K36" s="819"/>
      <c r="L36" s="820"/>
      <c r="M36" s="8"/>
      <c r="N36" s="8"/>
      <c r="O36" s="11"/>
      <c r="P36" s="65"/>
    </row>
    <row r="37" spans="1:16" ht="4.9000000000000004" customHeight="1" x14ac:dyDescent="0.2">
      <c r="A37" s="65"/>
      <c r="B37" s="11"/>
      <c r="C37" s="78"/>
      <c r="D37" s="329"/>
      <c r="E37" s="320"/>
      <c r="F37" s="331"/>
      <c r="G37" s="332"/>
      <c r="H37" s="8"/>
      <c r="I37" s="8"/>
      <c r="J37" s="8"/>
      <c r="K37" s="8"/>
      <c r="L37" s="8"/>
      <c r="M37" s="8"/>
      <c r="N37" s="8"/>
      <c r="O37" s="11"/>
      <c r="P37" s="65"/>
    </row>
    <row r="38" spans="1:16" x14ac:dyDescent="0.2">
      <c r="A38" s="65"/>
      <c r="B38" s="11"/>
      <c r="C38" s="78"/>
      <c r="D38" s="327" t="s">
        <v>1472</v>
      </c>
      <c r="E38" s="823" t="str">
        <f>Translations!$B$171</f>
        <v>Grid reference (map co-ordinates) of site main entrance (optional):</v>
      </c>
      <c r="F38" s="824"/>
      <c r="G38" s="824"/>
      <c r="H38" s="8"/>
      <c r="I38" s="837"/>
      <c r="J38" s="838"/>
      <c r="K38" s="838"/>
      <c r="L38" s="839"/>
      <c r="M38" s="8"/>
      <c r="N38" s="8"/>
      <c r="O38" s="11"/>
      <c r="P38" s="65"/>
    </row>
    <row r="39" spans="1:16" ht="12.75" customHeight="1" x14ac:dyDescent="0.2">
      <c r="A39" s="65"/>
      <c r="B39" s="11"/>
      <c r="C39" s="78"/>
      <c r="D39" s="78"/>
      <c r="E39" s="821" t="str">
        <f>Translations!$B$172</f>
        <v>Include any Member State specific guidance regarding grid references.</v>
      </c>
      <c r="F39" s="732"/>
      <c r="G39" s="732"/>
      <c r="H39" s="732"/>
      <c r="I39" s="732"/>
      <c r="J39" s="732"/>
      <c r="K39" s="732"/>
      <c r="L39" s="732"/>
      <c r="M39" s="732"/>
      <c r="N39" s="732"/>
      <c r="O39" s="11"/>
      <c r="P39" s="65"/>
    </row>
    <row r="40" spans="1:16" x14ac:dyDescent="0.2">
      <c r="A40" s="65"/>
      <c r="B40" s="11"/>
      <c r="C40" s="78"/>
      <c r="D40" s="78"/>
      <c r="E40" s="8"/>
      <c r="F40" s="8"/>
      <c r="G40" s="8"/>
      <c r="H40" s="8"/>
      <c r="I40" s="8"/>
      <c r="J40" s="8"/>
      <c r="K40" s="8"/>
      <c r="L40" s="8"/>
      <c r="M40" s="8"/>
      <c r="N40" s="8"/>
      <c r="O40" s="11"/>
      <c r="P40" s="65"/>
    </row>
    <row r="41" spans="1:16" ht="15.75" x14ac:dyDescent="0.25">
      <c r="A41" s="65"/>
      <c r="B41" s="11"/>
      <c r="C41" s="77">
        <v>4</v>
      </c>
      <c r="D41" s="826" t="str">
        <f>Translations!$B$12</f>
        <v xml:space="preserve">Contact details </v>
      </c>
      <c r="E41" s="826"/>
      <c r="F41" s="826"/>
      <c r="G41" s="826"/>
      <c r="H41" s="826"/>
      <c r="I41" s="826"/>
      <c r="J41" s="826"/>
      <c r="K41" s="826"/>
      <c r="L41" s="826"/>
      <c r="M41" s="826"/>
      <c r="N41" s="826"/>
      <c r="O41" s="11"/>
      <c r="P41" s="65"/>
    </row>
    <row r="42" spans="1:16" x14ac:dyDescent="0.2">
      <c r="A42" s="65"/>
      <c r="B42" s="11"/>
      <c r="C42" s="78"/>
      <c r="D42" s="78"/>
      <c r="E42" s="8"/>
      <c r="F42" s="8"/>
      <c r="G42" s="8"/>
      <c r="H42" s="8"/>
      <c r="I42" s="8"/>
      <c r="J42" s="8"/>
      <c r="K42" s="8"/>
      <c r="L42" s="8"/>
      <c r="M42" s="8"/>
      <c r="N42" s="8"/>
      <c r="O42" s="11"/>
      <c r="P42" s="65"/>
    </row>
    <row r="43" spans="1:16" x14ac:dyDescent="0.2">
      <c r="A43" s="65"/>
      <c r="B43" s="11"/>
      <c r="C43" s="78"/>
      <c r="D43" s="78"/>
      <c r="E43" s="825" t="str">
        <f>Translations!$B$173</f>
        <v>Who can we contact about your monitoring plan?</v>
      </c>
      <c r="F43" s="825"/>
      <c r="G43" s="825"/>
      <c r="H43" s="825"/>
      <c r="I43" s="825"/>
      <c r="J43" s="825"/>
      <c r="K43" s="825"/>
      <c r="L43" s="825"/>
      <c r="M43" s="8"/>
      <c r="N43" s="8"/>
      <c r="O43" s="11"/>
      <c r="P43" s="65"/>
    </row>
    <row r="44" spans="1:16" ht="24.75" customHeight="1" x14ac:dyDescent="0.2">
      <c r="A44" s="65"/>
      <c r="B44" s="11"/>
      <c r="C44" s="78"/>
      <c r="D44" s="134"/>
      <c r="E44" s="827" t="str">
        <f>Translations!$B$174</f>
        <v xml:space="preserve">It will help us to have someone who we can contact directly with any questions about your monitoring plan. The person you name should have the authority to act on behalf of the operator. </v>
      </c>
      <c r="F44" s="827"/>
      <c r="G44" s="827"/>
      <c r="H44" s="827"/>
      <c r="I44" s="827"/>
      <c r="J44" s="827"/>
      <c r="K44" s="827"/>
      <c r="L44" s="827"/>
      <c r="M44" s="8"/>
      <c r="N44" s="8"/>
      <c r="O44" s="11"/>
      <c r="P44" s="65"/>
    </row>
    <row r="45" spans="1:16" ht="4.9000000000000004" customHeight="1" x14ac:dyDescent="0.2">
      <c r="A45" s="65"/>
      <c r="B45" s="11"/>
      <c r="C45" s="78"/>
      <c r="D45" s="190"/>
      <c r="E45" s="80"/>
      <c r="F45" s="68"/>
      <c r="G45" s="68"/>
      <c r="H45" s="8"/>
      <c r="I45" s="14"/>
      <c r="J45" s="8"/>
      <c r="K45" s="8"/>
      <c r="L45" s="8"/>
      <c r="M45" s="8"/>
      <c r="N45" s="8"/>
      <c r="O45" s="11"/>
      <c r="P45" s="65"/>
    </row>
    <row r="46" spans="1:16" x14ac:dyDescent="0.2">
      <c r="A46" s="65"/>
      <c r="B46" s="11"/>
      <c r="C46" s="78"/>
      <c r="D46" s="68" t="s">
        <v>1018</v>
      </c>
      <c r="E46" s="68" t="str">
        <f>Translations!$B$175</f>
        <v>Primary contact:</v>
      </c>
      <c r="F46" s="68"/>
      <c r="G46" s="14" t="str">
        <f>Translations!$B$176</f>
        <v>Title:</v>
      </c>
      <c r="H46" s="8"/>
      <c r="I46" s="817"/>
      <c r="J46" s="817"/>
      <c r="K46" s="817"/>
      <c r="L46" s="748"/>
      <c r="M46" s="80"/>
      <c r="N46" s="8"/>
      <c r="O46" s="11"/>
      <c r="P46" s="65"/>
    </row>
    <row r="47" spans="1:16" x14ac:dyDescent="0.2">
      <c r="A47" s="65"/>
      <c r="B47" s="11"/>
      <c r="C47" s="78"/>
      <c r="D47" s="78"/>
      <c r="E47" s="8"/>
      <c r="F47" s="8"/>
      <c r="G47" s="14" t="str">
        <f>Translations!$B$177</f>
        <v>First Name:</v>
      </c>
      <c r="H47" s="8"/>
      <c r="I47" s="817"/>
      <c r="J47" s="817"/>
      <c r="K47" s="817"/>
      <c r="L47" s="748"/>
      <c r="M47" s="8"/>
      <c r="N47" s="8"/>
      <c r="O47" s="11"/>
      <c r="P47" s="65"/>
    </row>
    <row r="48" spans="1:16" x14ac:dyDescent="0.2">
      <c r="A48" s="65"/>
      <c r="B48" s="11"/>
      <c r="C48" s="78"/>
      <c r="D48" s="78"/>
      <c r="E48" s="8"/>
      <c r="F48" s="8"/>
      <c r="G48" s="14" t="str">
        <f>Translations!$B$178</f>
        <v>Surname:</v>
      </c>
      <c r="H48" s="8"/>
      <c r="I48" s="817"/>
      <c r="J48" s="817"/>
      <c r="K48" s="817"/>
      <c r="L48" s="748"/>
      <c r="M48" s="8"/>
      <c r="N48" s="8"/>
      <c r="O48" s="11"/>
      <c r="P48" s="65"/>
    </row>
    <row r="49" spans="1:16" x14ac:dyDescent="0.2">
      <c r="A49" s="65"/>
      <c r="B49" s="11"/>
      <c r="C49" s="78"/>
      <c r="D49" s="78"/>
      <c r="E49" s="8"/>
      <c r="F49" s="8"/>
      <c r="G49" s="14" t="str">
        <f>Translations!$B$179</f>
        <v>Job title:</v>
      </c>
      <c r="H49" s="8"/>
      <c r="I49" s="817"/>
      <c r="J49" s="817"/>
      <c r="K49" s="817"/>
      <c r="L49" s="748"/>
      <c r="M49" s="8"/>
      <c r="N49" s="8"/>
      <c r="O49" s="11"/>
      <c r="P49" s="65"/>
    </row>
    <row r="50" spans="1:16" x14ac:dyDescent="0.2">
      <c r="A50" s="65"/>
      <c r="B50" s="11"/>
      <c r="C50" s="78"/>
      <c r="D50" s="78"/>
      <c r="E50" s="8"/>
      <c r="F50" s="8"/>
      <c r="G50" s="14" t="str">
        <f>Translations!$B$180</f>
        <v>Organisation name (if different from the operator):</v>
      </c>
      <c r="H50" s="11"/>
      <c r="I50" s="8"/>
      <c r="J50" s="8"/>
      <c r="K50" s="8"/>
      <c r="L50" s="8"/>
      <c r="M50" s="8"/>
      <c r="N50" s="8"/>
      <c r="O50" s="11"/>
      <c r="P50" s="65"/>
    </row>
    <row r="51" spans="1:16" x14ac:dyDescent="0.2">
      <c r="A51" s="65"/>
      <c r="B51" s="11"/>
      <c r="C51" s="78"/>
      <c r="D51" s="78"/>
      <c r="E51" s="8"/>
      <c r="F51" s="8"/>
      <c r="G51" s="14"/>
      <c r="H51" s="8"/>
      <c r="I51" s="817"/>
      <c r="J51" s="817"/>
      <c r="K51" s="817"/>
      <c r="L51" s="748"/>
      <c r="M51" s="8"/>
      <c r="N51" s="8"/>
      <c r="O51" s="11"/>
      <c r="P51" s="65"/>
    </row>
    <row r="52" spans="1:16" x14ac:dyDescent="0.2">
      <c r="A52" s="65"/>
      <c r="B52" s="11"/>
      <c r="C52" s="78"/>
      <c r="D52" s="78"/>
      <c r="E52" s="8"/>
      <c r="F52" s="8"/>
      <c r="G52" s="14" t="str">
        <f>Translations!$B$181</f>
        <v>Telephone number:</v>
      </c>
      <c r="H52" s="8"/>
      <c r="I52" s="817"/>
      <c r="J52" s="817"/>
      <c r="K52" s="817"/>
      <c r="L52" s="748"/>
      <c r="M52" s="8"/>
      <c r="N52" s="8"/>
      <c r="O52" s="11"/>
      <c r="P52" s="65"/>
    </row>
    <row r="53" spans="1:16" x14ac:dyDescent="0.2">
      <c r="A53" s="65"/>
      <c r="B53" s="11"/>
      <c r="C53" s="78"/>
      <c r="D53" s="78"/>
      <c r="E53" s="8"/>
      <c r="F53" s="8"/>
      <c r="G53" s="14" t="str">
        <f>Translations!$B$182</f>
        <v>Email address:</v>
      </c>
      <c r="H53" s="8"/>
      <c r="I53" s="817"/>
      <c r="J53" s="817"/>
      <c r="K53" s="817"/>
      <c r="L53" s="748"/>
      <c r="M53" s="8"/>
      <c r="N53" s="8"/>
      <c r="O53" s="11"/>
      <c r="P53" s="65"/>
    </row>
    <row r="54" spans="1:16" x14ac:dyDescent="0.2">
      <c r="A54" s="65"/>
      <c r="B54" s="11"/>
      <c r="C54" s="78"/>
      <c r="D54" s="78"/>
      <c r="E54" s="333"/>
      <c r="F54" s="8"/>
      <c r="G54" s="8"/>
      <c r="H54" s="8"/>
      <c r="I54" s="8"/>
      <c r="J54" s="8"/>
      <c r="K54" s="8"/>
      <c r="L54" s="8"/>
      <c r="M54" s="8"/>
      <c r="N54" s="8"/>
      <c r="O54" s="11"/>
      <c r="P54" s="65"/>
    </row>
    <row r="55" spans="1:16" x14ac:dyDescent="0.2">
      <c r="A55" s="65"/>
      <c r="B55" s="11"/>
      <c r="C55" s="78"/>
      <c r="D55" s="68" t="s">
        <v>1020</v>
      </c>
      <c r="E55" s="68" t="str">
        <f>Translations!$B$183</f>
        <v>Alternative contact:</v>
      </c>
      <c r="F55" s="8"/>
      <c r="G55" s="14" t="str">
        <f>Translations!$B$176</f>
        <v>Title:</v>
      </c>
      <c r="H55" s="8"/>
      <c r="I55" s="815"/>
      <c r="J55" s="815"/>
      <c r="K55" s="815"/>
      <c r="L55" s="748"/>
      <c r="M55" s="8"/>
      <c r="N55" s="8"/>
      <c r="O55" s="11"/>
      <c r="P55" s="65"/>
    </row>
    <row r="56" spans="1:16" x14ac:dyDescent="0.2">
      <c r="A56" s="65"/>
      <c r="B56" s="11"/>
      <c r="C56" s="78"/>
      <c r="D56" s="78"/>
      <c r="E56" s="333"/>
      <c r="F56" s="8"/>
      <c r="G56" s="14" t="str">
        <f>Translations!$B$177</f>
        <v>First Name:</v>
      </c>
      <c r="H56" s="8"/>
      <c r="I56" s="815"/>
      <c r="J56" s="815"/>
      <c r="K56" s="815"/>
      <c r="L56" s="748"/>
      <c r="M56" s="8"/>
      <c r="N56" s="8"/>
      <c r="O56" s="11"/>
      <c r="P56" s="65"/>
    </row>
    <row r="57" spans="1:16" x14ac:dyDescent="0.2">
      <c r="A57" s="65"/>
      <c r="B57" s="11"/>
      <c r="C57" s="78"/>
      <c r="D57" s="78"/>
      <c r="E57" s="333"/>
      <c r="F57" s="8"/>
      <c r="G57" s="14" t="str">
        <f>Translations!$B$178</f>
        <v>Surname:</v>
      </c>
      <c r="H57" s="8"/>
      <c r="I57" s="815"/>
      <c r="J57" s="815"/>
      <c r="K57" s="815"/>
      <c r="L57" s="748"/>
      <c r="M57" s="8"/>
      <c r="N57" s="8"/>
      <c r="O57" s="11"/>
      <c r="P57" s="65"/>
    </row>
    <row r="58" spans="1:16" x14ac:dyDescent="0.2">
      <c r="A58" s="65"/>
      <c r="B58" s="11"/>
      <c r="C58" s="78"/>
      <c r="D58" s="78"/>
      <c r="E58" s="333"/>
      <c r="F58" s="8"/>
      <c r="G58" s="14" t="str">
        <f>Translations!$B$179</f>
        <v>Job title:</v>
      </c>
      <c r="H58" s="8"/>
      <c r="I58" s="815"/>
      <c r="J58" s="815"/>
      <c r="K58" s="815"/>
      <c r="L58" s="748"/>
      <c r="M58" s="8"/>
      <c r="N58" s="8"/>
      <c r="O58" s="11"/>
      <c r="P58" s="65"/>
    </row>
    <row r="59" spans="1:16" x14ac:dyDescent="0.2">
      <c r="A59" s="65"/>
      <c r="B59" s="11"/>
      <c r="C59" s="78"/>
      <c r="D59" s="78"/>
      <c r="E59" s="333"/>
      <c r="F59" s="8"/>
      <c r="G59" s="14" t="str">
        <f>Translations!$B$180</f>
        <v>Organisation name (if different from the operator):</v>
      </c>
      <c r="H59" s="11"/>
      <c r="I59" s="8"/>
      <c r="J59" s="8"/>
      <c r="K59" s="8"/>
      <c r="L59" s="8"/>
      <c r="M59" s="8"/>
      <c r="N59" s="8"/>
      <c r="O59" s="11"/>
      <c r="P59" s="65"/>
    </row>
    <row r="60" spans="1:16" x14ac:dyDescent="0.2">
      <c r="A60" s="65"/>
      <c r="B60" s="11"/>
      <c r="C60" s="78"/>
      <c r="D60" s="78"/>
      <c r="E60" s="333"/>
      <c r="F60" s="8"/>
      <c r="G60" s="14"/>
      <c r="H60" s="8"/>
      <c r="I60" s="815"/>
      <c r="J60" s="815"/>
      <c r="K60" s="815"/>
      <c r="L60" s="748"/>
      <c r="M60" s="8"/>
      <c r="N60" s="8"/>
      <c r="O60" s="11"/>
      <c r="P60" s="65"/>
    </row>
    <row r="61" spans="1:16" x14ac:dyDescent="0.2">
      <c r="A61" s="65"/>
      <c r="B61" s="11"/>
      <c r="C61" s="78"/>
      <c r="D61" s="78"/>
      <c r="E61" s="333"/>
      <c r="F61" s="8"/>
      <c r="G61" s="14" t="str">
        <f>Translations!$B$181</f>
        <v>Telephone number:</v>
      </c>
      <c r="H61" s="8"/>
      <c r="I61" s="815"/>
      <c r="J61" s="815"/>
      <c r="K61" s="815"/>
      <c r="L61" s="748"/>
      <c r="M61" s="8"/>
      <c r="N61" s="8"/>
      <c r="O61" s="11"/>
      <c r="P61" s="65"/>
    </row>
    <row r="62" spans="1:16" x14ac:dyDescent="0.2">
      <c r="A62" s="65"/>
      <c r="B62" s="11"/>
      <c r="C62" s="78"/>
      <c r="D62" s="78"/>
      <c r="E62" s="333"/>
      <c r="F62" s="8"/>
      <c r="G62" s="14" t="str">
        <f>Translations!$B$182</f>
        <v>Email address:</v>
      </c>
      <c r="H62" s="8"/>
      <c r="I62" s="815"/>
      <c r="J62" s="815"/>
      <c r="K62" s="815"/>
      <c r="L62" s="748"/>
      <c r="M62" s="8"/>
      <c r="N62" s="8"/>
      <c r="O62" s="11"/>
      <c r="P62" s="65"/>
    </row>
    <row r="63" spans="1:16" x14ac:dyDescent="0.2">
      <c r="A63" s="65"/>
      <c r="B63" s="11"/>
      <c r="C63" s="78"/>
      <c r="D63" s="78"/>
      <c r="E63" s="8"/>
      <c r="F63" s="8"/>
      <c r="G63" s="8"/>
      <c r="H63" s="8"/>
      <c r="I63" s="8"/>
      <c r="J63" s="8"/>
      <c r="K63" s="8"/>
      <c r="L63" s="8"/>
      <c r="M63" s="8"/>
      <c r="N63" s="8"/>
      <c r="O63" s="11"/>
      <c r="P63" s="65"/>
    </row>
    <row r="64" spans="1:16" x14ac:dyDescent="0.2">
      <c r="A64" s="65"/>
      <c r="B64" s="11"/>
      <c r="C64" s="78"/>
      <c r="D64" s="78"/>
      <c r="E64" s="8"/>
      <c r="F64" s="8"/>
      <c r="G64" s="8"/>
      <c r="H64" s="8"/>
      <c r="I64" s="8"/>
      <c r="J64" s="8"/>
      <c r="K64" s="8"/>
      <c r="L64" s="8"/>
      <c r="M64" s="8"/>
      <c r="N64" s="8"/>
      <c r="O64" s="11"/>
      <c r="P64" s="65"/>
    </row>
    <row r="65" spans="1:16" ht="15" customHeight="1" x14ac:dyDescent="0.2">
      <c r="A65" s="65"/>
      <c r="B65" s="11"/>
      <c r="C65" s="78"/>
      <c r="D65" s="78"/>
      <c r="E65" s="8"/>
      <c r="F65" s="770" t="str">
        <f>EUconst_MsgNextSheet</f>
        <v xml:space="preserve">&lt;&lt;&lt; Click here to proceed to next sheet &gt;&gt;&gt; </v>
      </c>
      <c r="G65" s="770"/>
      <c r="H65" s="770"/>
      <c r="I65" s="770"/>
      <c r="J65" s="770"/>
      <c r="K65" s="770"/>
      <c r="L65" s="770"/>
      <c r="M65" s="8"/>
      <c r="N65" s="8"/>
      <c r="O65" s="11"/>
      <c r="P65" s="65"/>
    </row>
  </sheetData>
  <sheetProtection sheet="1" objects="1" scenarios="1" formatCells="0" formatColumns="0" formatRows="0"/>
  <mergeCells count="70">
    <mergeCell ref="I35:L35"/>
    <mergeCell ref="E31:G31"/>
    <mergeCell ref="E29:J29"/>
    <mergeCell ref="E10:G10"/>
    <mergeCell ref="E12:G12"/>
    <mergeCell ref="E23:G23"/>
    <mergeCell ref="E25:G25"/>
    <mergeCell ref="I24:L24"/>
    <mergeCell ref="I10:L10"/>
    <mergeCell ref="I12:L12"/>
    <mergeCell ref="K14:L14"/>
    <mergeCell ref="E14:G14"/>
    <mergeCell ref="E34:G34"/>
    <mergeCell ref="I34:L34"/>
    <mergeCell ref="I23:L23"/>
    <mergeCell ref="E24:G24"/>
    <mergeCell ref="E33:G33"/>
    <mergeCell ref="I33:L33"/>
    <mergeCell ref="B2:D4"/>
    <mergeCell ref="C6:N6"/>
    <mergeCell ref="E32:G32"/>
    <mergeCell ref="D8:N8"/>
    <mergeCell ref="I14:J14"/>
    <mergeCell ref="I16:L16"/>
    <mergeCell ref="E22:G22"/>
    <mergeCell ref="I22:L22"/>
    <mergeCell ref="D18:N18"/>
    <mergeCell ref="M2:N2"/>
    <mergeCell ref="G4:H4"/>
    <mergeCell ref="G2:H2"/>
    <mergeCell ref="K2:L2"/>
    <mergeCell ref="I4:J4"/>
    <mergeCell ref="G3:H3"/>
    <mergeCell ref="M3:N3"/>
    <mergeCell ref="I2:J2"/>
    <mergeCell ref="K4:L4"/>
    <mergeCell ref="M4:N4"/>
    <mergeCell ref="E2:F2"/>
    <mergeCell ref="E4:F4"/>
    <mergeCell ref="I3:J3"/>
    <mergeCell ref="E3:F3"/>
    <mergeCell ref="K3:L3"/>
    <mergeCell ref="F65:L65"/>
    <mergeCell ref="E43:L43"/>
    <mergeCell ref="I46:L46"/>
    <mergeCell ref="D41:N41"/>
    <mergeCell ref="E44:L44"/>
    <mergeCell ref="I55:L55"/>
    <mergeCell ref="I61:L61"/>
    <mergeCell ref="I62:L62"/>
    <mergeCell ref="I49:L49"/>
    <mergeCell ref="I60:L60"/>
    <mergeCell ref="I52:L52"/>
    <mergeCell ref="I51:L51"/>
    <mergeCell ref="I58:L58"/>
    <mergeCell ref="I25:L25"/>
    <mergeCell ref="I56:L56"/>
    <mergeCell ref="I53:L53"/>
    <mergeCell ref="I57:L57"/>
    <mergeCell ref="I47:L47"/>
    <mergeCell ref="I48:L48"/>
    <mergeCell ref="I31:L31"/>
    <mergeCell ref="E27:N27"/>
    <mergeCell ref="E38:G38"/>
    <mergeCell ref="I38:L38"/>
    <mergeCell ref="I32:L32"/>
    <mergeCell ref="E39:N39"/>
    <mergeCell ref="E36:G36"/>
    <mergeCell ref="I36:L36"/>
    <mergeCell ref="E35:G35"/>
  </mergeCells>
  <phoneticPr fontId="39" type="noConversion"/>
  <dataValidations disablePrompts="1" count="1">
    <dataValidation type="list" allowBlank="1" showInputMessage="1" showErrorMessage="1" sqref="I36:L36 I12:L12" xr:uid="{00000000-0002-0000-0300-000000000000}">
      <formula1>EUconst_MSlist</formula1>
    </dataValidation>
  </dataValidations>
  <hyperlinks>
    <hyperlink ref="E3:F3" location="JUMP_B_Top" display="Top of sheet" xr:uid="{00000000-0004-0000-0300-000000000000}"/>
    <hyperlink ref="E4:F4" location="JUMP_B_Bottom" display="End of sheet" xr:uid="{00000000-0004-0000-0300-000001000000}"/>
    <hyperlink ref="F65:L65" location="JUMP_C_Top" display="JUMP_C_Top" xr:uid="{00000000-0004-0000-0300-000002000000}"/>
    <hyperlink ref="G3:H3" location="JUMP_B_2" display="Operator" xr:uid="{00000000-0004-0000-0300-000003000000}"/>
    <hyperlink ref="I3:J3" location="JUMP_B_3" display="Installation" xr:uid="{00000000-0004-0000-0300-000004000000}"/>
    <hyperlink ref="K3:L3" location="JUMP_B_4" display="Contacts" xr:uid="{00000000-0004-0000-0300-000005000000}"/>
    <hyperlink ref="K2:L2" location="JUMP_C_Top" display="Next sheet" xr:uid="{00000000-0004-0000-0300-000006000000}"/>
    <hyperlink ref="I2:J2" location="JUMP_A_Top" display="Previous sheet" xr:uid="{00000000-0004-0000-0300-000007000000}"/>
    <hyperlink ref="G2:H2" location="JUMP_a_Content" display="Table of contents" xr:uid="{00000000-0004-0000-0300-000008000000}"/>
  </hyperlinks>
  <pageMargins left="0.78740157480314965" right="0.78740157480314965" top="0.78740157480314965" bottom="0.78740157480314965" header="0.39370078740157483" footer="0.39370078740157483"/>
  <pageSetup paperSize="9" scale="61" orientation="portrait" r:id="rId1"/>
  <headerFooter alignWithMargins="0">
    <oddHeader>&amp;L&amp;F, &amp;A&amp;R&amp;D, &amp;T</oddHeader>
    <oddFooter>&amp;C&amp;P / &amp;N</oddFooter>
  </headerFooter>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indexed="42"/>
    <pageSetUpPr fitToPage="1"/>
  </sheetPr>
  <dimension ref="A1:AB351"/>
  <sheetViews>
    <sheetView topLeftCell="B1" workbookViewId="0">
      <pane ySplit="4" topLeftCell="A5" activePane="bottomLeft" state="frozen"/>
      <selection activeCell="B2" sqref="B2"/>
      <selection pane="bottomLeft" activeCell="B2" sqref="B2:D4"/>
    </sheetView>
  </sheetViews>
  <sheetFormatPr defaultColWidth="9.140625" defaultRowHeight="12.75" x14ac:dyDescent="0.2"/>
  <cols>
    <col min="1" max="1" width="2.7109375" style="317" hidden="1" customWidth="1"/>
    <col min="2" max="2" width="2.7109375" style="316" customWidth="1"/>
    <col min="3" max="4" width="4.7109375" style="316" customWidth="1"/>
    <col min="5" max="14" width="12.7109375" style="316" customWidth="1"/>
    <col min="15" max="15" width="4.7109375" style="316" customWidth="1"/>
    <col min="16" max="16" width="39" style="317" hidden="1" customWidth="1"/>
    <col min="17" max="28" width="9.140625" style="317" hidden="1" customWidth="1"/>
    <col min="29" max="16384" width="9.140625" style="316"/>
  </cols>
  <sheetData>
    <row r="1" spans="1:28" s="8" customFormat="1" ht="13.5" hidden="1" thickBot="1" x14ac:dyDescent="0.25">
      <c r="A1" s="65" t="s">
        <v>1090</v>
      </c>
      <c r="B1" s="72"/>
      <c r="C1" s="73"/>
      <c r="D1" s="74"/>
      <c r="E1" s="72"/>
      <c r="F1" s="72"/>
      <c r="G1" s="75"/>
      <c r="H1" s="75"/>
      <c r="I1" s="72"/>
      <c r="J1" s="72"/>
      <c r="K1" s="72"/>
      <c r="L1" s="72"/>
      <c r="M1" s="72"/>
      <c r="N1" s="72"/>
      <c r="O1" s="72"/>
      <c r="P1" s="12" t="s">
        <v>1090</v>
      </c>
      <c r="Q1" s="12" t="s">
        <v>1090</v>
      </c>
      <c r="R1" s="12" t="s">
        <v>1090</v>
      </c>
      <c r="S1" s="12" t="s">
        <v>1090</v>
      </c>
      <c r="T1" s="12" t="s">
        <v>1090</v>
      </c>
      <c r="U1" s="12" t="s">
        <v>1090</v>
      </c>
      <c r="V1" s="12" t="s">
        <v>1090</v>
      </c>
      <c r="W1" s="12" t="s">
        <v>1090</v>
      </c>
      <c r="X1" s="12" t="s">
        <v>1090</v>
      </c>
      <c r="Y1" s="12" t="s">
        <v>1090</v>
      </c>
      <c r="Z1" s="12" t="s">
        <v>1090</v>
      </c>
      <c r="AA1" s="12" t="s">
        <v>1090</v>
      </c>
      <c r="AB1" s="12" t="s">
        <v>1090</v>
      </c>
    </row>
    <row r="2" spans="1:28" s="8" customFormat="1" ht="13.5" thickBot="1" x14ac:dyDescent="0.25">
      <c r="A2" s="12"/>
      <c r="B2" s="803" t="str">
        <f>Translations!$B$184</f>
        <v>C.
Installation Description</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c r="P2" s="65"/>
      <c r="Q2" s="65"/>
      <c r="R2" s="65"/>
      <c r="S2" s="65"/>
      <c r="T2" s="65"/>
      <c r="U2" s="65"/>
      <c r="V2" s="65"/>
      <c r="W2" s="65"/>
      <c r="X2" s="65"/>
      <c r="Y2" s="65"/>
      <c r="Z2" s="65"/>
      <c r="AA2" s="65"/>
      <c r="AB2" s="65"/>
    </row>
    <row r="3" spans="1:28" s="8" customFormat="1" x14ac:dyDescent="0.2">
      <c r="A3" s="12"/>
      <c r="B3" s="806"/>
      <c r="C3" s="807"/>
      <c r="D3" s="808"/>
      <c r="E3" s="776" t="str">
        <f>Translations!$B$63</f>
        <v>Top of sheet</v>
      </c>
      <c r="F3" s="776"/>
      <c r="G3" s="776" t="str">
        <f>Translations!$B$185</f>
        <v>Installation Activities</v>
      </c>
      <c r="H3" s="776"/>
      <c r="I3" s="776" t="str">
        <f>Translations!$B$186</f>
        <v>Monitoring approaches</v>
      </c>
      <c r="J3" s="776"/>
      <c r="K3" s="776" t="str">
        <f>Translations!$B$187</f>
        <v>Emission sources&amp;points</v>
      </c>
      <c r="L3" s="776"/>
      <c r="M3" s="777"/>
      <c r="N3" s="778"/>
      <c r="O3" s="7"/>
      <c r="P3" s="65"/>
      <c r="Q3" s="65"/>
      <c r="R3" s="65"/>
      <c r="S3" s="65"/>
      <c r="T3" s="65"/>
      <c r="U3" s="65"/>
      <c r="V3" s="65"/>
      <c r="W3" s="65"/>
      <c r="X3" s="65"/>
      <c r="Y3" s="65"/>
      <c r="Z3" s="65"/>
      <c r="AA3" s="65"/>
      <c r="AB3" s="65"/>
    </row>
    <row r="4" spans="1:28" s="8" customFormat="1" ht="13.5" customHeight="1" thickBot="1" x14ac:dyDescent="0.25">
      <c r="A4" s="12"/>
      <c r="B4" s="809"/>
      <c r="C4" s="810"/>
      <c r="D4" s="811"/>
      <c r="E4" s="776" t="str">
        <f>Translations!$B$64</f>
        <v>End of sheet</v>
      </c>
      <c r="F4" s="776"/>
      <c r="G4" s="776" t="str">
        <f>Translations!$B$188</f>
        <v>Measurement points</v>
      </c>
      <c r="H4" s="776"/>
      <c r="I4" s="776" t="str">
        <f>Translations!$B$189</f>
        <v>Source streams</v>
      </c>
      <c r="J4" s="776"/>
      <c r="K4" s="776" t="str">
        <f>Translations!$B$190</f>
        <v>Activities excluded</v>
      </c>
      <c r="L4" s="776"/>
      <c r="M4" s="777"/>
      <c r="N4" s="778"/>
      <c r="O4" s="7"/>
      <c r="P4" s="65"/>
      <c r="Q4" s="65"/>
      <c r="R4" s="65"/>
      <c r="S4" s="65"/>
      <c r="T4" s="65"/>
      <c r="U4" s="65"/>
      <c r="V4" s="65"/>
      <c r="W4" s="65"/>
      <c r="X4" s="65"/>
      <c r="Y4" s="65"/>
      <c r="Z4" s="65"/>
      <c r="AA4" s="65"/>
      <c r="AB4" s="65"/>
    </row>
    <row r="5" spans="1:28" s="8" customFormat="1" ht="12.75" customHeight="1" x14ac:dyDescent="0.2">
      <c r="A5" s="65"/>
      <c r="C5" s="9"/>
      <c r="D5" s="10"/>
      <c r="F5" s="10"/>
      <c r="G5" s="10"/>
      <c r="H5" s="10"/>
      <c r="M5" s="7"/>
      <c r="N5" s="7"/>
      <c r="O5" s="7"/>
      <c r="P5" s="65"/>
      <c r="Q5" s="65"/>
      <c r="R5" s="65"/>
      <c r="S5" s="65"/>
      <c r="T5" s="65"/>
      <c r="U5" s="65"/>
      <c r="V5" s="65"/>
      <c r="W5" s="65"/>
      <c r="X5" s="65"/>
      <c r="Y5" s="65"/>
      <c r="Z5" s="65"/>
      <c r="AA5" s="65"/>
      <c r="AB5" s="65"/>
    </row>
    <row r="6" spans="1:28" s="34" customFormat="1" ht="25.5" customHeight="1" x14ac:dyDescent="0.2">
      <c r="A6" s="248"/>
      <c r="C6" s="812" t="str">
        <f>Translations!$B$13</f>
        <v>C. Installation Description</v>
      </c>
      <c r="D6" s="812"/>
      <c r="E6" s="812"/>
      <c r="F6" s="812"/>
      <c r="G6" s="812"/>
      <c r="H6" s="812"/>
      <c r="I6" s="812"/>
      <c r="J6" s="812"/>
      <c r="K6" s="812"/>
      <c r="L6" s="812"/>
      <c r="M6" s="812"/>
      <c r="N6" s="812"/>
      <c r="P6" s="65"/>
      <c r="Q6" s="65"/>
      <c r="R6" s="65"/>
      <c r="S6" s="65"/>
      <c r="T6" s="65"/>
      <c r="U6" s="65"/>
      <c r="V6" s="65"/>
      <c r="W6" s="65"/>
      <c r="X6" s="65"/>
      <c r="Y6" s="65"/>
      <c r="Z6" s="65"/>
      <c r="AA6" s="65"/>
      <c r="AB6" s="65"/>
    </row>
    <row r="7" spans="1:28" s="8" customFormat="1" x14ac:dyDescent="0.2">
      <c r="A7" s="65"/>
      <c r="C7" s="78"/>
      <c r="P7" s="65"/>
      <c r="Q7" s="65"/>
      <c r="R7" s="65"/>
      <c r="S7" s="65"/>
      <c r="T7" s="65"/>
      <c r="U7" s="65"/>
      <c r="V7" s="65"/>
      <c r="W7" s="65"/>
      <c r="X7" s="65"/>
      <c r="Y7" s="65"/>
      <c r="Z7" s="65"/>
      <c r="AA7" s="65"/>
      <c r="AB7" s="65"/>
    </row>
    <row r="8" spans="1:28" s="34" customFormat="1" ht="18.75" customHeight="1" x14ac:dyDescent="0.2">
      <c r="A8" s="248"/>
      <c r="C8" s="53">
        <v>5</v>
      </c>
      <c r="D8" s="884" t="str">
        <f>Translations!$B$14</f>
        <v>About the Installation Activities</v>
      </c>
      <c r="E8" s="884"/>
      <c r="F8" s="884"/>
      <c r="G8" s="884"/>
      <c r="H8" s="884"/>
      <c r="I8" s="884"/>
      <c r="J8" s="884"/>
      <c r="K8" s="884"/>
      <c r="L8" s="884"/>
      <c r="M8" s="884"/>
      <c r="N8" s="884"/>
      <c r="O8" s="414"/>
      <c r="P8" s="65"/>
      <c r="Q8" s="65"/>
      <c r="R8" s="65"/>
      <c r="S8" s="65"/>
      <c r="T8" s="65"/>
      <c r="U8" s="65"/>
      <c r="V8" s="65"/>
      <c r="W8" s="65"/>
      <c r="X8" s="65"/>
      <c r="Y8" s="65"/>
      <c r="Z8" s="65"/>
      <c r="AA8" s="65"/>
      <c r="AB8" s="65"/>
    </row>
    <row r="9" spans="1:28" s="8" customFormat="1" x14ac:dyDescent="0.2">
      <c r="A9" s="65"/>
      <c r="C9" s="78"/>
      <c r="P9" s="65"/>
      <c r="Q9" s="65"/>
      <c r="R9" s="65"/>
      <c r="S9" s="65"/>
      <c r="T9" s="65"/>
      <c r="U9" s="65"/>
      <c r="V9" s="65"/>
      <c r="W9" s="65"/>
      <c r="X9" s="65"/>
      <c r="Y9" s="65"/>
      <c r="Z9" s="65"/>
      <c r="AA9" s="65"/>
      <c r="AB9" s="65"/>
    </row>
    <row r="10" spans="1:28" s="8" customFormat="1" ht="12.75" customHeight="1" x14ac:dyDescent="0.2">
      <c r="A10" s="65"/>
      <c r="C10" s="78"/>
      <c r="D10" s="769" t="str">
        <f>Translations!$B$191</f>
        <v>Please use this sheet for describing your installation. The information entered here prepares the necessary detailed inputs in the following sheets.</v>
      </c>
      <c r="E10" s="769"/>
      <c r="F10" s="769"/>
      <c r="G10" s="769"/>
      <c r="H10" s="769"/>
      <c r="I10" s="769"/>
      <c r="J10" s="769"/>
      <c r="K10" s="769"/>
      <c r="L10" s="769"/>
      <c r="M10" s="769"/>
      <c r="N10" s="769"/>
      <c r="O10" s="334"/>
      <c r="P10" s="65"/>
      <c r="Q10" s="65"/>
      <c r="R10" s="65"/>
      <c r="S10" s="65"/>
      <c r="T10" s="65"/>
      <c r="U10" s="65"/>
      <c r="V10" s="65"/>
      <c r="W10" s="65"/>
      <c r="X10" s="65"/>
      <c r="Y10" s="65"/>
      <c r="Z10" s="65"/>
      <c r="AA10" s="65"/>
      <c r="AB10" s="65"/>
    </row>
    <row r="11" spans="1:28" s="8" customFormat="1" ht="27" customHeight="1" x14ac:dyDescent="0.2">
      <c r="A11" s="65"/>
      <c r="C11" s="78"/>
      <c r="D11" s="769" t="str">
        <f>Translations!$B$192</f>
        <v>In particular, source streams will be described in more detail in sheet E_SourceStreams, and measurement points in sheet F_MeasurementBasedApproaches.</v>
      </c>
      <c r="E11" s="769"/>
      <c r="F11" s="769"/>
      <c r="G11" s="769"/>
      <c r="H11" s="769"/>
      <c r="I11" s="769"/>
      <c r="J11" s="769"/>
      <c r="K11" s="769"/>
      <c r="L11" s="769"/>
      <c r="M11" s="769"/>
      <c r="N11" s="769"/>
      <c r="O11" s="334"/>
      <c r="P11" s="65"/>
      <c r="Q11" s="65"/>
      <c r="R11" s="65"/>
      <c r="S11" s="65"/>
      <c r="T11" s="65"/>
      <c r="U11" s="65"/>
      <c r="V11" s="65"/>
      <c r="W11" s="65"/>
      <c r="X11" s="65"/>
      <c r="Y11" s="65"/>
      <c r="Z11" s="65"/>
      <c r="AA11" s="65"/>
      <c r="AB11" s="65"/>
    </row>
    <row r="12" spans="1:28" s="8" customFormat="1" ht="12.75" customHeight="1" x14ac:dyDescent="0.2">
      <c r="A12" s="65"/>
      <c r="C12" s="78"/>
      <c r="D12" s="14"/>
      <c r="E12" s="334"/>
      <c r="F12" s="334"/>
      <c r="G12" s="334"/>
      <c r="H12" s="334"/>
      <c r="I12" s="334"/>
      <c r="J12" s="334"/>
      <c r="K12" s="334"/>
      <c r="L12" s="334"/>
      <c r="M12" s="334"/>
      <c r="P12" s="65"/>
      <c r="Q12" s="65"/>
      <c r="R12" s="65"/>
      <c r="S12" s="65"/>
      <c r="T12" s="65"/>
      <c r="U12" s="65"/>
      <c r="V12" s="65"/>
      <c r="W12" s="65"/>
      <c r="X12" s="65"/>
      <c r="Y12" s="65"/>
      <c r="Z12" s="65"/>
      <c r="AA12" s="65"/>
      <c r="AB12" s="65"/>
    </row>
    <row r="13" spans="1:28" s="8" customFormat="1" x14ac:dyDescent="0.2">
      <c r="A13" s="65"/>
      <c r="C13" s="78"/>
      <c r="D13" s="337" t="s">
        <v>1018</v>
      </c>
      <c r="E13" s="946" t="str">
        <f>Translations!$B$193</f>
        <v>Description of the installation and its activities:</v>
      </c>
      <c r="F13" s="947"/>
      <c r="G13" s="947"/>
      <c r="H13" s="947"/>
      <c r="I13" s="947"/>
      <c r="J13" s="947"/>
      <c r="K13" s="947"/>
      <c r="L13" s="947"/>
      <c r="M13" s="947"/>
      <c r="N13" s="947"/>
      <c r="P13" s="65"/>
      <c r="Q13" s="65"/>
      <c r="R13" s="65"/>
      <c r="S13" s="65"/>
      <c r="T13" s="65"/>
      <c r="U13" s="65"/>
      <c r="V13" s="65"/>
      <c r="W13" s="65"/>
      <c r="X13" s="65"/>
      <c r="Y13" s="65"/>
      <c r="Z13" s="65"/>
      <c r="AA13" s="65"/>
      <c r="AB13" s="65"/>
    </row>
    <row r="14" spans="1:28" s="112" customFormat="1" ht="51" customHeight="1" x14ac:dyDescent="0.2">
      <c r="A14" s="65"/>
      <c r="C14" s="331"/>
      <c r="E14" s="862" t="str">
        <f>Translations!$B$194</f>
        <v>Please provide here a brief outline description of the site and the installation, and describe the location of the installation on the site.  The description should also include a non-technical summary of the activities carried out at the installation, briefly describing each activity performed and the technical units used within each activity.  In particular, the description should also identify and explain any part(s) of the installation which are not operated by the applicant, or parts which are not deemed to fall under the scope of the EU ETS.</v>
      </c>
      <c r="F14" s="862"/>
      <c r="G14" s="862"/>
      <c r="H14" s="862"/>
      <c r="I14" s="862"/>
      <c r="J14" s="862"/>
      <c r="K14" s="862"/>
      <c r="L14" s="862"/>
      <c r="M14" s="862"/>
      <c r="N14" s="862"/>
      <c r="O14" s="8"/>
      <c r="P14" s="349"/>
      <c r="Q14" s="349"/>
      <c r="R14" s="349"/>
      <c r="S14" s="349"/>
      <c r="T14" s="349"/>
      <c r="U14" s="349"/>
      <c r="V14" s="349"/>
      <c r="W14" s="349"/>
      <c r="X14" s="349"/>
      <c r="Y14" s="349"/>
      <c r="Z14" s="349"/>
      <c r="AA14" s="349"/>
      <c r="AB14" s="349"/>
    </row>
    <row r="15" spans="1:28" s="112" customFormat="1" ht="25.5" customHeight="1" x14ac:dyDescent="0.2">
      <c r="A15" s="65"/>
      <c r="C15" s="331"/>
      <c r="E15" s="862" t="str">
        <f>Translations!$B$195</f>
        <v>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v>
      </c>
      <c r="F15" s="862"/>
      <c r="G15" s="862"/>
      <c r="H15" s="862"/>
      <c r="I15" s="862"/>
      <c r="J15" s="862"/>
      <c r="K15" s="862"/>
      <c r="L15" s="862"/>
      <c r="M15" s="862"/>
      <c r="N15" s="862"/>
      <c r="O15" s="8"/>
      <c r="P15" s="349"/>
      <c r="Q15" s="349"/>
      <c r="R15" s="349"/>
      <c r="S15" s="349"/>
      <c r="T15" s="349"/>
      <c r="U15" s="349"/>
      <c r="V15" s="349"/>
      <c r="W15" s="349"/>
      <c r="X15" s="349"/>
      <c r="Y15" s="349"/>
      <c r="Z15" s="349"/>
      <c r="AA15" s="349"/>
      <c r="AB15" s="349"/>
    </row>
    <row r="16" spans="1:28" s="8" customFormat="1" ht="5.0999999999999996" customHeight="1" x14ac:dyDescent="0.2">
      <c r="A16" s="65"/>
      <c r="C16" s="78"/>
      <c r="E16" s="339"/>
      <c r="F16" s="339"/>
      <c r="G16" s="339"/>
      <c r="H16" s="339"/>
      <c r="I16" s="339"/>
      <c r="J16" s="339"/>
      <c r="K16" s="339"/>
      <c r="L16" s="339"/>
      <c r="P16" s="65"/>
      <c r="Q16" s="65"/>
      <c r="R16" s="65"/>
      <c r="S16" s="65"/>
      <c r="T16" s="65"/>
      <c r="U16" s="65"/>
      <c r="V16" s="65"/>
      <c r="W16" s="65"/>
      <c r="X16" s="65"/>
      <c r="Y16" s="65"/>
      <c r="Z16" s="65"/>
      <c r="AA16" s="65"/>
      <c r="AB16" s="65"/>
    </row>
    <row r="17" spans="1:28" s="8" customFormat="1" ht="12.75" customHeight="1" x14ac:dyDescent="0.2">
      <c r="A17" s="65"/>
      <c r="C17" s="78"/>
      <c r="E17" s="936"/>
      <c r="F17" s="937"/>
      <c r="G17" s="937"/>
      <c r="H17" s="937"/>
      <c r="I17" s="937"/>
      <c r="J17" s="937"/>
      <c r="K17" s="937"/>
      <c r="L17" s="937"/>
      <c r="M17" s="937"/>
      <c r="N17" s="938"/>
      <c r="P17" s="65"/>
      <c r="Q17" s="65"/>
      <c r="R17" s="65"/>
      <c r="S17" s="65"/>
      <c r="T17" s="65"/>
      <c r="U17" s="65"/>
      <c r="V17" s="65"/>
      <c r="W17" s="65"/>
      <c r="X17" s="65"/>
      <c r="Y17" s="65"/>
      <c r="Z17" s="65"/>
      <c r="AA17" s="65"/>
      <c r="AB17" s="65"/>
    </row>
    <row r="18" spans="1:28" s="8" customFormat="1" ht="12.75" customHeight="1" x14ac:dyDescent="0.2">
      <c r="A18" s="65"/>
      <c r="C18" s="78"/>
      <c r="E18" s="863"/>
      <c r="F18" s="864"/>
      <c r="G18" s="864"/>
      <c r="H18" s="864"/>
      <c r="I18" s="864"/>
      <c r="J18" s="864"/>
      <c r="K18" s="864"/>
      <c r="L18" s="864"/>
      <c r="M18" s="864"/>
      <c r="N18" s="865"/>
      <c r="P18" s="65"/>
      <c r="Q18" s="65"/>
      <c r="R18" s="65"/>
      <c r="S18" s="65"/>
      <c r="T18" s="65"/>
      <c r="U18" s="65"/>
      <c r="V18" s="65"/>
      <c r="W18" s="65"/>
      <c r="X18" s="65"/>
      <c r="Y18" s="65"/>
      <c r="Z18" s="65"/>
      <c r="AA18" s="65"/>
      <c r="AB18" s="65"/>
    </row>
    <row r="19" spans="1:28" s="8" customFormat="1" ht="12.75" customHeight="1" x14ac:dyDescent="0.2">
      <c r="A19" s="65"/>
      <c r="C19" s="78"/>
      <c r="E19" s="863"/>
      <c r="F19" s="864"/>
      <c r="G19" s="864"/>
      <c r="H19" s="864"/>
      <c r="I19" s="864"/>
      <c r="J19" s="864"/>
      <c r="K19" s="864"/>
      <c r="L19" s="864"/>
      <c r="M19" s="864"/>
      <c r="N19" s="865"/>
      <c r="P19" s="65"/>
      <c r="Q19" s="65"/>
      <c r="R19" s="65"/>
      <c r="S19" s="65"/>
      <c r="T19" s="65"/>
      <c r="U19" s="65"/>
      <c r="V19" s="65"/>
      <c r="W19" s="65"/>
      <c r="X19" s="65"/>
      <c r="Y19" s="65"/>
      <c r="Z19" s="65"/>
      <c r="AA19" s="65"/>
      <c r="AB19" s="65"/>
    </row>
    <row r="20" spans="1:28" s="8" customFormat="1" ht="12.75" customHeight="1" x14ac:dyDescent="0.2">
      <c r="A20" s="65"/>
      <c r="C20" s="78"/>
      <c r="E20" s="863"/>
      <c r="F20" s="864"/>
      <c r="G20" s="864"/>
      <c r="H20" s="864"/>
      <c r="I20" s="864"/>
      <c r="J20" s="864"/>
      <c r="K20" s="864"/>
      <c r="L20" s="864"/>
      <c r="M20" s="864"/>
      <c r="N20" s="865"/>
      <c r="P20" s="65"/>
      <c r="Q20" s="65"/>
      <c r="R20" s="65"/>
      <c r="S20" s="65"/>
      <c r="T20" s="65"/>
      <c r="U20" s="65"/>
      <c r="V20" s="65"/>
      <c r="W20" s="65"/>
      <c r="X20" s="65"/>
      <c r="Y20" s="65"/>
      <c r="Z20" s="65"/>
      <c r="AA20" s="65"/>
      <c r="AB20" s="65"/>
    </row>
    <row r="21" spans="1:28" s="8" customFormat="1" ht="12.75" customHeight="1" x14ac:dyDescent="0.2">
      <c r="A21" s="65"/>
      <c r="C21" s="78"/>
      <c r="E21" s="863"/>
      <c r="F21" s="864"/>
      <c r="G21" s="864"/>
      <c r="H21" s="864"/>
      <c r="I21" s="864"/>
      <c r="J21" s="864"/>
      <c r="K21" s="864"/>
      <c r="L21" s="864"/>
      <c r="M21" s="864"/>
      <c r="N21" s="865"/>
      <c r="P21" s="65"/>
      <c r="Q21" s="65"/>
      <c r="R21" s="65"/>
      <c r="S21" s="65"/>
      <c r="T21" s="65"/>
      <c r="U21" s="65"/>
      <c r="V21" s="65"/>
      <c r="W21" s="65"/>
      <c r="X21" s="65"/>
      <c r="Y21" s="65"/>
      <c r="Z21" s="65"/>
      <c r="AA21" s="65"/>
      <c r="AB21" s="65"/>
    </row>
    <row r="22" spans="1:28" s="8" customFormat="1" ht="12.75" customHeight="1" x14ac:dyDescent="0.2">
      <c r="A22" s="65"/>
      <c r="C22" s="78"/>
      <c r="E22" s="863"/>
      <c r="F22" s="864"/>
      <c r="G22" s="864"/>
      <c r="H22" s="864"/>
      <c r="I22" s="864"/>
      <c r="J22" s="864"/>
      <c r="K22" s="864"/>
      <c r="L22" s="864"/>
      <c r="M22" s="864"/>
      <c r="N22" s="865"/>
      <c r="P22" s="65"/>
      <c r="Q22" s="65"/>
      <c r="R22" s="65"/>
      <c r="S22" s="65"/>
      <c r="T22" s="65"/>
      <c r="U22" s="65"/>
      <c r="V22" s="65"/>
      <c r="W22" s="65"/>
      <c r="X22" s="65"/>
      <c r="Y22" s="65"/>
      <c r="Z22" s="65"/>
      <c r="AA22" s="65"/>
      <c r="AB22" s="65"/>
    </row>
    <row r="23" spans="1:28" s="8" customFormat="1" ht="12.75" customHeight="1" x14ac:dyDescent="0.2">
      <c r="A23" s="65"/>
      <c r="C23" s="78"/>
      <c r="E23" s="863"/>
      <c r="F23" s="864"/>
      <c r="G23" s="864"/>
      <c r="H23" s="864"/>
      <c r="I23" s="864"/>
      <c r="J23" s="864"/>
      <c r="K23" s="864"/>
      <c r="L23" s="864"/>
      <c r="M23" s="864"/>
      <c r="N23" s="865"/>
      <c r="P23" s="65"/>
      <c r="Q23" s="65"/>
      <c r="R23" s="65"/>
      <c r="S23" s="65"/>
      <c r="T23" s="65"/>
      <c r="U23" s="65"/>
      <c r="V23" s="65"/>
      <c r="W23" s="65"/>
      <c r="X23" s="65"/>
      <c r="Y23" s="65"/>
      <c r="Z23" s="65"/>
      <c r="AA23" s="65"/>
      <c r="AB23" s="65"/>
    </row>
    <row r="24" spans="1:28" s="8" customFormat="1" ht="12.75" customHeight="1" x14ac:dyDescent="0.2">
      <c r="A24" s="65"/>
      <c r="C24" s="78"/>
      <c r="E24" s="863"/>
      <c r="F24" s="864"/>
      <c r="G24" s="864"/>
      <c r="H24" s="864"/>
      <c r="I24" s="864"/>
      <c r="J24" s="864"/>
      <c r="K24" s="864"/>
      <c r="L24" s="864"/>
      <c r="M24" s="864"/>
      <c r="N24" s="865"/>
      <c r="P24" s="65"/>
      <c r="Q24" s="65"/>
      <c r="R24" s="65"/>
      <c r="S24" s="65"/>
      <c r="T24" s="65"/>
      <c r="U24" s="65"/>
      <c r="V24" s="65"/>
      <c r="W24" s="65"/>
      <c r="X24" s="65"/>
      <c r="Y24" s="65"/>
      <c r="Z24" s="65"/>
      <c r="AA24" s="65"/>
      <c r="AB24" s="65"/>
    </row>
    <row r="25" spans="1:28" s="8" customFormat="1" ht="12.75" customHeight="1" x14ac:dyDescent="0.2">
      <c r="A25" s="65"/>
      <c r="C25" s="78"/>
      <c r="E25" s="863"/>
      <c r="F25" s="864"/>
      <c r="G25" s="864"/>
      <c r="H25" s="864"/>
      <c r="I25" s="864"/>
      <c r="J25" s="864"/>
      <c r="K25" s="864"/>
      <c r="L25" s="864"/>
      <c r="M25" s="864"/>
      <c r="N25" s="865"/>
      <c r="P25" s="65"/>
      <c r="Q25" s="65"/>
      <c r="R25" s="65"/>
      <c r="S25" s="65"/>
      <c r="T25" s="65"/>
      <c r="U25" s="65"/>
      <c r="V25" s="65"/>
      <c r="W25" s="65"/>
      <c r="X25" s="65"/>
      <c r="Y25" s="65"/>
      <c r="Z25" s="65"/>
      <c r="AA25" s="65"/>
      <c r="AB25" s="65"/>
    </row>
    <row r="26" spans="1:28" s="8" customFormat="1" ht="12.75" customHeight="1" x14ac:dyDescent="0.2">
      <c r="A26" s="65"/>
      <c r="C26" s="78"/>
      <c r="E26" s="863"/>
      <c r="F26" s="864"/>
      <c r="G26" s="864"/>
      <c r="H26" s="864"/>
      <c r="I26" s="864"/>
      <c r="J26" s="864"/>
      <c r="K26" s="864"/>
      <c r="L26" s="864"/>
      <c r="M26" s="864"/>
      <c r="N26" s="865"/>
      <c r="P26" s="65"/>
      <c r="Q26" s="65"/>
      <c r="R26" s="65"/>
      <c r="S26" s="65"/>
      <c r="T26" s="65"/>
      <c r="U26" s="65"/>
      <c r="V26" s="65"/>
      <c r="W26" s="65"/>
      <c r="X26" s="65"/>
      <c r="Y26" s="65"/>
      <c r="Z26" s="65"/>
      <c r="AA26" s="65"/>
      <c r="AB26" s="65"/>
    </row>
    <row r="27" spans="1:28" s="8" customFormat="1" ht="12.75" customHeight="1" x14ac:dyDescent="0.2">
      <c r="A27" s="65"/>
      <c r="C27" s="78"/>
      <c r="E27" s="863"/>
      <c r="F27" s="864"/>
      <c r="G27" s="864"/>
      <c r="H27" s="864"/>
      <c r="I27" s="864"/>
      <c r="J27" s="864"/>
      <c r="K27" s="864"/>
      <c r="L27" s="864"/>
      <c r="M27" s="864"/>
      <c r="N27" s="865"/>
      <c r="P27" s="65"/>
      <c r="Q27" s="65"/>
      <c r="R27" s="65"/>
      <c r="S27" s="65"/>
      <c r="T27" s="65"/>
      <c r="U27" s="65"/>
      <c r="V27" s="65"/>
      <c r="W27" s="65"/>
      <c r="X27" s="65"/>
      <c r="Y27" s="65"/>
      <c r="Z27" s="65"/>
      <c r="AA27" s="65"/>
      <c r="AB27" s="65"/>
    </row>
    <row r="28" spans="1:28" s="8" customFormat="1" ht="12.75" customHeight="1" x14ac:dyDescent="0.2">
      <c r="A28" s="65"/>
      <c r="C28" s="78"/>
      <c r="E28" s="863"/>
      <c r="F28" s="864"/>
      <c r="G28" s="864"/>
      <c r="H28" s="864"/>
      <c r="I28" s="864"/>
      <c r="J28" s="864"/>
      <c r="K28" s="864"/>
      <c r="L28" s="864"/>
      <c r="M28" s="864"/>
      <c r="N28" s="865"/>
      <c r="P28" s="65"/>
      <c r="Q28" s="65"/>
      <c r="R28" s="65"/>
      <c r="S28" s="65"/>
      <c r="T28" s="65"/>
      <c r="U28" s="65"/>
      <c r="V28" s="65"/>
      <c r="W28" s="65"/>
      <c r="X28" s="65"/>
      <c r="Y28" s="65"/>
      <c r="Z28" s="65"/>
      <c r="AA28" s="65"/>
      <c r="AB28" s="65"/>
    </row>
    <row r="29" spans="1:28" s="8" customFormat="1" ht="12.75" customHeight="1" x14ac:dyDescent="0.2">
      <c r="A29" s="65"/>
      <c r="C29" s="78"/>
      <c r="E29" s="863"/>
      <c r="F29" s="864"/>
      <c r="G29" s="864"/>
      <c r="H29" s="864"/>
      <c r="I29" s="864"/>
      <c r="J29" s="864"/>
      <c r="K29" s="864"/>
      <c r="L29" s="864"/>
      <c r="M29" s="864"/>
      <c r="N29" s="865"/>
      <c r="P29" s="65"/>
      <c r="Q29" s="65"/>
      <c r="R29" s="65"/>
      <c r="S29" s="65"/>
      <c r="T29" s="65"/>
      <c r="U29" s="65"/>
      <c r="V29" s="65"/>
      <c r="W29" s="65"/>
      <c r="X29" s="65"/>
      <c r="Y29" s="65"/>
      <c r="Z29" s="65"/>
      <c r="AA29" s="65"/>
      <c r="AB29" s="65"/>
    </row>
    <row r="30" spans="1:28" s="8" customFormat="1" ht="12.75" customHeight="1" x14ac:dyDescent="0.2">
      <c r="A30" s="65"/>
      <c r="C30" s="78"/>
      <c r="E30" s="863"/>
      <c r="F30" s="864"/>
      <c r="G30" s="864"/>
      <c r="H30" s="864"/>
      <c r="I30" s="864"/>
      <c r="J30" s="864"/>
      <c r="K30" s="864"/>
      <c r="L30" s="864"/>
      <c r="M30" s="864"/>
      <c r="N30" s="865"/>
      <c r="P30" s="65"/>
      <c r="Q30" s="65"/>
      <c r="R30" s="65"/>
      <c r="S30" s="65"/>
      <c r="T30" s="65"/>
      <c r="U30" s="65"/>
      <c r="V30" s="65"/>
      <c r="W30" s="65"/>
      <c r="X30" s="65"/>
      <c r="Y30" s="65"/>
      <c r="Z30" s="65"/>
      <c r="AA30" s="65"/>
      <c r="AB30" s="65"/>
    </row>
    <row r="31" spans="1:28" s="8" customFormat="1" ht="12.75" customHeight="1" x14ac:dyDescent="0.2">
      <c r="A31" s="65"/>
      <c r="C31" s="78"/>
      <c r="E31" s="863"/>
      <c r="F31" s="864"/>
      <c r="G31" s="864"/>
      <c r="H31" s="864"/>
      <c r="I31" s="864"/>
      <c r="J31" s="864"/>
      <c r="K31" s="864"/>
      <c r="L31" s="864"/>
      <c r="M31" s="864"/>
      <c r="N31" s="865"/>
      <c r="P31" s="65"/>
      <c r="Q31" s="65"/>
      <c r="R31" s="65"/>
      <c r="S31" s="65"/>
      <c r="T31" s="65"/>
      <c r="U31" s="65"/>
      <c r="V31" s="65"/>
      <c r="W31" s="65"/>
      <c r="X31" s="65"/>
      <c r="Y31" s="65"/>
      <c r="Z31" s="65"/>
      <c r="AA31" s="65"/>
      <c r="AB31" s="65"/>
    </row>
    <row r="32" spans="1:28" s="8" customFormat="1" ht="12.75" customHeight="1" x14ac:dyDescent="0.2">
      <c r="A32" s="65"/>
      <c r="C32" s="78"/>
      <c r="E32" s="863"/>
      <c r="F32" s="864"/>
      <c r="G32" s="864"/>
      <c r="H32" s="864"/>
      <c r="I32" s="864"/>
      <c r="J32" s="864"/>
      <c r="K32" s="864"/>
      <c r="L32" s="864"/>
      <c r="M32" s="864"/>
      <c r="N32" s="865"/>
      <c r="P32" s="65"/>
      <c r="Q32" s="65"/>
      <c r="R32" s="65"/>
      <c r="S32" s="65"/>
      <c r="T32" s="65"/>
      <c r="U32" s="65"/>
      <c r="V32" s="65"/>
      <c r="W32" s="65"/>
      <c r="X32" s="65"/>
      <c r="Y32" s="65"/>
      <c r="Z32" s="65"/>
      <c r="AA32" s="65"/>
      <c r="AB32" s="65"/>
    </row>
    <row r="33" spans="1:28" s="8" customFormat="1" ht="12.75" customHeight="1" x14ac:dyDescent="0.2">
      <c r="A33" s="65"/>
      <c r="C33" s="78"/>
      <c r="E33" s="863"/>
      <c r="F33" s="864"/>
      <c r="G33" s="864"/>
      <c r="H33" s="864"/>
      <c r="I33" s="864"/>
      <c r="J33" s="864"/>
      <c r="K33" s="864"/>
      <c r="L33" s="864"/>
      <c r="M33" s="864"/>
      <c r="N33" s="865"/>
      <c r="P33" s="65"/>
      <c r="Q33" s="65"/>
      <c r="R33" s="65"/>
      <c r="S33" s="65"/>
      <c r="T33" s="65"/>
      <c r="U33" s="65"/>
      <c r="V33" s="65"/>
      <c r="W33" s="65"/>
      <c r="X33" s="65"/>
      <c r="Y33" s="65"/>
      <c r="Z33" s="65"/>
      <c r="AA33" s="65"/>
      <c r="AB33" s="65"/>
    </row>
    <row r="34" spans="1:28" s="8" customFormat="1" ht="12.75" customHeight="1" x14ac:dyDescent="0.2">
      <c r="A34" s="65"/>
      <c r="C34" s="78"/>
      <c r="E34" s="863"/>
      <c r="F34" s="864"/>
      <c r="G34" s="864"/>
      <c r="H34" s="864"/>
      <c r="I34" s="864"/>
      <c r="J34" s="864"/>
      <c r="K34" s="864"/>
      <c r="L34" s="864"/>
      <c r="M34" s="864"/>
      <c r="N34" s="865"/>
      <c r="P34" s="65"/>
      <c r="Q34" s="65"/>
      <c r="R34" s="65"/>
      <c r="S34" s="65"/>
      <c r="T34" s="65"/>
      <c r="U34" s="65"/>
      <c r="V34" s="65"/>
      <c r="W34" s="65"/>
      <c r="X34" s="65"/>
      <c r="Y34" s="65"/>
      <c r="Z34" s="65"/>
      <c r="AA34" s="65"/>
      <c r="AB34" s="65"/>
    </row>
    <row r="35" spans="1:28" s="8" customFormat="1" ht="12.75" customHeight="1" x14ac:dyDescent="0.2">
      <c r="A35" s="65"/>
      <c r="C35" s="78"/>
      <c r="E35" s="863"/>
      <c r="F35" s="864"/>
      <c r="G35" s="864"/>
      <c r="H35" s="864"/>
      <c r="I35" s="864"/>
      <c r="J35" s="864"/>
      <c r="K35" s="864"/>
      <c r="L35" s="864"/>
      <c r="M35" s="864"/>
      <c r="N35" s="865"/>
      <c r="P35" s="65"/>
      <c r="Q35" s="65"/>
      <c r="R35" s="65"/>
      <c r="S35" s="65"/>
      <c r="T35" s="65"/>
      <c r="U35" s="65"/>
      <c r="V35" s="65"/>
      <c r="W35" s="65"/>
      <c r="X35" s="65"/>
      <c r="Y35" s="65"/>
      <c r="Z35" s="65"/>
      <c r="AA35" s="65"/>
      <c r="AB35" s="65"/>
    </row>
    <row r="36" spans="1:28" s="8" customFormat="1" ht="12.75" customHeight="1" x14ac:dyDescent="0.2">
      <c r="A36" s="65"/>
      <c r="C36" s="78"/>
      <c r="E36" s="866"/>
      <c r="F36" s="867"/>
      <c r="G36" s="867"/>
      <c r="H36" s="867"/>
      <c r="I36" s="867"/>
      <c r="J36" s="867"/>
      <c r="K36" s="867"/>
      <c r="L36" s="867"/>
      <c r="M36" s="867"/>
      <c r="N36" s="868"/>
      <c r="P36" s="65"/>
      <c r="Q36" s="65"/>
      <c r="R36" s="65"/>
      <c r="S36" s="65"/>
      <c r="T36" s="65"/>
      <c r="U36" s="65"/>
      <c r="V36" s="65"/>
      <c r="W36" s="65"/>
      <c r="X36" s="65"/>
      <c r="Y36" s="65"/>
      <c r="Z36" s="65"/>
      <c r="AA36" s="65"/>
      <c r="AB36" s="65"/>
    </row>
    <row r="37" spans="1:28" s="8" customFormat="1" ht="12.75" customHeight="1" x14ac:dyDescent="0.2">
      <c r="A37" s="65"/>
      <c r="C37" s="78"/>
      <c r="P37" s="65"/>
      <c r="Q37" s="65"/>
      <c r="R37" s="65"/>
      <c r="S37" s="65"/>
      <c r="T37" s="65"/>
      <c r="U37" s="65"/>
      <c r="V37" s="65"/>
      <c r="W37" s="65"/>
      <c r="X37" s="65"/>
      <c r="Y37" s="65"/>
      <c r="Z37" s="65"/>
      <c r="AA37" s="65"/>
      <c r="AB37" s="65"/>
    </row>
    <row r="38" spans="1:28" s="8" customFormat="1" ht="12.75" customHeight="1" x14ac:dyDescent="0.2">
      <c r="A38" s="65"/>
      <c r="C38" s="78"/>
      <c r="D38" s="14" t="s">
        <v>595</v>
      </c>
      <c r="E38" s="949" t="str">
        <f>Translations!$B$196</f>
        <v>Source Stream Diagram document title and reference:</v>
      </c>
      <c r="F38" s="949"/>
      <c r="G38" s="949"/>
      <c r="H38" s="949"/>
      <c r="I38" s="949"/>
      <c r="J38" s="925"/>
      <c r="K38" s="907"/>
      <c r="L38" s="948"/>
      <c r="M38" s="948"/>
      <c r="N38" s="948"/>
      <c r="P38" s="350"/>
      <c r="Q38" s="65"/>
      <c r="R38" s="65"/>
      <c r="S38" s="65"/>
      <c r="T38" s="65"/>
      <c r="U38" s="65"/>
      <c r="V38" s="65"/>
      <c r="W38" s="65"/>
      <c r="X38" s="65"/>
      <c r="Y38" s="65"/>
      <c r="Z38" s="65"/>
      <c r="AA38" s="65"/>
      <c r="AB38" s="65"/>
    </row>
    <row r="39" spans="1:28" s="8" customFormat="1" ht="25.5" customHeight="1" x14ac:dyDescent="0.2">
      <c r="A39" s="65"/>
      <c r="C39" s="78"/>
      <c r="D39" s="14"/>
      <c r="E39" s="862" t="str">
        <f>Translations!$B$197</f>
        <v>It may aid the description of activities to provide a simple diagram showing emissions sources, source streams, sampling points and metering/measurement equipment.  If such a diagram is available please provide here a reference (filename, date) and attach a copy when submitting this monitoring plan to your competent authority.</v>
      </c>
      <c r="F39" s="862"/>
      <c r="G39" s="862"/>
      <c r="H39" s="862"/>
      <c r="I39" s="862"/>
      <c r="J39" s="862"/>
      <c r="K39" s="862"/>
      <c r="L39" s="862"/>
      <c r="M39" s="862"/>
      <c r="N39" s="862"/>
      <c r="P39" s="351"/>
      <c r="Q39" s="351"/>
      <c r="R39" s="65"/>
      <c r="S39" s="65"/>
      <c r="T39" s="65"/>
      <c r="U39" s="65"/>
      <c r="V39" s="65"/>
      <c r="W39" s="65"/>
      <c r="X39" s="65"/>
      <c r="Y39" s="65"/>
      <c r="Z39" s="65"/>
      <c r="AA39" s="65"/>
      <c r="AB39" s="65"/>
    </row>
    <row r="40" spans="1:28" s="8" customFormat="1" ht="12.75" customHeight="1" x14ac:dyDescent="0.2">
      <c r="A40" s="65"/>
      <c r="C40" s="78"/>
      <c r="D40" s="14"/>
      <c r="E40" s="944" t="str">
        <f>Translations!$B$198</f>
        <v>Note in some cases this may be specifically requested by the competent authority as mandatory.</v>
      </c>
      <c r="F40" s="944"/>
      <c r="G40" s="944"/>
      <c r="H40" s="944"/>
      <c r="I40" s="944"/>
      <c r="J40" s="944"/>
      <c r="K40" s="944"/>
      <c r="L40" s="944"/>
      <c r="M40" s="944"/>
      <c r="N40" s="944"/>
      <c r="P40" s="65"/>
      <c r="Q40" s="65"/>
      <c r="R40" s="65"/>
      <c r="S40" s="65"/>
      <c r="T40" s="65"/>
      <c r="U40" s="65"/>
      <c r="V40" s="65"/>
      <c r="W40" s="65"/>
      <c r="X40" s="65"/>
      <c r="Y40" s="65"/>
      <c r="Z40" s="65"/>
      <c r="AA40" s="65"/>
      <c r="AB40" s="65"/>
    </row>
    <row r="41" spans="1:28" s="8" customFormat="1" ht="12.75" customHeight="1" x14ac:dyDescent="0.2">
      <c r="A41" s="65"/>
      <c r="C41" s="78"/>
      <c r="D41" s="14"/>
      <c r="E41" s="334"/>
      <c r="F41" s="334"/>
      <c r="G41" s="334"/>
      <c r="H41" s="334"/>
      <c r="I41" s="334"/>
      <c r="J41" s="334"/>
      <c r="K41" s="334"/>
      <c r="L41" s="334"/>
      <c r="M41" s="334"/>
      <c r="P41" s="65"/>
      <c r="Q41" s="65"/>
      <c r="R41" s="65"/>
      <c r="S41" s="65"/>
      <c r="T41" s="65"/>
      <c r="U41" s="65"/>
      <c r="V41" s="65"/>
      <c r="W41" s="65"/>
      <c r="X41" s="65"/>
      <c r="Y41" s="65"/>
      <c r="Z41" s="65"/>
      <c r="AA41" s="65"/>
      <c r="AB41" s="65"/>
    </row>
    <row r="42" spans="1:28" s="34" customFormat="1" x14ac:dyDescent="0.2">
      <c r="A42" s="248"/>
      <c r="C42" s="336"/>
      <c r="D42" s="98" t="s">
        <v>554</v>
      </c>
      <c r="E42" s="717" t="str">
        <f>Translations!$B$199</f>
        <v>List of activities pursuant to Annex I of the EU ETS Directive carried out at the installation:</v>
      </c>
      <c r="F42" s="721"/>
      <c r="G42" s="721"/>
      <c r="H42" s="721"/>
      <c r="I42" s="721"/>
      <c r="J42" s="721"/>
      <c r="K42" s="721"/>
      <c r="L42" s="721"/>
      <c r="M42" s="721"/>
      <c r="N42" s="721"/>
      <c r="O42" s="8"/>
      <c r="P42" s="248"/>
      <c r="Q42" s="248"/>
      <c r="R42" s="248"/>
      <c r="S42" s="248"/>
      <c r="T42" s="248"/>
      <c r="U42" s="248"/>
      <c r="V42" s="248"/>
      <c r="W42" s="248"/>
      <c r="X42" s="248"/>
      <c r="Y42" s="248"/>
      <c r="Z42" s="248"/>
      <c r="AA42" s="248"/>
      <c r="AB42" s="248"/>
    </row>
    <row r="43" spans="1:28" s="8" customFormat="1" ht="12.75" customHeight="1" x14ac:dyDescent="0.2">
      <c r="A43" s="65"/>
      <c r="C43" s="78"/>
      <c r="E43" s="869" t="str">
        <f>Translations!$B$200</f>
        <v>Please provide the following technical details for each activity pursuant to Annex I of the EU ETS Directive carried out at your installation.</v>
      </c>
      <c r="F43" s="869"/>
      <c r="G43" s="869"/>
      <c r="H43" s="869"/>
      <c r="I43" s="869"/>
      <c r="J43" s="869"/>
      <c r="K43" s="869"/>
      <c r="L43" s="869"/>
      <c r="M43" s="869"/>
      <c r="N43" s="869"/>
      <c r="P43" s="65"/>
      <c r="Q43" s="65"/>
      <c r="R43" s="65"/>
      <c r="S43" s="65"/>
      <c r="T43" s="65"/>
      <c r="U43" s="65"/>
      <c r="V43" s="65"/>
      <c r="W43" s="65"/>
      <c r="X43" s="65"/>
      <c r="Y43" s="65"/>
      <c r="Z43" s="65"/>
      <c r="AA43" s="65"/>
      <c r="AB43" s="65"/>
    </row>
    <row r="44" spans="1:28" s="8" customFormat="1" ht="15" customHeight="1" x14ac:dyDescent="0.2">
      <c r="A44" s="65"/>
      <c r="C44" s="78"/>
      <c r="E44" s="869" t="str">
        <f>Translations!$B$201</f>
        <v>Please also provide the capacity of each Annex I activity relevant at your installation.</v>
      </c>
      <c r="F44" s="869"/>
      <c r="G44" s="869"/>
      <c r="H44" s="869"/>
      <c r="I44" s="869"/>
      <c r="J44" s="869"/>
      <c r="K44" s="869"/>
      <c r="L44" s="869"/>
      <c r="M44" s="869"/>
      <c r="N44" s="869"/>
      <c r="P44" s="65"/>
      <c r="Q44" s="65"/>
      <c r="R44" s="65"/>
      <c r="S44" s="65"/>
      <c r="T44" s="65"/>
      <c r="U44" s="65"/>
      <c r="V44" s="65"/>
      <c r="W44" s="65"/>
      <c r="X44" s="65"/>
      <c r="Y44" s="65"/>
      <c r="Z44" s="65"/>
      <c r="AA44" s="65"/>
      <c r="AB44" s="65"/>
    </row>
    <row r="45" spans="1:28" s="8" customFormat="1" ht="12.75" customHeight="1" x14ac:dyDescent="0.2">
      <c r="A45" s="65"/>
      <c r="C45" s="78"/>
      <c r="E45" s="869" t="str">
        <f>Translations!$B$202</f>
        <v>Please note that ‘capacity’ in this context means:</v>
      </c>
      <c r="F45" s="869"/>
      <c r="G45" s="869"/>
      <c r="H45" s="869"/>
      <c r="I45" s="869"/>
      <c r="J45" s="869"/>
      <c r="K45" s="869"/>
      <c r="L45" s="869"/>
      <c r="M45" s="869"/>
      <c r="N45" s="869"/>
      <c r="P45" s="65"/>
      <c r="Q45" s="65"/>
      <c r="R45" s="65"/>
      <c r="S45" s="65"/>
      <c r="T45" s="65"/>
      <c r="U45" s="65"/>
      <c r="V45" s="65"/>
      <c r="W45" s="65"/>
      <c r="X45" s="65"/>
      <c r="Y45" s="65"/>
      <c r="Z45" s="65"/>
      <c r="AA45" s="65"/>
      <c r="AB45" s="65"/>
    </row>
    <row r="46" spans="1:28" s="8" customFormat="1" ht="25.5" customHeight="1" x14ac:dyDescent="0.2">
      <c r="A46" s="65"/>
      <c r="C46" s="78"/>
      <c r="E46" s="340" t="s">
        <v>1292</v>
      </c>
      <c r="F46" s="869" t="str">
        <f>Translations!$B$203</f>
        <v xml:space="preserve">Rated thermal input (for activities whose inclusion in the EU ETS depends on the 20MW threshold), which is the rate at which fuel can be burned at the maximum continuous rating of the installation multiplied by the calorific value of the fuel and expressed as megawatts thermal. </v>
      </c>
      <c r="G46" s="869"/>
      <c r="H46" s="869"/>
      <c r="I46" s="869"/>
      <c r="J46" s="869"/>
      <c r="K46" s="869"/>
      <c r="L46" s="869"/>
      <c r="M46" s="869"/>
      <c r="N46" s="869"/>
      <c r="P46" s="65"/>
      <c r="Q46" s="65"/>
      <c r="R46" s="65"/>
      <c r="S46" s="65"/>
      <c r="T46" s="65"/>
      <c r="U46" s="65"/>
      <c r="V46" s="65"/>
      <c r="W46" s="65"/>
      <c r="X46" s="65"/>
      <c r="Y46" s="65"/>
      <c r="Z46" s="65"/>
      <c r="AA46" s="65"/>
      <c r="AB46" s="65"/>
    </row>
    <row r="47" spans="1:28" s="8" customFormat="1" ht="12.75" customHeight="1" x14ac:dyDescent="0.2">
      <c r="A47" s="65"/>
      <c r="C47" s="78"/>
      <c r="E47" s="340" t="s">
        <v>1292</v>
      </c>
      <c r="F47" s="869" t="str">
        <f>Translations!$B$204</f>
        <v xml:space="preserve">Production capacity for those specified Annex I activities for which production capacity determines the inclusion in the EU ETS. </v>
      </c>
      <c r="G47" s="869"/>
      <c r="H47" s="869"/>
      <c r="I47" s="869"/>
      <c r="J47" s="869"/>
      <c r="K47" s="869"/>
      <c r="L47" s="869"/>
      <c r="M47" s="869"/>
      <c r="N47" s="869"/>
      <c r="P47" s="65"/>
      <c r="Q47" s="65"/>
      <c r="R47" s="65"/>
      <c r="S47" s="65"/>
      <c r="T47" s="65"/>
      <c r="U47" s="65"/>
      <c r="V47" s="65"/>
      <c r="W47" s="65"/>
      <c r="X47" s="65"/>
      <c r="Y47" s="65"/>
      <c r="Z47" s="65"/>
      <c r="AA47" s="65"/>
      <c r="AB47" s="65"/>
    </row>
    <row r="48" spans="1:28" s="8" customFormat="1" ht="25.5" customHeight="1" x14ac:dyDescent="0.2">
      <c r="A48" s="65"/>
      <c r="C48" s="78"/>
      <c r="E48" s="869" t="str">
        <f>Translations!$B$205</f>
        <v>Please make sure that the installation boundaries are correct and in line with Annex I of the EU ETS Directive. For further information please consult the relevant sections of the Commission's Guidance on Interpretation of Annex I. This document can be found under the following link:</v>
      </c>
      <c r="F48" s="869"/>
      <c r="G48" s="869"/>
      <c r="H48" s="869"/>
      <c r="I48" s="869"/>
      <c r="J48" s="869"/>
      <c r="K48" s="869"/>
      <c r="L48" s="869"/>
      <c r="M48" s="869"/>
      <c r="N48" s="869"/>
      <c r="P48" s="12"/>
      <c r="Q48" s="65"/>
      <c r="R48" s="65"/>
      <c r="S48" s="65"/>
      <c r="T48" s="65"/>
      <c r="U48" s="65"/>
      <c r="V48" s="65"/>
      <c r="W48" s="65"/>
      <c r="X48" s="65"/>
      <c r="Y48" s="65"/>
      <c r="Z48" s="65"/>
      <c r="AA48" s="65"/>
      <c r="AB48" s="65"/>
    </row>
    <row r="49" spans="1:28" s="8" customFormat="1" ht="15" customHeight="1" x14ac:dyDescent="0.2">
      <c r="A49" s="65"/>
      <c r="C49" s="78"/>
      <c r="E49" s="943" t="s">
        <v>1840</v>
      </c>
      <c r="F49" s="943"/>
      <c r="G49" s="943"/>
      <c r="H49" s="943"/>
      <c r="I49" s="943"/>
      <c r="J49" s="943"/>
      <c r="K49" s="943"/>
      <c r="L49" s="943"/>
      <c r="M49" s="943"/>
      <c r="N49" s="943"/>
      <c r="P49" s="65"/>
      <c r="Q49" s="65"/>
      <c r="R49" s="65"/>
      <c r="S49" s="65"/>
      <c r="T49" s="65"/>
      <c r="U49" s="65"/>
      <c r="V49" s="65"/>
      <c r="W49" s="65"/>
      <c r="X49" s="65"/>
      <c r="Y49" s="65"/>
      <c r="Z49" s="65"/>
      <c r="AA49" s="65"/>
      <c r="AB49" s="65"/>
    </row>
    <row r="50" spans="1:28" s="8" customFormat="1" ht="12.75" customHeight="1" x14ac:dyDescent="0.2">
      <c r="A50" s="65"/>
      <c r="C50" s="78"/>
      <c r="D50" s="14"/>
      <c r="E50" s="827" t="str">
        <f>Translations!$B$207</f>
        <v>The list entered here will be available as a drop-down list in the tables below where a reference to the activity is required for the installation description.</v>
      </c>
      <c r="F50" s="721"/>
      <c r="G50" s="721"/>
      <c r="H50" s="721"/>
      <c r="I50" s="721"/>
      <c r="J50" s="721"/>
      <c r="K50" s="721"/>
      <c r="L50" s="721"/>
      <c r="M50" s="721"/>
      <c r="N50" s="721"/>
      <c r="P50" s="65"/>
      <c r="Q50" s="65"/>
      <c r="R50" s="65"/>
      <c r="S50" s="65"/>
      <c r="T50" s="65"/>
      <c r="U50" s="65"/>
      <c r="V50" s="65"/>
      <c r="W50" s="65"/>
      <c r="X50" s="65"/>
      <c r="Y50" s="65"/>
      <c r="Z50" s="65"/>
      <c r="AA50" s="65"/>
      <c r="AB50" s="65"/>
    </row>
    <row r="51" spans="1:28" s="8" customFormat="1" ht="12.75" customHeight="1" x14ac:dyDescent="0.2">
      <c r="A51" s="65"/>
      <c r="C51" s="78"/>
      <c r="D51" s="14"/>
      <c r="E51" s="798" t="str">
        <f>Translations!$B$135</f>
        <v>For showing/hiding examples, press the "Examples" button in the navigation area.</v>
      </c>
      <c r="F51" s="917"/>
      <c r="G51" s="917"/>
      <c r="H51" s="917"/>
      <c r="I51" s="917"/>
      <c r="J51" s="917"/>
      <c r="K51" s="917"/>
      <c r="L51" s="917"/>
      <c r="M51" s="917"/>
      <c r="N51" s="917"/>
      <c r="P51" s="65"/>
      <c r="Q51" s="65"/>
      <c r="R51" s="65"/>
      <c r="S51" s="65"/>
      <c r="T51" s="65"/>
      <c r="U51" s="65"/>
      <c r="V51" s="65"/>
      <c r="W51" s="65"/>
      <c r="X51" s="65"/>
      <c r="Y51" s="65"/>
      <c r="Z51" s="65"/>
      <c r="AA51" s="65"/>
      <c r="AB51" s="65"/>
    </row>
    <row r="52" spans="1:28" s="8" customFormat="1" ht="5.0999999999999996" customHeight="1" x14ac:dyDescent="0.2">
      <c r="A52" s="65"/>
      <c r="C52" s="78"/>
      <c r="F52" s="341"/>
      <c r="P52" s="65"/>
      <c r="Q52" s="65"/>
      <c r="R52" s="65"/>
      <c r="S52" s="65"/>
      <c r="T52" s="65"/>
      <c r="U52" s="65"/>
      <c r="V52" s="65"/>
      <c r="W52" s="65"/>
      <c r="X52" s="65"/>
      <c r="Y52" s="65"/>
      <c r="Z52" s="65"/>
      <c r="AA52" s="65"/>
      <c r="AB52" s="65"/>
    </row>
    <row r="53" spans="1:28" s="8" customFormat="1" ht="67.5" x14ac:dyDescent="0.2">
      <c r="A53" s="65"/>
      <c r="C53" s="78"/>
      <c r="E53" s="344" t="str">
        <f>Translations!$B$208</f>
        <v>Activity Ref. (A1, A2…)</v>
      </c>
      <c r="F53" s="879" t="str">
        <f>Translations!$B$209</f>
        <v>Annex I Activity</v>
      </c>
      <c r="G53" s="880"/>
      <c r="H53" s="880"/>
      <c r="I53" s="880"/>
      <c r="J53" s="881"/>
      <c r="K53" s="345" t="str">
        <f>Translations!$B$210</f>
        <v xml:space="preserve">Total Activity Capacity </v>
      </c>
      <c r="L53" s="345" t="str">
        <f>Translations!$B$211</f>
        <v>Capacity units</v>
      </c>
      <c r="M53" s="345" t="str">
        <f>Translations!$B$1163</f>
        <v>Rated thermal input in MW(th) (if capacity expressed in tonnes)</v>
      </c>
      <c r="N53" s="416" t="str">
        <f>Translations!$B$212</f>
        <v>GHG emitted</v>
      </c>
      <c r="P53" s="65"/>
      <c r="Q53" s="65"/>
      <c r="R53" s="65"/>
      <c r="S53" s="65"/>
      <c r="T53" s="65"/>
      <c r="U53" s="352" t="s">
        <v>1231</v>
      </c>
      <c r="V53" s="352" t="s">
        <v>1231</v>
      </c>
      <c r="W53" s="352" t="s">
        <v>1231</v>
      </c>
      <c r="X53" s="352" t="s">
        <v>1231</v>
      </c>
      <c r="Y53" s="352" t="s">
        <v>1231</v>
      </c>
      <c r="Z53" s="65"/>
      <c r="AA53" s="65"/>
      <c r="AB53" s="65"/>
    </row>
    <row r="54" spans="1:28" s="8" customFormat="1" ht="12.75" customHeight="1" x14ac:dyDescent="0.2">
      <c r="A54" s="12" t="s">
        <v>1373</v>
      </c>
      <c r="C54" s="78"/>
      <c r="E54" s="230" t="s">
        <v>218</v>
      </c>
      <c r="F54" s="911" t="str">
        <f>Translations!$B$213</f>
        <v>Production of cement clinker</v>
      </c>
      <c r="G54" s="791"/>
      <c r="H54" s="791"/>
      <c r="I54" s="791"/>
      <c r="J54" s="792"/>
      <c r="K54" s="230">
        <v>1500</v>
      </c>
      <c r="L54" s="211" t="str">
        <f>Translations!$B$214</f>
        <v>tonnes per day</v>
      </c>
      <c r="M54" s="230">
        <v>230</v>
      </c>
      <c r="N54" s="211" t="str">
        <f t="shared" ref="N54:N63" si="0">IF(ISBLANK(F54),"",INDEX(EUConst_AnnexIListGHG,MATCH(F54,AnnexIActivities,0)))</f>
        <v>CO2</v>
      </c>
      <c r="P54" s="65"/>
      <c r="Q54" s="65"/>
      <c r="R54" s="65"/>
      <c r="S54" s="65"/>
      <c r="T54" s="65"/>
      <c r="U54" s="352"/>
      <c r="V54" s="352"/>
      <c r="W54" s="352"/>
      <c r="X54" s="352"/>
      <c r="Y54" s="352"/>
      <c r="Z54" s="65"/>
      <c r="AA54" s="65"/>
      <c r="AB54" s="65"/>
    </row>
    <row r="55" spans="1:28" s="8" customFormat="1" ht="12.75" customHeight="1" thickBot="1" x14ac:dyDescent="0.25">
      <c r="A55" s="12" t="s">
        <v>1373</v>
      </c>
      <c r="C55" s="78"/>
      <c r="E55" s="230" t="s">
        <v>219</v>
      </c>
      <c r="F55" s="911" t="str">
        <f>Translations!$B$215</f>
        <v>Combustion of fuels</v>
      </c>
      <c r="G55" s="791"/>
      <c r="H55" s="791"/>
      <c r="I55" s="791"/>
      <c r="J55" s="792"/>
      <c r="K55" s="230">
        <v>120</v>
      </c>
      <c r="L55" s="211" t="str">
        <f>Translations!$B$216</f>
        <v>MW(th)</v>
      </c>
      <c r="M55" s="230">
        <v>120</v>
      </c>
      <c r="N55" s="211" t="str">
        <f>IF(ISBLANK(F55),"",INDEX(EUConst_AnnexIListGHG,MATCH(F55,AnnexIActivities,0)))</f>
        <v>CO2</v>
      </c>
      <c r="P55" s="65"/>
      <c r="Q55" s="65"/>
      <c r="R55" s="65"/>
      <c r="S55" s="65"/>
      <c r="T55" s="65"/>
      <c r="U55" s="352"/>
      <c r="V55" s="352"/>
      <c r="W55" s="352"/>
      <c r="X55" s="352"/>
      <c r="Y55" s="352"/>
      <c r="Z55" s="65"/>
      <c r="AA55" s="65"/>
      <c r="AB55" s="65"/>
    </row>
    <row r="56" spans="1:28" s="8" customFormat="1" ht="12.75" customHeight="1" x14ac:dyDescent="0.2">
      <c r="A56" s="65"/>
      <c r="C56" s="78"/>
      <c r="E56" s="81" t="s">
        <v>1216</v>
      </c>
      <c r="F56" s="870"/>
      <c r="G56" s="871"/>
      <c r="H56" s="871"/>
      <c r="I56" s="871"/>
      <c r="J56" s="872"/>
      <c r="K56" s="198"/>
      <c r="L56" s="199"/>
      <c r="M56" s="198"/>
      <c r="N56" s="82" t="str">
        <f t="shared" si="0"/>
        <v/>
      </c>
      <c r="P56" s="65"/>
      <c r="Q56" s="65"/>
      <c r="R56" s="65"/>
      <c r="S56" s="65"/>
      <c r="T56" s="65">
        <v>1</v>
      </c>
      <c r="U56" s="353" t="str">
        <f t="shared" ref="U56:U62" si="1">IF(ISBLANK(F56),"",E56)</f>
        <v/>
      </c>
      <c r="V56" s="354" t="str">
        <f t="shared" ref="V56:V62" si="2">IF(ISBLANK(F56),"",F56)</f>
        <v/>
      </c>
      <c r="W56" s="355" t="str">
        <f>IF(V56="","",MAX(W$55:W55)+1)</f>
        <v/>
      </c>
      <c r="X56" s="356" t="str">
        <f t="shared" ref="X56:X62" si="3">IF(COUNTIF($W$56:$W$60,T56)=1,INDEX($U$56:$U$60,MATCH(T56,$W$56:$W$60,0)) &amp; ": " &amp; INDEX($V$56:$V$60,MATCH(T56,$W$56:$W$60,0)),EUconst_NA)</f>
        <v>n.a.</v>
      </c>
      <c r="Y56" s="357" t="str">
        <f t="shared" ref="Y56:Y62" si="4">IF(COUNTIF($W$56:$W$60,T56)=1,INDEX($V$56:$V$60,MATCH(T56,$W$56:$W$60,0)),EUconst_NA)</f>
        <v>n.a.</v>
      </c>
      <c r="Z56" s="353" t="str">
        <f t="shared" ref="Z56:Z62" si="5">IF(F56="","",MATCH(F56,AnnexIActivities,0))</f>
        <v/>
      </c>
      <c r="AA56" s="65"/>
      <c r="AB56" s="65"/>
    </row>
    <row r="57" spans="1:28" s="8" customFormat="1" ht="12.75" customHeight="1" x14ac:dyDescent="0.2">
      <c r="A57" s="65"/>
      <c r="C57" s="78"/>
      <c r="E57" s="81" t="s">
        <v>1217</v>
      </c>
      <c r="F57" s="870"/>
      <c r="G57" s="871"/>
      <c r="H57" s="871"/>
      <c r="I57" s="871"/>
      <c r="J57" s="872"/>
      <c r="K57" s="198"/>
      <c r="L57" s="199"/>
      <c r="M57" s="198"/>
      <c r="N57" s="82" t="str">
        <f t="shared" si="0"/>
        <v/>
      </c>
      <c r="P57" s="65"/>
      <c r="Q57" s="65"/>
      <c r="R57" s="65"/>
      <c r="S57" s="65"/>
      <c r="T57" s="65">
        <v>2</v>
      </c>
      <c r="U57" s="353" t="str">
        <f t="shared" si="1"/>
        <v/>
      </c>
      <c r="V57" s="354" t="str">
        <f t="shared" si="2"/>
        <v/>
      </c>
      <c r="W57" s="355" t="str">
        <f>IF(V57="","",MAX(W$55:W56)+1)</f>
        <v/>
      </c>
      <c r="X57" s="358" t="str">
        <f t="shared" si="3"/>
        <v>n.a.</v>
      </c>
      <c r="Y57" s="357" t="str">
        <f t="shared" si="4"/>
        <v>n.a.</v>
      </c>
      <c r="Z57" s="353" t="str">
        <f t="shared" si="5"/>
        <v/>
      </c>
      <c r="AA57" s="65"/>
      <c r="AB57" s="65"/>
    </row>
    <row r="58" spans="1:28" s="8" customFormat="1" ht="12.75" customHeight="1" x14ac:dyDescent="0.2">
      <c r="A58" s="65"/>
      <c r="C58" s="78"/>
      <c r="E58" s="81" t="s">
        <v>1218</v>
      </c>
      <c r="F58" s="870"/>
      <c r="G58" s="871"/>
      <c r="H58" s="871"/>
      <c r="I58" s="871"/>
      <c r="J58" s="872"/>
      <c r="K58" s="198"/>
      <c r="L58" s="199"/>
      <c r="M58" s="198"/>
      <c r="N58" s="82" t="str">
        <f t="shared" si="0"/>
        <v/>
      </c>
      <c r="P58" s="65"/>
      <c r="Q58" s="65"/>
      <c r="R58" s="65"/>
      <c r="S58" s="65"/>
      <c r="T58" s="65">
        <v>3</v>
      </c>
      <c r="U58" s="353" t="str">
        <f t="shared" si="1"/>
        <v/>
      </c>
      <c r="V58" s="354" t="str">
        <f t="shared" si="2"/>
        <v/>
      </c>
      <c r="W58" s="355" t="str">
        <f>IF(V58="","",MAX(W$55:W57)+1)</f>
        <v/>
      </c>
      <c r="X58" s="358" t="str">
        <f t="shared" si="3"/>
        <v>n.a.</v>
      </c>
      <c r="Y58" s="357" t="str">
        <f t="shared" si="4"/>
        <v>n.a.</v>
      </c>
      <c r="Z58" s="353" t="str">
        <f t="shared" si="5"/>
        <v/>
      </c>
      <c r="AA58" s="65"/>
      <c r="AB58" s="65"/>
    </row>
    <row r="59" spans="1:28" s="8" customFormat="1" ht="12.75" customHeight="1" x14ac:dyDescent="0.2">
      <c r="A59" s="65"/>
      <c r="C59" s="78"/>
      <c r="E59" s="81" t="s">
        <v>1219</v>
      </c>
      <c r="F59" s="870"/>
      <c r="G59" s="871"/>
      <c r="H59" s="871"/>
      <c r="I59" s="871"/>
      <c r="J59" s="872"/>
      <c r="K59" s="198"/>
      <c r="L59" s="199"/>
      <c r="M59" s="198"/>
      <c r="N59" s="82" t="str">
        <f t="shared" si="0"/>
        <v/>
      </c>
      <c r="P59" s="65"/>
      <c r="Q59" s="65"/>
      <c r="R59" s="65"/>
      <c r="S59" s="65"/>
      <c r="T59" s="65">
        <v>4</v>
      </c>
      <c r="U59" s="353" t="str">
        <f t="shared" si="1"/>
        <v/>
      </c>
      <c r="V59" s="354" t="str">
        <f t="shared" si="2"/>
        <v/>
      </c>
      <c r="W59" s="355" t="str">
        <f>IF(V59="","",MAX(W$55:W58)+1)</f>
        <v/>
      </c>
      <c r="X59" s="358" t="str">
        <f t="shared" si="3"/>
        <v>n.a.</v>
      </c>
      <c r="Y59" s="357" t="str">
        <f t="shared" si="4"/>
        <v>n.a.</v>
      </c>
      <c r="Z59" s="353" t="str">
        <f t="shared" si="5"/>
        <v/>
      </c>
      <c r="AA59" s="65"/>
      <c r="AB59" s="65"/>
    </row>
    <row r="60" spans="1:28" s="8" customFormat="1" ht="12.75" customHeight="1" x14ac:dyDescent="0.2">
      <c r="A60" s="65"/>
      <c r="C60" s="78"/>
      <c r="E60" s="81" t="s">
        <v>1220</v>
      </c>
      <c r="F60" s="870"/>
      <c r="G60" s="871"/>
      <c r="H60" s="871"/>
      <c r="I60" s="871"/>
      <c r="J60" s="872"/>
      <c r="K60" s="198"/>
      <c r="L60" s="199"/>
      <c r="M60" s="198"/>
      <c r="N60" s="82" t="str">
        <f t="shared" si="0"/>
        <v/>
      </c>
      <c r="P60" s="65"/>
      <c r="Q60" s="65"/>
      <c r="R60" s="65"/>
      <c r="S60" s="65"/>
      <c r="T60" s="65">
        <v>5</v>
      </c>
      <c r="U60" s="353" t="str">
        <f t="shared" si="1"/>
        <v/>
      </c>
      <c r="V60" s="354" t="str">
        <f t="shared" si="2"/>
        <v/>
      </c>
      <c r="W60" s="355" t="str">
        <f>IF(V60="","",MAX(W$55:W59)+1)</f>
        <v/>
      </c>
      <c r="X60" s="358" t="str">
        <f t="shared" si="3"/>
        <v>n.a.</v>
      </c>
      <c r="Y60" s="357" t="str">
        <f t="shared" si="4"/>
        <v>n.a.</v>
      </c>
      <c r="Z60" s="353" t="str">
        <f t="shared" si="5"/>
        <v/>
      </c>
      <c r="AA60" s="65"/>
      <c r="AB60" s="65"/>
    </row>
    <row r="61" spans="1:28" s="8" customFormat="1" ht="12.75" customHeight="1" x14ac:dyDescent="0.2">
      <c r="A61" s="65"/>
      <c r="C61" s="78"/>
      <c r="E61" s="81" t="s">
        <v>1682</v>
      </c>
      <c r="F61" s="870"/>
      <c r="G61" s="871"/>
      <c r="H61" s="871"/>
      <c r="I61" s="871"/>
      <c r="J61" s="872"/>
      <c r="K61" s="198"/>
      <c r="L61" s="199"/>
      <c r="M61" s="198"/>
      <c r="N61" s="82" t="str">
        <f>IF(ISBLANK(F61),"",INDEX(EUConst_AnnexIListGHG,MATCH(F61,AnnexIActivities,0)))</f>
        <v/>
      </c>
      <c r="P61" s="65"/>
      <c r="Q61" s="65"/>
      <c r="R61" s="65"/>
      <c r="S61" s="65"/>
      <c r="T61" s="65">
        <v>6</v>
      </c>
      <c r="U61" s="353" t="str">
        <f t="shared" si="1"/>
        <v/>
      </c>
      <c r="V61" s="354" t="str">
        <f t="shared" si="2"/>
        <v/>
      </c>
      <c r="W61" s="355" t="str">
        <f>IF(V61="","",MAX(W$55:W60)+1)</f>
        <v/>
      </c>
      <c r="X61" s="358" t="str">
        <f t="shared" si="3"/>
        <v>n.a.</v>
      </c>
      <c r="Y61" s="357" t="str">
        <f t="shared" si="4"/>
        <v>n.a.</v>
      </c>
      <c r="Z61" s="353" t="str">
        <f t="shared" si="5"/>
        <v/>
      </c>
      <c r="AA61" s="65"/>
      <c r="AB61" s="65"/>
    </row>
    <row r="62" spans="1:28" s="8" customFormat="1" ht="12.75" customHeight="1" x14ac:dyDescent="0.2">
      <c r="A62" s="65"/>
      <c r="C62" s="78"/>
      <c r="E62" s="81" t="s">
        <v>1683</v>
      </c>
      <c r="F62" s="870"/>
      <c r="G62" s="871"/>
      <c r="H62" s="871"/>
      <c r="I62" s="871"/>
      <c r="J62" s="872"/>
      <c r="K62" s="198"/>
      <c r="L62" s="199"/>
      <c r="M62" s="198"/>
      <c r="N62" s="82" t="str">
        <f>IF(ISBLANK(F62),"",INDEX(EUConst_AnnexIListGHG,MATCH(F62,AnnexIActivities,0)))</f>
        <v/>
      </c>
      <c r="P62" s="65"/>
      <c r="Q62" s="65"/>
      <c r="R62" s="65"/>
      <c r="S62" s="65"/>
      <c r="T62" s="65">
        <v>7</v>
      </c>
      <c r="U62" s="353" t="str">
        <f t="shared" si="1"/>
        <v/>
      </c>
      <c r="V62" s="354" t="str">
        <f t="shared" si="2"/>
        <v/>
      </c>
      <c r="W62" s="355" t="str">
        <f>IF(V62="","",MAX(W$55:W61)+1)</f>
        <v/>
      </c>
      <c r="X62" s="358" t="str">
        <f t="shared" si="3"/>
        <v>n.a.</v>
      </c>
      <c r="Y62" s="357" t="str">
        <f t="shared" si="4"/>
        <v>n.a.</v>
      </c>
      <c r="Z62" s="353" t="str">
        <f t="shared" si="5"/>
        <v/>
      </c>
      <c r="AA62" s="65"/>
      <c r="AB62" s="65"/>
    </row>
    <row r="63" spans="1:28" s="8" customFormat="1" ht="12.75" hidden="1" customHeight="1" thickBot="1" x14ac:dyDescent="0.25">
      <c r="A63" s="12" t="s">
        <v>1090</v>
      </c>
      <c r="C63" s="78"/>
      <c r="E63" s="81"/>
      <c r="F63" s="942"/>
      <c r="G63" s="871"/>
      <c r="H63" s="871"/>
      <c r="I63" s="871"/>
      <c r="J63" s="872"/>
      <c r="K63" s="4"/>
      <c r="L63" s="5"/>
      <c r="M63" s="4"/>
      <c r="N63" s="82" t="str">
        <f t="shared" si="0"/>
        <v/>
      </c>
      <c r="P63" s="65"/>
      <c r="Q63" s="65"/>
      <c r="R63" s="65"/>
      <c r="S63" s="65"/>
      <c r="T63" s="65"/>
      <c r="U63" s="359"/>
      <c r="V63" s="65"/>
      <c r="W63" s="65"/>
      <c r="X63" s="360"/>
      <c r="Y63" s="65"/>
      <c r="Z63" s="65"/>
      <c r="AA63" s="65"/>
      <c r="AB63" s="65"/>
    </row>
    <row r="64" spans="1:28" s="8" customFormat="1" ht="12.75" customHeight="1" x14ac:dyDescent="0.2">
      <c r="A64" s="65"/>
      <c r="C64" s="78"/>
      <c r="F64" s="341"/>
      <c r="P64" s="65"/>
      <c r="Q64" s="65"/>
      <c r="R64" s="65"/>
      <c r="S64" s="65"/>
      <c r="T64" s="65"/>
      <c r="U64" s="65"/>
      <c r="V64" s="65"/>
      <c r="W64" s="65"/>
      <c r="X64" s="65"/>
      <c r="Y64" s="65"/>
      <c r="Z64" s="65"/>
      <c r="AA64" s="65"/>
      <c r="AB64" s="65"/>
    </row>
    <row r="65" spans="1:28" s="8" customFormat="1" ht="12.75" customHeight="1" x14ac:dyDescent="0.2">
      <c r="A65" s="65"/>
      <c r="C65" s="78"/>
      <c r="D65" s="337" t="s">
        <v>839</v>
      </c>
      <c r="E65" s="945" t="str">
        <f>Translations!$B$217</f>
        <v>Estimated annual emissions:</v>
      </c>
      <c r="F65" s="945"/>
      <c r="G65" s="945"/>
      <c r="H65" s="945"/>
      <c r="I65" s="945"/>
      <c r="J65" s="945"/>
      <c r="P65" s="65"/>
      <c r="Q65" s="65"/>
      <c r="R65" s="65"/>
      <c r="S65" s="65"/>
      <c r="T65" s="65"/>
      <c r="U65" s="65"/>
      <c r="V65" s="65"/>
      <c r="W65" s="65"/>
      <c r="X65" s="65"/>
      <c r="Y65" s="65"/>
      <c r="Z65" s="65"/>
      <c r="AA65" s="65"/>
      <c r="AB65" s="65"/>
    </row>
    <row r="66" spans="1:28" s="8" customFormat="1" ht="38.85" customHeight="1" x14ac:dyDescent="0.2">
      <c r="A66" s="65"/>
      <c r="C66" s="78"/>
      <c r="E66" s="869" t="str">
        <f>Translations!$B$1337</f>
        <v>Please enter here the average annual emissions of your installation. This information is required for categorisation of the installation in accordance with Article 19 of the MRR. Use the average verified annual emissions of the previous trading period data OR if this data is not available, or is inappropriate, a conservative estimate of annual average emissions, all before substraction of any CO2 transferred out of the installation, but excluding CO2 from zero-rated carbon (biomass, RFNBO/RCF, SLCF).</v>
      </c>
      <c r="F66" s="869"/>
      <c r="G66" s="869"/>
      <c r="H66" s="869"/>
      <c r="I66" s="869"/>
      <c r="J66" s="869"/>
      <c r="K66" s="869"/>
      <c r="L66" s="869"/>
      <c r="M66" s="869"/>
      <c r="N66" s="869"/>
      <c r="P66" s="65"/>
      <c r="Q66" s="65"/>
      <c r="R66" s="65"/>
      <c r="S66" s="65"/>
      <c r="T66" s="65"/>
      <c r="U66" s="65"/>
      <c r="V66" s="65"/>
      <c r="W66" s="65"/>
      <c r="X66" s="65"/>
      <c r="Y66" s="65"/>
      <c r="Z66" s="65"/>
      <c r="AA66" s="65"/>
      <c r="AB66" s="65"/>
    </row>
    <row r="67" spans="1:28" s="8" customFormat="1" ht="12.75" customHeight="1" x14ac:dyDescent="0.2">
      <c r="A67" s="65"/>
      <c r="C67" s="78"/>
      <c r="E67" s="798" t="str">
        <f>Translations!$B$219</f>
        <v>The resulting category is used for identifying minimum tier requirements in section 8 (Source streams).</v>
      </c>
      <c r="F67" s="798"/>
      <c r="G67" s="798"/>
      <c r="H67" s="798"/>
      <c r="I67" s="798"/>
      <c r="J67" s="798"/>
      <c r="K67" s="798"/>
      <c r="L67" s="798"/>
      <c r="M67" s="798"/>
      <c r="N67" s="798"/>
      <c r="P67" s="65"/>
      <c r="Q67" s="65"/>
      <c r="R67" s="65"/>
      <c r="S67" s="65"/>
      <c r="T67" s="65"/>
      <c r="U67" s="65"/>
      <c r="V67" s="65"/>
      <c r="W67" s="65"/>
      <c r="X67" s="65"/>
      <c r="Y67" s="65"/>
      <c r="Z67" s="65"/>
      <c r="AA67" s="65"/>
      <c r="AB67" s="65"/>
    </row>
    <row r="68" spans="1:28" s="8" customFormat="1" ht="38.25" customHeight="1" x14ac:dyDescent="0.2">
      <c r="A68" s="65"/>
      <c r="C68" s="78"/>
      <c r="E68" s="798" t="str">
        <f>Translations!$B$1338</f>
        <v>Note: there can be cases where zero emissions arise from the installation (i.e. not even from a emergency power unit, boilers for heating offices, etc. and also no emissions from biomass, RFNBO/RCF, SCLF). In such cases, the estimated emissions would be zero and only this section and sheet "K_Management" of this monitoring plan have to completed.</v>
      </c>
      <c r="F68" s="798"/>
      <c r="G68" s="798"/>
      <c r="H68" s="798"/>
      <c r="I68" s="798"/>
      <c r="J68" s="798"/>
      <c r="K68" s="798"/>
      <c r="L68" s="798"/>
      <c r="M68" s="798"/>
      <c r="N68" s="798"/>
      <c r="P68" s="65"/>
      <c r="Q68" s="65"/>
      <c r="R68" s="65"/>
      <c r="S68" s="65"/>
      <c r="T68" s="65"/>
      <c r="U68" s="65"/>
      <c r="V68" s="65"/>
      <c r="W68" s="65"/>
      <c r="X68" s="65"/>
      <c r="Y68" s="65"/>
      <c r="Z68" s="65"/>
      <c r="AA68" s="65"/>
      <c r="AB68" s="65"/>
    </row>
    <row r="69" spans="1:28" s="8" customFormat="1" ht="5.0999999999999996" customHeight="1" thickBot="1" x14ac:dyDescent="0.25">
      <c r="A69" s="65"/>
      <c r="C69" s="78"/>
      <c r="F69" s="341"/>
      <c r="P69" s="65"/>
      <c r="Q69" s="65"/>
      <c r="R69" s="65"/>
      <c r="S69" s="65"/>
      <c r="T69" s="65"/>
      <c r="U69" s="65"/>
      <c r="V69" s="65"/>
      <c r="W69" s="65"/>
      <c r="X69" s="65"/>
      <c r="Y69" s="65"/>
      <c r="Z69" s="65"/>
      <c r="AA69" s="65"/>
      <c r="AB69" s="65"/>
    </row>
    <row r="70" spans="1:28" s="34" customFormat="1" ht="12.75" customHeight="1" thickBot="1" x14ac:dyDescent="0.25">
      <c r="A70" s="248"/>
      <c r="C70" s="336"/>
      <c r="E70" s="882" t="str">
        <f>Translations!$B$220</f>
        <v>Estimated annual emissions</v>
      </c>
      <c r="F70" s="882"/>
      <c r="G70" s="882"/>
      <c r="H70" s="883"/>
      <c r="I70" s="305"/>
      <c r="J70" s="342" t="s">
        <v>1291</v>
      </c>
      <c r="L70" s="343"/>
      <c r="M70" s="343"/>
      <c r="O70" s="8"/>
      <c r="P70" s="248"/>
      <c r="Q70" s="248"/>
      <c r="R70" s="248"/>
      <c r="S70" s="248"/>
      <c r="T70" s="248"/>
      <c r="U70" s="248"/>
      <c r="V70" s="248"/>
      <c r="W70" s="248"/>
      <c r="X70" s="248"/>
      <c r="Y70" s="248"/>
      <c r="Z70" s="248"/>
      <c r="AA70" s="248"/>
      <c r="AB70" s="248"/>
    </row>
    <row r="71" spans="1:28" s="8" customFormat="1" ht="12.75" customHeight="1" x14ac:dyDescent="0.2">
      <c r="A71" s="65"/>
      <c r="C71" s="78"/>
      <c r="E71" s="882" t="str">
        <f>Translations!$B$221</f>
        <v>Installation category in accordance with Article 19</v>
      </c>
      <c r="F71" s="882"/>
      <c r="G71" s="882"/>
      <c r="H71" s="887"/>
      <c r="I71" s="42" t="str">
        <f>IF(ISBLANK(CNTR_TotalEmissions),"",IF(CNTR_TotalEmissions&gt;500000,"C",IF(CNTR_TotalEmissions&gt;50000,"B","A")))</f>
        <v/>
      </c>
      <c r="J71" s="313"/>
      <c r="K71" s="313"/>
      <c r="L71" s="313"/>
      <c r="M71" s="67"/>
      <c r="P71" s="361"/>
      <c r="Q71" s="65"/>
      <c r="R71" s="65"/>
      <c r="S71" s="65"/>
      <c r="T71" s="65"/>
      <c r="U71" s="65"/>
      <c r="V71" s="65"/>
      <c r="W71" s="65"/>
      <c r="X71" s="65"/>
      <c r="Y71" s="65"/>
      <c r="Z71" s="65"/>
      <c r="AA71" s="65"/>
      <c r="AB71" s="65"/>
    </row>
    <row r="72" spans="1:28" s="8" customFormat="1" ht="12.75" customHeight="1" x14ac:dyDescent="0.2">
      <c r="A72" s="65"/>
      <c r="C72" s="78"/>
      <c r="E72" s="67"/>
      <c r="F72" s="67"/>
      <c r="G72" s="67"/>
      <c r="H72" s="67"/>
      <c r="I72" s="67"/>
      <c r="J72" s="67"/>
      <c r="K72" s="67"/>
      <c r="L72" s="67"/>
      <c r="M72" s="67"/>
      <c r="P72" s="361"/>
      <c r="Q72" s="65"/>
      <c r="R72" s="65"/>
      <c r="S72" s="65"/>
      <c r="T72" s="65"/>
      <c r="U72" s="65"/>
      <c r="V72" s="65"/>
      <c r="W72" s="65"/>
      <c r="X72" s="65"/>
      <c r="Y72" s="65"/>
      <c r="Z72" s="65"/>
      <c r="AA72" s="65"/>
      <c r="AB72" s="12" t="s">
        <v>727</v>
      </c>
    </row>
    <row r="73" spans="1:28" s="8" customFormat="1" ht="12.75" customHeight="1" x14ac:dyDescent="0.2">
      <c r="A73" s="65"/>
      <c r="C73" s="78"/>
      <c r="D73" s="337" t="s">
        <v>1023</v>
      </c>
      <c r="E73" s="337" t="str">
        <f>Translations!$B$222</f>
        <v>Installation with low emissions?</v>
      </c>
      <c r="F73" s="337"/>
      <c r="G73" s="337"/>
      <c r="H73" s="337"/>
      <c r="I73" s="200"/>
      <c r="J73" s="939" t="str">
        <f>IF(ISBLANK(CNTR_SmallEmitter),"",IF(S73,IF(CNTR_SmallEmitter=TRUE,EUconst_ERR_NoN2OSmallEmitters,""),IF(S74,EUconst_MsgSmallEmitters,"")))</f>
        <v/>
      </c>
      <c r="K73" s="940"/>
      <c r="L73" s="940"/>
      <c r="M73" s="940"/>
      <c r="N73" s="940"/>
      <c r="P73" s="362"/>
      <c r="Q73" s="65"/>
      <c r="R73" s="65"/>
      <c r="S73" s="354" t="b">
        <f>OR(COUNTIF(Z56:Z60,19),COUNTIF(Z56:Z60,20),COUNTIF(Z56:Z60,21))</f>
        <v>0</v>
      </c>
      <c r="T73" s="65" t="s">
        <v>1440</v>
      </c>
      <c r="U73" s="65"/>
      <c r="V73" s="65"/>
      <c r="W73" s="65"/>
      <c r="X73" s="65"/>
      <c r="Y73" s="65"/>
      <c r="Z73" s="65"/>
      <c r="AA73" s="65"/>
      <c r="AB73" s="354" t="b">
        <f>AND(CNTR_Category&lt;&gt;"",CNTR_Category&lt;&gt;"A")</f>
        <v>0</v>
      </c>
    </row>
    <row r="74" spans="1:28" s="34" customFormat="1" ht="12.75" customHeight="1" x14ac:dyDescent="0.2">
      <c r="A74" s="248"/>
      <c r="C74" s="336"/>
      <c r="D74" s="98"/>
      <c r="E74" s="869" t="str">
        <f>Translations!$B$223</f>
        <v>Entering "TRUE" here means that the installation satisfies the criteria for installations with low emissions as defined by Article 47.</v>
      </c>
      <c r="F74" s="869"/>
      <c r="G74" s="869"/>
      <c r="H74" s="869"/>
      <c r="I74" s="869"/>
      <c r="J74" s="869"/>
      <c r="K74" s="869"/>
      <c r="L74" s="869"/>
      <c r="M74" s="917"/>
      <c r="N74" s="917"/>
      <c r="O74" s="8"/>
      <c r="P74" s="363"/>
      <c r="Q74" s="248"/>
      <c r="R74" s="248"/>
      <c r="S74" s="354" t="b">
        <f>AND(ISNUMBER(CNTR_TotalEmissions),OR(AND(CNTR_SmallEmitter=TRUE,CNTR_TotalEmissions&gt;25000),AND(CNTR_SmallEmitter=FALSE,CNTR_TotalEmissions&lt;=25000)))</f>
        <v>0</v>
      </c>
      <c r="T74" s="248" t="s">
        <v>1446</v>
      </c>
      <c r="U74" s="248"/>
      <c r="V74" s="248"/>
      <c r="W74" s="248"/>
      <c r="X74" s="248"/>
      <c r="Y74" s="248"/>
      <c r="Z74" s="248"/>
      <c r="AA74" s="248"/>
      <c r="AB74" s="248"/>
    </row>
    <row r="75" spans="1:28" s="8" customFormat="1" ht="25.5" customHeight="1" x14ac:dyDescent="0.2">
      <c r="A75" s="65"/>
      <c r="C75" s="78"/>
      <c r="E75" s="869" t="str">
        <f>Translations!$B$224</f>
        <v xml:space="preserve">According to that Article, the operator may submit a simplified monitoring plan for an installation where no nitrous oxide emitting activities are carried out and it can be demonstrated that: </v>
      </c>
      <c r="F75" s="869"/>
      <c r="G75" s="869"/>
      <c r="H75" s="869"/>
      <c r="I75" s="869"/>
      <c r="J75" s="869"/>
      <c r="K75" s="869"/>
      <c r="L75" s="869"/>
      <c r="M75" s="869"/>
      <c r="N75" s="869"/>
      <c r="P75" s="361"/>
      <c r="Q75" s="65"/>
      <c r="R75" s="65"/>
      <c r="S75" s="65"/>
      <c r="T75" s="65"/>
      <c r="U75" s="65"/>
      <c r="V75" s="65"/>
      <c r="W75" s="65"/>
      <c r="X75" s="65"/>
      <c r="Y75" s="65"/>
      <c r="Z75" s="65"/>
      <c r="AA75" s="65"/>
      <c r="AB75" s="65"/>
    </row>
    <row r="76" spans="1:28" s="8" customFormat="1" ht="12.75" customHeight="1" x14ac:dyDescent="0.2">
      <c r="A76" s="65"/>
      <c r="C76" s="78"/>
      <c r="E76" s="132" t="s">
        <v>1292</v>
      </c>
      <c r="F76" s="869" t="str">
        <f>Translations!$B$225</f>
        <v>the average verified annual emissions of the installation during the previous trading period were less than 25 000 tonnes CO2(e) per year, or</v>
      </c>
      <c r="G76" s="869"/>
      <c r="H76" s="869"/>
      <c r="I76" s="869"/>
      <c r="J76" s="869"/>
      <c r="K76" s="869"/>
      <c r="L76" s="869"/>
      <c r="M76" s="869"/>
      <c r="N76" s="869"/>
      <c r="P76" s="361"/>
      <c r="Q76" s="65"/>
      <c r="R76" s="65"/>
      <c r="S76" s="65"/>
      <c r="T76" s="65"/>
      <c r="U76" s="65"/>
      <c r="V76" s="65"/>
      <c r="W76" s="65"/>
      <c r="X76" s="65"/>
      <c r="Y76" s="65"/>
      <c r="Z76" s="65"/>
      <c r="AA76" s="65"/>
      <c r="AB76" s="65"/>
    </row>
    <row r="77" spans="1:28" s="8" customFormat="1" ht="25.5" customHeight="1" x14ac:dyDescent="0.2">
      <c r="A77" s="65"/>
      <c r="C77" s="78"/>
      <c r="E77" s="132" t="s">
        <v>1292</v>
      </c>
      <c r="F77" s="869" t="str">
        <f>Translations!$B$226</f>
        <v>a conservative estimate shows that emissions for the next 5 years will be less than 25 000 tonnes CO2(e) per year, where the verified emissions are not available or inappropriate.</v>
      </c>
      <c r="G77" s="869"/>
      <c r="H77" s="869"/>
      <c r="I77" s="869"/>
      <c r="J77" s="869"/>
      <c r="K77" s="869"/>
      <c r="L77" s="869"/>
      <c r="M77" s="869"/>
      <c r="N77" s="869"/>
      <c r="P77" s="361"/>
      <c r="Q77" s="65"/>
      <c r="R77" s="65"/>
      <c r="S77" s="65"/>
      <c r="T77" s="65"/>
      <c r="U77" s="65"/>
      <c r="V77" s="65"/>
      <c r="W77" s="65"/>
      <c r="X77" s="65"/>
      <c r="Y77" s="65"/>
      <c r="Z77" s="65"/>
      <c r="AA77" s="65"/>
      <c r="AB77" s="65"/>
    </row>
    <row r="78" spans="1:28" s="8" customFormat="1" ht="12.75" customHeight="1" x14ac:dyDescent="0.2">
      <c r="A78" s="65"/>
      <c r="C78" s="78"/>
      <c r="E78" s="869" t="str">
        <f>Translations!$B$1339</f>
        <v>Note: the above data shall include transferred CO2, but exclude CO2 stemming from zero-rated carbon (biomass, RFNBO/RCF, SLCF).</v>
      </c>
      <c r="F78" s="869"/>
      <c r="G78" s="869"/>
      <c r="H78" s="869"/>
      <c r="I78" s="869"/>
      <c r="J78" s="869"/>
      <c r="K78" s="869"/>
      <c r="L78" s="869"/>
      <c r="M78" s="869"/>
      <c r="N78" s="869"/>
      <c r="P78" s="361"/>
      <c r="Q78" s="65"/>
      <c r="R78" s="65"/>
      <c r="S78" s="65"/>
      <c r="T78" s="65"/>
      <c r="U78" s="65"/>
      <c r="V78" s="65"/>
      <c r="W78" s="65"/>
      <c r="X78" s="65"/>
      <c r="Y78" s="65"/>
      <c r="Z78" s="65"/>
      <c r="AA78" s="65"/>
      <c r="AB78" s="65"/>
    </row>
    <row r="79" spans="1:28" s="8" customFormat="1" ht="12.75" customHeight="1" x14ac:dyDescent="0.2">
      <c r="A79" s="65"/>
      <c r="C79" s="78"/>
      <c r="E79" s="869" t="str">
        <f>Translations!$B$228</f>
        <v>If your selection here contradicts the number for estimated emissions under point (d) above, a message will highlight this fact. Please give an appropriate justification below.</v>
      </c>
      <c r="F79" s="869"/>
      <c r="G79" s="869"/>
      <c r="H79" s="869"/>
      <c r="I79" s="869"/>
      <c r="J79" s="869"/>
      <c r="K79" s="869"/>
      <c r="L79" s="869"/>
      <c r="M79" s="869"/>
      <c r="N79" s="869"/>
      <c r="P79" s="361"/>
      <c r="Q79" s="65"/>
      <c r="R79" s="65"/>
      <c r="S79" s="65"/>
      <c r="T79" s="65"/>
      <c r="U79" s="65"/>
      <c r="V79" s="65"/>
      <c r="W79" s="65"/>
      <c r="X79" s="65"/>
      <c r="Y79" s="65"/>
      <c r="Z79" s="65"/>
      <c r="AA79" s="65"/>
      <c r="AB79" s="65"/>
    </row>
    <row r="80" spans="1:28" s="8" customFormat="1" x14ac:dyDescent="0.2">
      <c r="A80" s="65"/>
      <c r="C80" s="78"/>
      <c r="E80" s="941" t="str">
        <f>Translations!$B$229</f>
        <v>If your installation is an installation with low emissions as defined by Article 47, several simplifications for the monitoring plan apply.</v>
      </c>
      <c r="F80" s="941"/>
      <c r="G80" s="941"/>
      <c r="H80" s="941"/>
      <c r="I80" s="941"/>
      <c r="J80" s="941"/>
      <c r="K80" s="941"/>
      <c r="L80" s="941"/>
      <c r="M80" s="941"/>
      <c r="N80" s="941"/>
      <c r="P80" s="361"/>
      <c r="Q80" s="65"/>
      <c r="R80" s="65"/>
      <c r="S80" s="65"/>
      <c r="T80" s="65"/>
      <c r="U80" s="65"/>
      <c r="V80" s="65"/>
      <c r="W80" s="65"/>
      <c r="X80" s="65"/>
      <c r="Y80" s="65"/>
      <c r="Z80" s="65"/>
      <c r="AA80" s="65"/>
      <c r="AB80" s="65"/>
    </row>
    <row r="81" spans="1:28" s="8" customFormat="1" ht="5.0999999999999996" customHeight="1" x14ac:dyDescent="0.2">
      <c r="A81" s="65"/>
      <c r="C81" s="78"/>
      <c r="P81" s="65"/>
      <c r="Q81" s="65"/>
      <c r="R81" s="65"/>
      <c r="S81" s="65"/>
      <c r="T81" s="65"/>
      <c r="U81" s="65"/>
      <c r="V81" s="65"/>
      <c r="W81" s="65"/>
      <c r="X81" s="65"/>
      <c r="Y81" s="65"/>
      <c r="Z81" s="65"/>
      <c r="AA81" s="65"/>
      <c r="AB81" s="65"/>
    </row>
    <row r="82" spans="1:28" s="8" customFormat="1" ht="12.75" customHeight="1" x14ac:dyDescent="0.2">
      <c r="A82" s="65"/>
      <c r="C82" s="78"/>
      <c r="D82" s="337" t="s">
        <v>1449</v>
      </c>
      <c r="E82" s="924" t="str">
        <f>Translations!$B$1164</f>
        <v>Estimated emissions under d) or e) based on conservative estimates?</v>
      </c>
      <c r="F82" s="924"/>
      <c r="G82" s="924"/>
      <c r="H82" s="924"/>
      <c r="I82" s="924"/>
      <c r="J82" s="924"/>
      <c r="K82" s="925"/>
      <c r="L82" s="666"/>
      <c r="P82" s="65"/>
      <c r="Q82" s="65"/>
      <c r="R82" s="65"/>
      <c r="S82" s="65"/>
      <c r="T82" s="65"/>
      <c r="U82" s="65"/>
      <c r="V82" s="65"/>
      <c r="W82" s="65"/>
      <c r="X82" s="65"/>
      <c r="Y82" s="65"/>
      <c r="Z82" s="65"/>
      <c r="AA82" s="65"/>
      <c r="AB82" s="65"/>
    </row>
    <row r="83" spans="1:28" s="8" customFormat="1" ht="25.5" customHeight="1" x14ac:dyDescent="0.2">
      <c r="A83" s="65"/>
      <c r="C83" s="78"/>
      <c r="E83" s="869" t="str">
        <f>Translations!$B$1165</f>
        <v>If your input regarding being an installation with low emissions contradicts your entry in point (d), or if the figure under point (d) is not based on verified emissions, but on a conservative estimate, please select "TRUE" and provide a short justification below.</v>
      </c>
      <c r="F83" s="869"/>
      <c r="G83" s="869"/>
      <c r="H83" s="869"/>
      <c r="I83" s="869"/>
      <c r="J83" s="869"/>
      <c r="K83" s="869"/>
      <c r="L83" s="869"/>
      <c r="M83" s="869"/>
      <c r="N83" s="869"/>
      <c r="P83" s="65"/>
      <c r="Q83" s="65"/>
      <c r="R83" s="65"/>
      <c r="S83" s="65"/>
      <c r="T83" s="65"/>
      <c r="U83" s="65"/>
      <c r="V83" s="65"/>
      <c r="W83" s="65"/>
      <c r="X83" s="65"/>
      <c r="Y83" s="65"/>
      <c r="Z83" s="65"/>
      <c r="AA83" s="65"/>
      <c r="AB83" s="12" t="s">
        <v>727</v>
      </c>
    </row>
    <row r="84" spans="1:28" s="8" customFormat="1" ht="12.75" customHeight="1" x14ac:dyDescent="0.2">
      <c r="A84" s="65"/>
      <c r="C84" s="78"/>
      <c r="E84" s="936"/>
      <c r="F84" s="937"/>
      <c r="G84" s="937"/>
      <c r="H84" s="937"/>
      <c r="I84" s="937"/>
      <c r="J84" s="937"/>
      <c r="K84" s="937"/>
      <c r="L84" s="937"/>
      <c r="M84" s="937"/>
      <c r="N84" s="938"/>
      <c r="P84" s="65"/>
      <c r="Q84" s="65"/>
      <c r="R84" s="65"/>
      <c r="S84" s="65"/>
      <c r="T84" s="65"/>
      <c r="U84" s="65"/>
      <c r="V84" s="65"/>
      <c r="W84" s="65"/>
      <c r="X84" s="65"/>
      <c r="Y84" s="65"/>
      <c r="Z84" s="65"/>
      <c r="AA84" s="65"/>
      <c r="AB84" s="354" t="b">
        <f>AND(L82&lt;&gt;"",L82=FALSE)</f>
        <v>0</v>
      </c>
    </row>
    <row r="85" spans="1:28" s="8" customFormat="1" ht="12.75" customHeight="1" x14ac:dyDescent="0.2">
      <c r="A85" s="65"/>
      <c r="C85" s="78"/>
      <c r="E85" s="863"/>
      <c r="F85" s="864"/>
      <c r="G85" s="864"/>
      <c r="H85" s="864"/>
      <c r="I85" s="864"/>
      <c r="J85" s="864"/>
      <c r="K85" s="864"/>
      <c r="L85" s="864"/>
      <c r="M85" s="864"/>
      <c r="N85" s="865"/>
      <c r="P85" s="65"/>
      <c r="Q85" s="65"/>
      <c r="R85" s="65"/>
      <c r="S85" s="65"/>
      <c r="T85" s="65"/>
      <c r="U85" s="65"/>
      <c r="V85" s="65"/>
      <c r="W85" s="65"/>
      <c r="X85" s="65"/>
      <c r="Y85" s="65"/>
      <c r="Z85" s="65"/>
      <c r="AA85" s="65"/>
      <c r="AB85" s="354"/>
    </row>
    <row r="86" spans="1:28" s="8" customFormat="1" ht="12.75" customHeight="1" x14ac:dyDescent="0.2">
      <c r="A86" s="65"/>
      <c r="C86" s="78"/>
      <c r="E86" s="866"/>
      <c r="F86" s="867"/>
      <c r="G86" s="867"/>
      <c r="H86" s="867"/>
      <c r="I86" s="867"/>
      <c r="J86" s="867"/>
      <c r="K86" s="867"/>
      <c r="L86" s="867"/>
      <c r="M86" s="867"/>
      <c r="N86" s="868"/>
      <c r="P86" s="65"/>
      <c r="Q86" s="65"/>
      <c r="R86" s="65"/>
      <c r="S86" s="65"/>
      <c r="T86" s="65"/>
      <c r="U86" s="65"/>
      <c r="V86" s="65"/>
      <c r="W86" s="65"/>
      <c r="X86" s="65"/>
      <c r="Y86" s="65"/>
      <c r="Z86" s="65"/>
      <c r="AA86" s="65"/>
      <c r="AB86" s="354"/>
    </row>
    <row r="87" spans="1:28" s="8" customFormat="1" ht="12.75" customHeight="1" x14ac:dyDescent="0.2">
      <c r="A87" s="65"/>
      <c r="C87" s="78"/>
      <c r="P87" s="65"/>
      <c r="Q87" s="65"/>
      <c r="R87" s="65"/>
      <c r="S87" s="65"/>
      <c r="T87" s="65"/>
      <c r="U87" s="65"/>
      <c r="V87" s="65"/>
      <c r="W87" s="65"/>
      <c r="X87" s="65"/>
      <c r="Y87" s="65"/>
      <c r="Z87" s="65"/>
      <c r="AA87" s="65"/>
      <c r="AB87" s="65"/>
    </row>
    <row r="88" spans="1:28" s="34" customFormat="1" ht="18.75" customHeight="1" x14ac:dyDescent="0.2">
      <c r="A88" s="248"/>
      <c r="C88" s="53">
        <v>6</v>
      </c>
      <c r="D88" s="884" t="str">
        <f>Translations!$B$15</f>
        <v>About your emissions</v>
      </c>
      <c r="E88" s="884"/>
      <c r="F88" s="884"/>
      <c r="G88" s="884"/>
      <c r="H88" s="884"/>
      <c r="I88" s="884"/>
      <c r="J88" s="884"/>
      <c r="K88" s="884"/>
      <c r="L88" s="884"/>
      <c r="M88" s="884"/>
      <c r="N88" s="884"/>
      <c r="O88" s="8"/>
      <c r="P88" s="65"/>
      <c r="Q88" s="65"/>
      <c r="R88" s="65"/>
      <c r="S88" s="65"/>
      <c r="T88" s="65"/>
      <c r="U88" s="65"/>
      <c r="V88" s="65"/>
      <c r="W88" s="65"/>
      <c r="X88" s="65"/>
      <c r="Y88" s="65"/>
      <c r="Z88" s="65"/>
      <c r="AA88" s="65"/>
      <c r="AB88" s="65"/>
    </row>
    <row r="89" spans="1:28" s="8" customFormat="1" ht="12.75" customHeight="1" x14ac:dyDescent="0.2">
      <c r="A89" s="65"/>
      <c r="C89" s="78"/>
      <c r="D89" s="335"/>
      <c r="E89" s="335"/>
      <c r="F89" s="335"/>
      <c r="G89" s="335"/>
      <c r="H89" s="335"/>
      <c r="I89" s="335"/>
      <c r="J89" s="11"/>
      <c r="K89" s="11"/>
      <c r="L89" s="11"/>
      <c r="M89" s="11"/>
      <c r="P89" s="364"/>
      <c r="Q89" s="364"/>
      <c r="R89" s="65"/>
      <c r="S89" s="65"/>
      <c r="T89" s="65"/>
      <c r="U89" s="65"/>
      <c r="V89" s="65"/>
      <c r="W89" s="65"/>
      <c r="X89" s="65"/>
      <c r="Y89" s="65"/>
      <c r="Z89" s="65"/>
      <c r="AA89" s="65"/>
      <c r="AB89" s="65"/>
    </row>
    <row r="90" spans="1:28" s="8" customFormat="1" ht="12.75" customHeight="1" x14ac:dyDescent="0.2">
      <c r="A90" s="65"/>
      <c r="C90" s="78"/>
      <c r="D90" s="14" t="s">
        <v>1018</v>
      </c>
      <c r="E90" s="337" t="str">
        <f>Translations!$B$232</f>
        <v>Monitoring approaches proposed to apply:</v>
      </c>
      <c r="F90" s="330"/>
      <c r="G90" s="330"/>
      <c r="H90" s="330"/>
      <c r="I90" s="330"/>
      <c r="J90" s="330"/>
      <c r="K90" s="330"/>
      <c r="L90" s="330"/>
      <c r="M90" s="330"/>
      <c r="P90" s="350"/>
      <c r="Q90" s="351"/>
      <c r="R90" s="65"/>
      <c r="S90" s="65"/>
      <c r="T90" s="65"/>
      <c r="U90" s="65"/>
      <c r="V90" s="65"/>
      <c r="W90" s="65"/>
      <c r="X90" s="65"/>
      <c r="Y90" s="65"/>
      <c r="Z90" s="65"/>
      <c r="AA90" s="65"/>
      <c r="AB90" s="65"/>
    </row>
    <row r="91" spans="1:28" s="8" customFormat="1" ht="12.75" customHeight="1" x14ac:dyDescent="0.2">
      <c r="A91" s="65"/>
      <c r="C91" s="78"/>
      <c r="D91" s="14"/>
      <c r="E91" s="862" t="str">
        <f>Translations!$B$233</f>
        <v>Please confirm which of the following monitoring approaches you propose to apply:</v>
      </c>
      <c r="F91" s="862"/>
      <c r="G91" s="862"/>
      <c r="H91" s="862"/>
      <c r="I91" s="862"/>
      <c r="J91" s="862"/>
      <c r="K91" s="862"/>
      <c r="L91" s="862"/>
      <c r="M91" s="862"/>
      <c r="N91" s="862"/>
      <c r="P91" s="351"/>
      <c r="Q91" s="351"/>
      <c r="R91" s="65"/>
      <c r="S91" s="65"/>
      <c r="T91" s="65"/>
      <c r="U91" s="65"/>
      <c r="V91" s="65"/>
      <c r="W91" s="65"/>
      <c r="X91" s="65"/>
      <c r="Y91" s="65"/>
      <c r="Z91" s="65"/>
      <c r="AA91" s="65"/>
      <c r="AB91" s="65"/>
    </row>
    <row r="92" spans="1:28" s="8" customFormat="1" ht="25.5" customHeight="1" x14ac:dyDescent="0.2">
      <c r="A92" s="65"/>
      <c r="C92" s="78"/>
      <c r="D92" s="14"/>
      <c r="E92" s="862" t="str">
        <f>Translations!$B$234</f>
        <v>In accordance with Article 21, emissions may be determined using either a calculation based methodology ("calculation") or measurement based methodology ("measurement") except where the use of a specific methodology is mandatory according to the provisions of the MRR.</v>
      </c>
      <c r="F92" s="862"/>
      <c r="G92" s="862"/>
      <c r="H92" s="862"/>
      <c r="I92" s="862"/>
      <c r="J92" s="862"/>
      <c r="K92" s="862"/>
      <c r="L92" s="862"/>
      <c r="M92" s="862"/>
      <c r="N92" s="862"/>
      <c r="P92" s="365"/>
      <c r="Q92" s="351"/>
      <c r="R92" s="65"/>
      <c r="S92" s="65"/>
      <c r="T92" s="65"/>
      <c r="U92" s="65"/>
      <c r="V92" s="65"/>
      <c r="W92" s="65"/>
      <c r="X92" s="65"/>
      <c r="Y92" s="65"/>
      <c r="Z92" s="65"/>
      <c r="AA92" s="65"/>
      <c r="AB92" s="65"/>
    </row>
    <row r="93" spans="1:28" s="8" customFormat="1" ht="25.5" customHeight="1" x14ac:dyDescent="0.2">
      <c r="A93" s="65"/>
      <c r="C93" s="78"/>
      <c r="D93" s="14"/>
      <c r="E93" s="869" t="str">
        <f>Translations!$B$235</f>
        <v xml:space="preserve">Note: the operator may, subject to competent authority approval, combine measurement and calculation for different sources.  The operator is required to ensure and demonstrate that neither gaps nor double counting of reportable emissions occurs. </v>
      </c>
      <c r="F93" s="869"/>
      <c r="G93" s="869"/>
      <c r="H93" s="869"/>
      <c r="I93" s="869"/>
      <c r="J93" s="869"/>
      <c r="K93" s="869"/>
      <c r="L93" s="869"/>
      <c r="M93" s="869"/>
      <c r="N93" s="869"/>
      <c r="P93" s="365"/>
      <c r="Q93" s="351"/>
      <c r="R93" s="65"/>
      <c r="S93" s="65"/>
      <c r="T93" s="65"/>
      <c r="U93" s="65"/>
      <c r="V93" s="65"/>
      <c r="W93" s="65"/>
      <c r="X93" s="65"/>
      <c r="Y93" s="65"/>
      <c r="Z93" s="65"/>
      <c r="AA93" s="65"/>
      <c r="AB93" s="65"/>
    </row>
    <row r="94" spans="1:28" s="8" customFormat="1" ht="25.5" customHeight="1" x14ac:dyDescent="0.2">
      <c r="A94" s="65"/>
      <c r="C94" s="78"/>
      <c r="D94" s="14"/>
      <c r="E94" s="798" t="str">
        <f>Translations!$B$236</f>
        <v>Please make sure that you don't leave these fields empty, because inputs here will trigger conditional formatting, which guides you through the document.</v>
      </c>
      <c r="F94" s="798"/>
      <c r="G94" s="798"/>
      <c r="H94" s="798"/>
      <c r="I94" s="798"/>
      <c r="J94" s="798"/>
      <c r="K94" s="798"/>
      <c r="L94" s="798"/>
      <c r="M94" s="798"/>
      <c r="N94" s="798"/>
      <c r="P94" s="365"/>
      <c r="Q94" s="351"/>
      <c r="R94" s="65"/>
      <c r="S94" s="65"/>
      <c r="T94" s="65"/>
      <c r="U94" s="65"/>
      <c r="V94" s="65"/>
      <c r="W94" s="65"/>
      <c r="X94" s="65"/>
      <c r="Y94" s="65"/>
      <c r="Z94" s="65"/>
      <c r="AA94" s="65"/>
      <c r="AB94" s="65"/>
    </row>
    <row r="95" spans="1:28" s="8" customFormat="1" ht="5.0999999999999996" customHeight="1" x14ac:dyDescent="0.2">
      <c r="A95" s="65"/>
      <c r="C95" s="78"/>
      <c r="D95" s="14"/>
      <c r="E95" s="334"/>
      <c r="F95" s="334"/>
      <c r="H95" s="83"/>
      <c r="I95" s="83"/>
      <c r="J95" s="334"/>
      <c r="K95" s="334"/>
      <c r="L95" s="334"/>
      <c r="M95" s="334"/>
      <c r="P95" s="65"/>
      <c r="Q95" s="65"/>
      <c r="R95" s="65"/>
      <c r="S95" s="65"/>
      <c r="T95" s="65"/>
      <c r="U95" s="65"/>
      <c r="V95" s="65"/>
      <c r="W95" s="65"/>
      <c r="X95" s="65"/>
      <c r="Y95" s="65"/>
      <c r="Z95" s="65"/>
      <c r="AA95" s="65"/>
      <c r="AB95" s="65"/>
    </row>
    <row r="96" spans="1:28" s="8" customFormat="1" ht="12.75" customHeight="1" x14ac:dyDescent="0.2">
      <c r="A96" s="65"/>
      <c r="C96" s="78"/>
      <c r="D96" s="14"/>
      <c r="E96" s="921" t="str">
        <f>Translations!$B$237</f>
        <v>Calculation approach for CO2:</v>
      </c>
      <c r="F96" s="921"/>
      <c r="G96" s="921"/>
      <c r="H96" s="921"/>
      <c r="I96" s="306"/>
      <c r="J96" s="922" t="str">
        <f>IF(CNTR_InstHasCalculation=TRUE,EUConst_RelSectionCalc,"")</f>
        <v/>
      </c>
      <c r="K96" s="923"/>
      <c r="L96" s="923"/>
      <c r="M96" s="923"/>
      <c r="N96" s="923"/>
      <c r="P96" s="12"/>
      <c r="Q96" s="65"/>
      <c r="R96" s="253"/>
      <c r="S96" s="65"/>
      <c r="T96" s="65"/>
      <c r="U96" s="65"/>
      <c r="V96" s="65"/>
      <c r="W96" s="65"/>
      <c r="X96" s="65"/>
      <c r="Y96" s="65"/>
      <c r="Z96" s="65"/>
      <c r="AA96" s="65"/>
      <c r="AB96" s="65"/>
    </row>
    <row r="97" spans="1:28" s="8" customFormat="1" ht="12.75" customHeight="1" x14ac:dyDescent="0.2">
      <c r="A97" s="65"/>
      <c r="C97" s="78"/>
      <c r="D97" s="14"/>
      <c r="E97" s="921" t="str">
        <f>Translations!$B$238</f>
        <v>Measurement approach for CO2:</v>
      </c>
      <c r="F97" s="921"/>
      <c r="G97" s="921"/>
      <c r="H97" s="921"/>
      <c r="I97" s="306"/>
      <c r="J97" s="922" t="str">
        <f>IF(CNTR_InstHasMeasurement=TRUE,EUConst_RelSectionMeasure,"")</f>
        <v/>
      </c>
      <c r="K97" s="923"/>
      <c r="L97" s="923"/>
      <c r="M97" s="923"/>
      <c r="N97" s="923"/>
      <c r="P97" s="12"/>
      <c r="Q97" s="65"/>
      <c r="R97" s="65"/>
      <c r="S97" s="65"/>
      <c r="T97" s="65"/>
      <c r="U97" s="65"/>
      <c r="V97" s="65"/>
      <c r="W97" s="65"/>
      <c r="X97" s="65"/>
      <c r="Y97" s="65"/>
      <c r="Z97" s="65"/>
      <c r="AA97" s="65"/>
      <c r="AB97" s="65"/>
    </row>
    <row r="98" spans="1:28" s="8" customFormat="1" ht="12.75" customHeight="1" x14ac:dyDescent="0.2">
      <c r="A98" s="65"/>
      <c r="C98" s="78"/>
      <c r="D98" s="14"/>
      <c r="E98" s="921" t="str">
        <f>Translations!$B$239</f>
        <v>Fall-back approach (Article 22):</v>
      </c>
      <c r="F98" s="921"/>
      <c r="G98" s="921"/>
      <c r="H98" s="921"/>
      <c r="I98" s="306"/>
      <c r="J98" s="922" t="str">
        <f>IF(CNTR_InstHasFallBack=TRUE,EUConst_RelSectionFallback,"")</f>
        <v/>
      </c>
      <c r="K98" s="923"/>
      <c r="L98" s="923"/>
      <c r="M98" s="923"/>
      <c r="N98" s="923"/>
      <c r="P98" s="12"/>
      <c r="Q98" s="65"/>
      <c r="R98" s="65"/>
      <c r="S98" s="65"/>
      <c r="T98" s="65"/>
      <c r="U98" s="65"/>
      <c r="V98" s="65"/>
      <c r="W98" s="65"/>
      <c r="X98" s="65"/>
      <c r="Y98" s="65"/>
      <c r="Z98" s="65"/>
      <c r="AA98" s="65"/>
      <c r="AB98" s="65"/>
    </row>
    <row r="99" spans="1:28" s="8" customFormat="1" ht="12.75" customHeight="1" x14ac:dyDescent="0.2">
      <c r="A99" s="65"/>
      <c r="C99" s="78"/>
      <c r="D99" s="14"/>
      <c r="E99" s="921" t="str">
        <f>Translations!$B$240</f>
        <v>Monitoring of N2O emissions:</v>
      </c>
      <c r="F99" s="921"/>
      <c r="G99" s="921"/>
      <c r="H99" s="921"/>
      <c r="I99" s="306"/>
      <c r="J99" s="922" t="str">
        <f>IF(CNTR_InstHasN2O=TRUE,EUConst_RelSectionN2O,"")</f>
        <v/>
      </c>
      <c r="K99" s="923"/>
      <c r="L99" s="923"/>
      <c r="M99" s="923"/>
      <c r="N99" s="923"/>
      <c r="P99" s="12"/>
      <c r="Q99" s="65"/>
      <c r="R99" s="65"/>
      <c r="S99" s="65"/>
      <c r="T99" s="65"/>
      <c r="U99" s="65"/>
      <c r="V99" s="65"/>
      <c r="W99" s="65"/>
      <c r="X99" s="65"/>
      <c r="Y99" s="65"/>
      <c r="Z99" s="65"/>
      <c r="AA99" s="65"/>
      <c r="AB99" s="65"/>
    </row>
    <row r="100" spans="1:28" s="8" customFormat="1" ht="12.75" customHeight="1" x14ac:dyDescent="0.2">
      <c r="A100" s="65"/>
      <c r="C100" s="78"/>
      <c r="D100" s="14"/>
      <c r="E100" s="921" t="str">
        <f>Translations!$B$241</f>
        <v>Monitoring of PFC emissions:</v>
      </c>
      <c r="F100" s="921"/>
      <c r="G100" s="921"/>
      <c r="H100" s="921"/>
      <c r="I100" s="306"/>
      <c r="J100" s="922" t="str">
        <f>IF(CNTR_InstHasPFC=TRUE,EUConst_RelSectionPFC,"")</f>
        <v/>
      </c>
      <c r="K100" s="923"/>
      <c r="L100" s="923"/>
      <c r="M100" s="923"/>
      <c r="N100" s="923"/>
      <c r="P100" s="12"/>
      <c r="Q100" s="65"/>
      <c r="R100" s="65"/>
      <c r="S100" s="65"/>
      <c r="T100" s="65"/>
      <c r="U100" s="65"/>
      <c r="V100" s="65"/>
      <c r="W100" s="65"/>
      <c r="X100" s="65"/>
      <c r="Y100" s="65"/>
      <c r="Z100" s="65"/>
      <c r="AA100" s="65"/>
      <c r="AB100" s="65"/>
    </row>
    <row r="101" spans="1:28" s="8" customFormat="1" ht="12.75" customHeight="1" x14ac:dyDescent="0.2">
      <c r="A101" s="65"/>
      <c r="C101" s="78"/>
      <c r="D101" s="14"/>
      <c r="E101" s="921" t="str">
        <f>Translations!$B$242</f>
        <v>Monitoring of transferred/inherent CO2 and CCS:</v>
      </c>
      <c r="F101" s="921"/>
      <c r="G101" s="921"/>
      <c r="H101" s="921"/>
      <c r="I101" s="306"/>
      <c r="J101" s="922" t="str">
        <f>IF(CNTR_InstHasTransferredCO2=TRUE,EUConst_RelSectionCCS,"")</f>
        <v/>
      </c>
      <c r="K101" s="923"/>
      <c r="L101" s="923"/>
      <c r="M101" s="923"/>
      <c r="N101" s="923"/>
      <c r="P101" s="12"/>
      <c r="Q101" s="65"/>
      <c r="R101" s="65"/>
      <c r="S101" s="65"/>
      <c r="T101" s="65"/>
      <c r="U101" s="65"/>
      <c r="V101" s="65"/>
      <c r="W101" s="65"/>
      <c r="X101" s="65"/>
      <c r="Y101" s="65"/>
      <c r="Z101" s="65"/>
      <c r="AA101" s="65"/>
      <c r="AB101" s="65"/>
    </row>
    <row r="102" spans="1:28" s="8" customFormat="1" ht="12.75" customHeight="1" x14ac:dyDescent="0.2">
      <c r="A102" s="65"/>
      <c r="C102" s="78"/>
      <c r="D102" s="14"/>
      <c r="E102" s="921" t="str">
        <f>Translations!$B$1340</f>
        <v>Monitoring of 'permanent CCU'</v>
      </c>
      <c r="F102" s="921"/>
      <c r="G102" s="921"/>
      <c r="H102" s="921"/>
      <c r="I102" s="306"/>
      <c r="J102" s="922" t="str">
        <f>IF(CNTR_InstHasCCU=TRUE,EUConst_RelSectionCCU,"")</f>
        <v/>
      </c>
      <c r="K102" s="923"/>
      <c r="L102" s="923"/>
      <c r="M102" s="923"/>
      <c r="N102" s="923"/>
      <c r="P102" s="12"/>
      <c r="Q102" s="65"/>
      <c r="R102" s="65"/>
      <c r="S102" s="65"/>
      <c r="T102" s="65"/>
      <c r="U102" s="65"/>
      <c r="V102" s="65"/>
      <c r="W102" s="65"/>
      <c r="X102" s="65"/>
      <c r="Y102" s="65"/>
      <c r="Z102" s="65"/>
      <c r="AA102" s="65"/>
      <c r="AB102" s="65"/>
    </row>
    <row r="103" spans="1:28" s="8" customFormat="1" ht="4.9000000000000004" customHeight="1" x14ac:dyDescent="0.2">
      <c r="A103" s="65"/>
      <c r="C103" s="78"/>
      <c r="P103" s="65"/>
      <c r="Q103" s="65"/>
      <c r="R103" s="65"/>
      <c r="S103" s="65"/>
      <c r="T103" s="65"/>
      <c r="U103" s="65"/>
      <c r="V103" s="65"/>
      <c r="W103" s="65"/>
      <c r="X103" s="65"/>
      <c r="Y103" s="65"/>
      <c r="Z103" s="65"/>
      <c r="AA103" s="65"/>
      <c r="AB103" s="65"/>
    </row>
    <row r="104" spans="1:28" s="8" customFormat="1" ht="25.5" customHeight="1" x14ac:dyDescent="0.2">
      <c r="A104" s="65"/>
      <c r="C104" s="78"/>
      <c r="E104" s="798" t="str">
        <f>Translations!$B$243</f>
        <v>Please ensure you have completed the rest of this sheet, the relevant sections for each approach selected above, before you continue to sheet "K_ManagementControl" (sections 20 to 25), which is mandatory for all installations.</v>
      </c>
      <c r="F104" s="798"/>
      <c r="G104" s="798"/>
      <c r="H104" s="798"/>
      <c r="I104" s="798"/>
      <c r="J104" s="798"/>
      <c r="K104" s="798"/>
      <c r="L104" s="798"/>
      <c r="M104" s="798"/>
      <c r="N104" s="798"/>
      <c r="P104" s="65"/>
      <c r="Q104" s="65"/>
      <c r="R104" s="65"/>
      <c r="S104" s="65"/>
      <c r="T104" s="65"/>
      <c r="U104" s="65"/>
      <c r="V104" s="65"/>
      <c r="W104" s="65"/>
      <c r="X104" s="65"/>
      <c r="Y104" s="65"/>
      <c r="Z104" s="65"/>
      <c r="AA104" s="65"/>
      <c r="AB104" s="65"/>
    </row>
    <row r="105" spans="1:28" s="8" customFormat="1" ht="12.75" customHeight="1" x14ac:dyDescent="0.2">
      <c r="A105" s="65"/>
      <c r="C105" s="78"/>
      <c r="P105" s="65"/>
      <c r="Q105" s="65"/>
      <c r="R105" s="65"/>
      <c r="S105" s="65"/>
      <c r="T105" s="65"/>
      <c r="U105" s="65"/>
      <c r="V105" s="65"/>
      <c r="W105" s="65"/>
      <c r="X105" s="65"/>
      <c r="Y105" s="65"/>
      <c r="Z105" s="65"/>
      <c r="AA105" s="65"/>
      <c r="AB105" s="65"/>
    </row>
    <row r="106" spans="1:28" s="34" customFormat="1" ht="12.75" customHeight="1" x14ac:dyDescent="0.2">
      <c r="A106" s="248"/>
      <c r="C106" s="336"/>
      <c r="D106" s="98" t="s">
        <v>1020</v>
      </c>
      <c r="E106" s="98" t="str">
        <f>Translations!$B$244</f>
        <v>Emissions sources:</v>
      </c>
      <c r="F106" s="99"/>
      <c r="G106" s="99"/>
      <c r="H106" s="99"/>
      <c r="I106" s="99"/>
      <c r="J106" s="99"/>
      <c r="K106" s="1"/>
      <c r="L106" s="1"/>
      <c r="M106" s="1"/>
      <c r="O106" s="8"/>
      <c r="P106" s="366"/>
      <c r="Q106" s="366"/>
      <c r="R106" s="248"/>
      <c r="S106" s="248"/>
      <c r="T106" s="248"/>
      <c r="U106" s="248"/>
      <c r="V106" s="248"/>
      <c r="W106" s="248"/>
      <c r="X106" s="248"/>
      <c r="Y106" s="248"/>
      <c r="Z106" s="248"/>
      <c r="AA106" s="248"/>
      <c r="AB106" s="248"/>
    </row>
    <row r="107" spans="1:28" s="8" customFormat="1" ht="38.85" customHeight="1" x14ac:dyDescent="0.2">
      <c r="A107" s="65"/>
      <c r="C107" s="78"/>
      <c r="D107" s="14"/>
      <c r="E107" s="869" t="str">
        <f>Translations!$B$245</f>
        <v>Annex I requires that monitoring plans include a description of the installation and activities to be carried out and monitored, including a list of emission sources and source streams.  The information you provide in this template should relate to the Annex I activity(ies) comprised in the installation in question, and should relate to a single installation. Include in this section any activities carried out at your installation and exclude related activities carried out by other operators.</v>
      </c>
      <c r="F107" s="869"/>
      <c r="G107" s="869"/>
      <c r="H107" s="869"/>
      <c r="I107" s="869"/>
      <c r="J107" s="869"/>
      <c r="K107" s="869"/>
      <c r="L107" s="869"/>
      <c r="M107" s="869"/>
      <c r="N107" s="869"/>
      <c r="P107" s="349"/>
      <c r="Q107" s="349"/>
      <c r="R107" s="65"/>
      <c r="S107" s="65"/>
      <c r="T107" s="65"/>
      <c r="U107" s="65"/>
      <c r="V107" s="65"/>
      <c r="W107" s="65"/>
      <c r="X107" s="65"/>
      <c r="Y107" s="65"/>
      <c r="Z107" s="65"/>
      <c r="AA107" s="65"/>
      <c r="AB107" s="65"/>
    </row>
    <row r="108" spans="1:28" s="8" customFormat="1" ht="25.5" customHeight="1" x14ac:dyDescent="0.2">
      <c r="A108" s="65"/>
      <c r="C108" s="78"/>
      <c r="D108" s="14"/>
      <c r="E108" s="869" t="str">
        <f>Translations!$B$246</f>
        <v>The activity reference in the last column relates to the activity reference in section 5(c) above. Where an emission source belongs to more than one activity, please enter "A1, A2" or "A1 - A3" or similar, as appropriate.</v>
      </c>
      <c r="F108" s="869"/>
      <c r="G108" s="869"/>
      <c r="H108" s="869"/>
      <c r="I108" s="869"/>
      <c r="J108" s="869"/>
      <c r="K108" s="869"/>
      <c r="L108" s="869"/>
      <c r="M108" s="869"/>
      <c r="N108" s="869"/>
      <c r="P108" s="65"/>
      <c r="Q108" s="65"/>
      <c r="R108" s="65"/>
      <c r="S108" s="65"/>
      <c r="T108" s="65"/>
      <c r="U108" s="65"/>
      <c r="V108" s="65"/>
      <c r="W108" s="65"/>
      <c r="X108" s="65"/>
      <c r="Y108" s="65"/>
      <c r="Z108" s="65"/>
      <c r="AA108" s="65"/>
      <c r="AB108" s="65"/>
    </row>
    <row r="109" spans="1:28" s="8" customFormat="1" ht="12.75" customHeight="1" x14ac:dyDescent="0.2">
      <c r="A109" s="65"/>
      <c r="C109" s="78"/>
      <c r="D109" s="14"/>
      <c r="E109" s="827" t="str">
        <f>Translations!$B$247</f>
        <v>The list here will be available as a drop-down list at the following points below (c, d and e) where a reference to the relevant emission sources is needed.</v>
      </c>
      <c r="F109" s="721"/>
      <c r="G109" s="721"/>
      <c r="H109" s="721"/>
      <c r="I109" s="721"/>
      <c r="J109" s="721"/>
      <c r="K109" s="721"/>
      <c r="L109" s="721"/>
      <c r="M109" s="721"/>
      <c r="N109" s="721"/>
      <c r="P109" s="65"/>
      <c r="Q109" s="65"/>
      <c r="R109" s="65"/>
      <c r="S109" s="65"/>
      <c r="T109" s="65"/>
      <c r="U109" s="65"/>
      <c r="V109" s="65"/>
      <c r="W109" s="65"/>
      <c r="X109" s="65"/>
      <c r="Y109" s="65"/>
      <c r="Z109" s="65"/>
      <c r="AA109" s="65"/>
      <c r="AB109" s="65"/>
    </row>
    <row r="110" spans="1:28" s="8" customFormat="1" ht="12.75" customHeight="1" x14ac:dyDescent="0.2">
      <c r="A110" s="65"/>
      <c r="C110" s="78"/>
      <c r="D110" s="14"/>
      <c r="E110" s="798" t="str">
        <f>Translations!$B$135</f>
        <v>For showing/hiding examples, press the "Examples" button in the navigation area.</v>
      </c>
      <c r="F110" s="917"/>
      <c r="G110" s="917"/>
      <c r="H110" s="917"/>
      <c r="I110" s="917"/>
      <c r="J110" s="917"/>
      <c r="K110" s="917"/>
      <c r="L110" s="917"/>
      <c r="M110" s="917"/>
      <c r="N110" s="917"/>
      <c r="P110" s="65"/>
      <c r="Q110" s="65"/>
      <c r="R110" s="65"/>
      <c r="S110" s="65"/>
      <c r="T110" s="65"/>
      <c r="U110" s="65"/>
      <c r="V110" s="65"/>
      <c r="W110" s="65"/>
      <c r="X110" s="65"/>
      <c r="Y110" s="65"/>
      <c r="Z110" s="65"/>
      <c r="AA110" s="65"/>
      <c r="AB110" s="65"/>
    </row>
    <row r="111" spans="1:28" s="8" customFormat="1" ht="4.9000000000000004" customHeight="1" x14ac:dyDescent="0.2">
      <c r="A111" s="65"/>
      <c r="C111" s="78"/>
      <c r="D111" s="14"/>
      <c r="M111" s="334"/>
      <c r="P111" s="65"/>
      <c r="Q111" s="65"/>
      <c r="R111" s="65"/>
      <c r="S111" s="65"/>
      <c r="T111" s="65"/>
      <c r="U111" s="65"/>
      <c r="V111" s="65"/>
      <c r="W111" s="65"/>
      <c r="X111" s="65"/>
      <c r="Y111" s="65"/>
      <c r="Z111" s="65"/>
      <c r="AA111" s="65"/>
      <c r="AB111" s="65"/>
    </row>
    <row r="112" spans="1:28" s="8" customFormat="1" ht="33.75" x14ac:dyDescent="0.2">
      <c r="A112" s="65"/>
      <c r="C112" s="78"/>
      <c r="D112" s="14"/>
      <c r="E112" s="344" t="str">
        <f>Translations!$B$248</f>
        <v>Emission source ref.
S1, S2,...</v>
      </c>
      <c r="F112" s="891" t="str">
        <f>Translations!$B$249</f>
        <v>Emission source (name, description)</v>
      </c>
      <c r="G112" s="910"/>
      <c r="H112" s="910"/>
      <c r="I112" s="910"/>
      <c r="J112" s="910"/>
      <c r="K112" s="934"/>
      <c r="L112" s="934"/>
      <c r="M112" s="935"/>
      <c r="N112" s="345" t="str">
        <f>Translations!$B$250</f>
        <v>Activity Ref.</v>
      </c>
      <c r="P112" s="65"/>
      <c r="Q112" s="65"/>
      <c r="R112" s="65"/>
      <c r="S112" s="65"/>
      <c r="T112" s="65"/>
      <c r="U112" s="352" t="s">
        <v>1231</v>
      </c>
      <c r="V112" s="352" t="s">
        <v>1231</v>
      </c>
      <c r="W112" s="352" t="s">
        <v>1231</v>
      </c>
      <c r="X112" s="65"/>
      <c r="Y112" s="65"/>
      <c r="Z112" s="65"/>
      <c r="AA112" s="65"/>
      <c r="AB112" s="65"/>
    </row>
    <row r="113" spans="1:28" s="8" customFormat="1" ht="12.75" customHeight="1" x14ac:dyDescent="0.2">
      <c r="A113" s="12" t="s">
        <v>1373</v>
      </c>
      <c r="C113" s="78"/>
      <c r="D113" s="14"/>
      <c r="E113" s="212" t="s">
        <v>238</v>
      </c>
      <c r="F113" s="888" t="str">
        <f>Translations!$B$251</f>
        <v>Cement clinker kiln (decarbonatisation of raw meal, combustion of fuels)</v>
      </c>
      <c r="G113" s="930"/>
      <c r="H113" s="930"/>
      <c r="I113" s="930"/>
      <c r="J113" s="930"/>
      <c r="K113" s="931"/>
      <c r="L113" s="931"/>
      <c r="M113" s="932"/>
      <c r="N113" s="230" t="s">
        <v>1216</v>
      </c>
      <c r="P113" s="65"/>
      <c r="Q113" s="65"/>
      <c r="R113" s="65"/>
      <c r="S113" s="65"/>
      <c r="T113" s="65"/>
      <c r="U113" s="352"/>
      <c r="V113" s="352"/>
      <c r="W113" s="352"/>
      <c r="X113" s="65"/>
      <c r="Y113" s="65"/>
      <c r="Z113" s="65"/>
      <c r="AA113" s="65"/>
      <c r="AB113" s="65"/>
    </row>
    <row r="114" spans="1:28" s="8" customFormat="1" ht="12.75" customHeight="1" x14ac:dyDescent="0.2">
      <c r="A114" s="12" t="s">
        <v>1373</v>
      </c>
      <c r="C114" s="78"/>
      <c r="D114" s="14"/>
      <c r="E114" s="212" t="s">
        <v>239</v>
      </c>
      <c r="F114" s="888" t="str">
        <f>Translations!$B$252</f>
        <v>Coal fired boiler (combustion of fuels)</v>
      </c>
      <c r="G114" s="930"/>
      <c r="H114" s="930"/>
      <c r="I114" s="930"/>
      <c r="J114" s="930"/>
      <c r="K114" s="931"/>
      <c r="L114" s="931"/>
      <c r="M114" s="932"/>
      <c r="N114" s="230" t="s">
        <v>1217</v>
      </c>
      <c r="P114" s="65"/>
      <c r="Q114" s="65"/>
      <c r="R114" s="65"/>
      <c r="S114" s="65"/>
      <c r="T114" s="65"/>
      <c r="U114" s="352"/>
      <c r="V114" s="352"/>
      <c r="W114" s="352"/>
      <c r="X114" s="65"/>
      <c r="Y114" s="65"/>
      <c r="Z114" s="65"/>
      <c r="AA114" s="65"/>
      <c r="AB114" s="65"/>
    </row>
    <row r="115" spans="1:28" s="8" customFormat="1" ht="12.75" customHeight="1" thickBot="1" x14ac:dyDescent="0.25">
      <c r="A115" s="12" t="s">
        <v>1373</v>
      </c>
      <c r="C115" s="78"/>
      <c r="D115" s="14"/>
      <c r="E115" s="212" t="s">
        <v>240</v>
      </c>
      <c r="F115" s="888" t="str">
        <f>Translations!$B$253</f>
        <v>Coal fired boiler (decomposition of limestone for flue gas scrubbing)</v>
      </c>
      <c r="G115" s="930"/>
      <c r="H115" s="930"/>
      <c r="I115" s="930"/>
      <c r="J115" s="930"/>
      <c r="K115" s="931"/>
      <c r="L115" s="931"/>
      <c r="M115" s="932"/>
      <c r="N115" s="230" t="s">
        <v>1217</v>
      </c>
      <c r="P115" s="65"/>
      <c r="Q115" s="65"/>
      <c r="R115" s="65"/>
      <c r="S115" s="65"/>
      <c r="T115" s="65"/>
      <c r="U115" s="352"/>
      <c r="V115" s="352"/>
      <c r="W115" s="352"/>
      <c r="X115" s="65"/>
      <c r="Y115" s="65"/>
      <c r="Z115" s="65"/>
      <c r="AA115" s="65"/>
      <c r="AB115" s="65"/>
    </row>
    <row r="116" spans="1:28" s="8" customFormat="1" ht="12.75" customHeight="1" x14ac:dyDescent="0.2">
      <c r="A116" s="65"/>
      <c r="C116" s="78"/>
      <c r="D116" s="14"/>
      <c r="E116" s="85" t="s">
        <v>1221</v>
      </c>
      <c r="F116" s="902"/>
      <c r="G116" s="903"/>
      <c r="H116" s="903"/>
      <c r="I116" s="903"/>
      <c r="J116" s="903"/>
      <c r="K116" s="851"/>
      <c r="L116" s="851"/>
      <c r="M116" s="852"/>
      <c r="N116" s="210"/>
      <c r="P116" s="65"/>
      <c r="Q116" s="65"/>
      <c r="R116" s="65"/>
      <c r="S116" s="65"/>
      <c r="T116" s="65">
        <v>1</v>
      </c>
      <c r="U116" s="353" t="str">
        <f>IF(ISBLANK(F116),"",E116)</f>
        <v/>
      </c>
      <c r="V116" s="367" t="str">
        <f>IF(U116="","",MAX(V$115:V115)+1)</f>
        <v/>
      </c>
      <c r="W116" s="356" t="str">
        <f t="shared" ref="W116:W124" si="6">IF(COUNTIF($V$116:$V$126,T116)=1,INDEX($U$116:$U$126,MATCH(T116,$V$116:$V$126,0)) &amp; ": " &amp; INDEX($F$116:$F$126,MATCH(T116,$V$116:$V$126,0)),EUconst_NA)</f>
        <v>n.a.</v>
      </c>
      <c r="X116" s="65"/>
      <c r="Y116" s="65"/>
      <c r="Z116" s="65"/>
      <c r="AA116" s="65"/>
      <c r="AB116" s="65"/>
    </row>
    <row r="117" spans="1:28" s="8" customFormat="1" ht="12.75" customHeight="1" x14ac:dyDescent="0.2">
      <c r="A117" s="65"/>
      <c r="C117" s="78"/>
      <c r="D117" s="14"/>
      <c r="E117" s="85" t="s">
        <v>1222</v>
      </c>
      <c r="F117" s="902"/>
      <c r="G117" s="903"/>
      <c r="H117" s="903"/>
      <c r="I117" s="903"/>
      <c r="J117" s="903"/>
      <c r="K117" s="851"/>
      <c r="L117" s="851"/>
      <c r="M117" s="852"/>
      <c r="N117" s="210"/>
      <c r="P117" s="65"/>
      <c r="Q117" s="65"/>
      <c r="R117" s="65"/>
      <c r="S117" s="65"/>
      <c r="T117" s="65">
        <v>2</v>
      </c>
      <c r="U117" s="353" t="str">
        <f t="shared" ref="U117:U126" si="7">IF(ISBLANK(F117),"",E117)</f>
        <v/>
      </c>
      <c r="V117" s="367" t="str">
        <f>IF(U117="","",MAX(V$115:V116)+1)</f>
        <v/>
      </c>
      <c r="W117" s="358" t="str">
        <f t="shared" si="6"/>
        <v>n.a.</v>
      </c>
      <c r="X117" s="65"/>
      <c r="Y117" s="65"/>
      <c r="Z117" s="65"/>
      <c r="AA117" s="65"/>
      <c r="AB117" s="65"/>
    </row>
    <row r="118" spans="1:28" s="8" customFormat="1" ht="12.75" customHeight="1" x14ac:dyDescent="0.2">
      <c r="A118" s="65"/>
      <c r="C118" s="78"/>
      <c r="D118" s="14"/>
      <c r="E118" s="85" t="s">
        <v>1223</v>
      </c>
      <c r="F118" s="902"/>
      <c r="G118" s="903"/>
      <c r="H118" s="903"/>
      <c r="I118" s="903"/>
      <c r="J118" s="903"/>
      <c r="K118" s="851"/>
      <c r="L118" s="851"/>
      <c r="M118" s="852"/>
      <c r="N118" s="210"/>
      <c r="P118" s="65"/>
      <c r="Q118" s="65"/>
      <c r="R118" s="65"/>
      <c r="S118" s="65"/>
      <c r="T118" s="65">
        <v>3</v>
      </c>
      <c r="U118" s="353" t="str">
        <f t="shared" si="7"/>
        <v/>
      </c>
      <c r="V118" s="367" t="str">
        <f>IF(U118="","",MAX(V$115:V117)+1)</f>
        <v/>
      </c>
      <c r="W118" s="358" t="str">
        <f t="shared" si="6"/>
        <v>n.a.</v>
      </c>
      <c r="X118" s="65"/>
      <c r="Y118" s="65"/>
      <c r="Z118" s="65"/>
      <c r="AA118" s="65"/>
      <c r="AB118" s="65"/>
    </row>
    <row r="119" spans="1:28" s="8" customFormat="1" ht="12.75" customHeight="1" x14ac:dyDescent="0.2">
      <c r="A119" s="65"/>
      <c r="C119" s="78"/>
      <c r="D119" s="14"/>
      <c r="E119" s="85" t="s">
        <v>1224</v>
      </c>
      <c r="F119" s="902"/>
      <c r="G119" s="903"/>
      <c r="H119" s="903"/>
      <c r="I119" s="903"/>
      <c r="J119" s="903"/>
      <c r="K119" s="851"/>
      <c r="L119" s="851"/>
      <c r="M119" s="852"/>
      <c r="N119" s="210"/>
      <c r="P119" s="65"/>
      <c r="Q119" s="65"/>
      <c r="R119" s="65"/>
      <c r="S119" s="65"/>
      <c r="T119" s="65">
        <v>4</v>
      </c>
      <c r="U119" s="353" t="str">
        <f t="shared" si="7"/>
        <v/>
      </c>
      <c r="V119" s="367" t="str">
        <f>IF(U119="","",MAX(V$115:V118)+1)</f>
        <v/>
      </c>
      <c r="W119" s="358" t="str">
        <f t="shared" si="6"/>
        <v>n.a.</v>
      </c>
      <c r="X119" s="65"/>
      <c r="Y119" s="65"/>
      <c r="Z119" s="65"/>
      <c r="AA119" s="65"/>
      <c r="AB119" s="65"/>
    </row>
    <row r="120" spans="1:28" s="8" customFormat="1" ht="12.75" customHeight="1" x14ac:dyDescent="0.2">
      <c r="A120" s="65"/>
      <c r="C120" s="78"/>
      <c r="D120" s="14"/>
      <c r="E120" s="85" t="s">
        <v>1225</v>
      </c>
      <c r="F120" s="902"/>
      <c r="G120" s="903"/>
      <c r="H120" s="903"/>
      <c r="I120" s="903"/>
      <c r="J120" s="903"/>
      <c r="K120" s="851"/>
      <c r="L120" s="851"/>
      <c r="M120" s="852"/>
      <c r="N120" s="210"/>
      <c r="P120" s="65"/>
      <c r="Q120" s="65"/>
      <c r="R120" s="65"/>
      <c r="S120" s="65"/>
      <c r="T120" s="65">
        <v>5</v>
      </c>
      <c r="U120" s="353" t="str">
        <f t="shared" si="7"/>
        <v/>
      </c>
      <c r="V120" s="367" t="str">
        <f>IF(U120="","",MAX(V$115:V119)+1)</f>
        <v/>
      </c>
      <c r="W120" s="358" t="str">
        <f t="shared" si="6"/>
        <v>n.a.</v>
      </c>
      <c r="X120" s="65"/>
      <c r="Y120" s="65"/>
      <c r="Z120" s="65"/>
      <c r="AA120" s="65"/>
      <c r="AB120" s="65"/>
    </row>
    <row r="121" spans="1:28" s="8" customFormat="1" ht="12.75" customHeight="1" x14ac:dyDescent="0.2">
      <c r="A121" s="65"/>
      <c r="C121" s="78"/>
      <c r="D121" s="14"/>
      <c r="E121" s="85" t="s">
        <v>1195</v>
      </c>
      <c r="F121" s="902"/>
      <c r="G121" s="903"/>
      <c r="H121" s="903"/>
      <c r="I121" s="903"/>
      <c r="J121" s="903"/>
      <c r="K121" s="851"/>
      <c r="L121" s="851"/>
      <c r="M121" s="852"/>
      <c r="N121" s="210"/>
      <c r="P121" s="65"/>
      <c r="Q121" s="65"/>
      <c r="R121" s="65"/>
      <c r="S121" s="65"/>
      <c r="T121" s="65">
        <v>6</v>
      </c>
      <c r="U121" s="353" t="str">
        <f t="shared" si="7"/>
        <v/>
      </c>
      <c r="V121" s="367" t="str">
        <f>IF(U121="","",MAX(V$115:V120)+1)</f>
        <v/>
      </c>
      <c r="W121" s="358" t="str">
        <f t="shared" si="6"/>
        <v>n.a.</v>
      </c>
      <c r="X121" s="65"/>
      <c r="Y121" s="65"/>
      <c r="Z121" s="65"/>
      <c r="AA121" s="65"/>
      <c r="AB121" s="65"/>
    </row>
    <row r="122" spans="1:28" s="8" customFormat="1" ht="12.75" customHeight="1" x14ac:dyDescent="0.2">
      <c r="A122" s="65"/>
      <c r="C122" s="78"/>
      <c r="D122" s="14"/>
      <c r="E122" s="85" t="s">
        <v>1196</v>
      </c>
      <c r="F122" s="902"/>
      <c r="G122" s="903"/>
      <c r="H122" s="903"/>
      <c r="I122" s="903"/>
      <c r="J122" s="903"/>
      <c r="K122" s="851"/>
      <c r="L122" s="851"/>
      <c r="M122" s="852"/>
      <c r="N122" s="210"/>
      <c r="P122" s="65"/>
      <c r="Q122" s="65"/>
      <c r="R122" s="65"/>
      <c r="S122" s="65"/>
      <c r="T122" s="65">
        <v>7</v>
      </c>
      <c r="U122" s="353" t="str">
        <f t="shared" si="7"/>
        <v/>
      </c>
      <c r="V122" s="367" t="str">
        <f>IF(U122="","",MAX(V$115:V121)+1)</f>
        <v/>
      </c>
      <c r="W122" s="358" t="str">
        <f t="shared" si="6"/>
        <v>n.a.</v>
      </c>
      <c r="X122" s="65"/>
      <c r="Y122" s="65"/>
      <c r="Z122" s="65"/>
      <c r="AA122" s="65"/>
      <c r="AB122" s="65"/>
    </row>
    <row r="123" spans="1:28" s="8" customFormat="1" ht="12.75" customHeight="1" x14ac:dyDescent="0.2">
      <c r="A123" s="65"/>
      <c r="C123" s="78"/>
      <c r="D123" s="14"/>
      <c r="E123" s="85" t="s">
        <v>1197</v>
      </c>
      <c r="F123" s="902"/>
      <c r="G123" s="903"/>
      <c r="H123" s="903"/>
      <c r="I123" s="903"/>
      <c r="J123" s="903"/>
      <c r="K123" s="851"/>
      <c r="L123" s="851"/>
      <c r="M123" s="852"/>
      <c r="N123" s="210"/>
      <c r="P123" s="65"/>
      <c r="Q123" s="65"/>
      <c r="R123" s="65"/>
      <c r="S123" s="65"/>
      <c r="T123" s="65">
        <v>8</v>
      </c>
      <c r="U123" s="353" t="str">
        <f t="shared" si="7"/>
        <v/>
      </c>
      <c r="V123" s="367" t="str">
        <f>IF(U123="","",MAX(V$115:V122)+1)</f>
        <v/>
      </c>
      <c r="W123" s="358" t="str">
        <f t="shared" si="6"/>
        <v>n.a.</v>
      </c>
      <c r="X123" s="65"/>
      <c r="Y123" s="65"/>
      <c r="Z123" s="65"/>
      <c r="AA123" s="65"/>
      <c r="AB123" s="65"/>
    </row>
    <row r="124" spans="1:28" s="8" customFormat="1" ht="12.75" customHeight="1" x14ac:dyDescent="0.2">
      <c r="A124" s="65"/>
      <c r="C124" s="78"/>
      <c r="D124" s="14"/>
      <c r="E124" s="85" t="s">
        <v>1198</v>
      </c>
      <c r="F124" s="902"/>
      <c r="G124" s="903"/>
      <c r="H124" s="903"/>
      <c r="I124" s="903"/>
      <c r="J124" s="903"/>
      <c r="K124" s="851"/>
      <c r="L124" s="851"/>
      <c r="M124" s="852"/>
      <c r="N124" s="210"/>
      <c r="P124" s="65"/>
      <c r="Q124" s="65"/>
      <c r="R124" s="65"/>
      <c r="S124" s="65"/>
      <c r="T124" s="65">
        <v>9</v>
      </c>
      <c r="U124" s="353" t="str">
        <f t="shared" si="7"/>
        <v/>
      </c>
      <c r="V124" s="367" t="str">
        <f>IF(U124="","",MAX(V$115:V123)+1)</f>
        <v/>
      </c>
      <c r="W124" s="358" t="str">
        <f t="shared" si="6"/>
        <v>n.a.</v>
      </c>
      <c r="X124" s="65"/>
      <c r="Y124" s="65"/>
      <c r="Z124" s="65"/>
      <c r="AA124" s="65"/>
      <c r="AB124" s="65"/>
    </row>
    <row r="125" spans="1:28" s="8" customFormat="1" ht="12.75" customHeight="1" x14ac:dyDescent="0.2">
      <c r="A125" s="65"/>
      <c r="C125" s="78"/>
      <c r="D125" s="14"/>
      <c r="E125" s="85" t="s">
        <v>1199</v>
      </c>
      <c r="F125" s="902"/>
      <c r="G125" s="903"/>
      <c r="H125" s="903"/>
      <c r="I125" s="903"/>
      <c r="J125" s="903"/>
      <c r="K125" s="851"/>
      <c r="L125" s="851"/>
      <c r="M125" s="852"/>
      <c r="N125" s="210"/>
      <c r="P125" s="65"/>
      <c r="Q125" s="65"/>
      <c r="R125" s="65"/>
      <c r="S125" s="65"/>
      <c r="T125" s="65">
        <v>10</v>
      </c>
      <c r="U125" s="353" t="str">
        <f t="shared" si="7"/>
        <v/>
      </c>
      <c r="V125" s="367" t="str">
        <f>IF(U125="","",MAX(V$115:V124)+1)</f>
        <v/>
      </c>
      <c r="W125" s="358" t="str">
        <f>IF(COUNTIF($V$116:$V$126,T125)=1,INDEX($U$116:$U$126,MATCH(T125,$V$116:$V$126,0)) &amp; ": " &amp; INDEX($F$116:$F$126,MATCH(T125,$V$116:$V$126,0)),EUconst_NA)</f>
        <v>n.a.</v>
      </c>
      <c r="X125" s="65"/>
      <c r="Y125" s="65"/>
      <c r="Z125" s="65"/>
      <c r="AA125" s="65"/>
      <c r="AB125" s="65"/>
    </row>
    <row r="126" spans="1:28" s="8" customFormat="1" ht="12.6" hidden="1" customHeight="1" thickBot="1" x14ac:dyDescent="0.25">
      <c r="A126" s="12" t="s">
        <v>1090</v>
      </c>
      <c r="C126" s="78"/>
      <c r="D126" s="14"/>
      <c r="E126" s="85"/>
      <c r="F126" s="902"/>
      <c r="G126" s="903"/>
      <c r="H126" s="903"/>
      <c r="I126" s="903"/>
      <c r="J126" s="903"/>
      <c r="K126" s="851"/>
      <c r="L126" s="851"/>
      <c r="M126" s="852"/>
      <c r="N126" s="210"/>
      <c r="P126" s="65"/>
      <c r="Q126" s="65"/>
      <c r="R126" s="65"/>
      <c r="S126" s="65"/>
      <c r="T126" s="65"/>
      <c r="U126" s="353" t="str">
        <f t="shared" si="7"/>
        <v/>
      </c>
      <c r="V126" s="367" t="str">
        <f>IF(U126="","",MAX(V$115:V125)+1)</f>
        <v/>
      </c>
      <c r="W126" s="368"/>
      <c r="X126" s="65"/>
      <c r="Y126" s="65"/>
      <c r="Z126" s="65"/>
      <c r="AA126" s="65"/>
      <c r="AB126" s="65"/>
    </row>
    <row r="127" spans="1:28" s="8" customFormat="1" ht="12.6" customHeight="1" x14ac:dyDescent="0.2">
      <c r="A127" s="12" t="s">
        <v>1353</v>
      </c>
      <c r="C127" s="78"/>
      <c r="D127" s="14"/>
      <c r="M127" s="334"/>
      <c r="P127" s="65"/>
      <c r="Q127" s="65"/>
      <c r="R127" s="65"/>
      <c r="S127" s="65"/>
      <c r="T127" s="65"/>
      <c r="U127" s="369"/>
      <c r="V127" s="65"/>
      <c r="W127" s="65"/>
      <c r="X127" s="65"/>
      <c r="Y127" s="65"/>
      <c r="Z127" s="65"/>
      <c r="AA127" s="65"/>
      <c r="AB127" s="65"/>
    </row>
    <row r="128" spans="1:28" s="8" customFormat="1" ht="4.9000000000000004" customHeight="1" x14ac:dyDescent="0.2">
      <c r="A128" s="12"/>
      <c r="C128" s="78"/>
      <c r="D128" s="14"/>
      <c r="G128" s="794" t="str">
        <f>Translations!$B$254</f>
        <v>Click "+" to add more emissions sources</v>
      </c>
      <c r="H128" s="794"/>
      <c r="I128" s="794"/>
      <c r="J128" s="794"/>
      <c r="K128" s="909"/>
      <c r="M128" s="334"/>
      <c r="P128" s="65"/>
      <c r="Q128" s="65"/>
      <c r="R128" s="65"/>
      <c r="S128" s="65"/>
      <c r="T128" s="65"/>
      <c r="U128" s="369"/>
      <c r="V128" s="65"/>
      <c r="W128" s="65"/>
      <c r="X128" s="65"/>
      <c r="Y128" s="65"/>
      <c r="Z128" s="65"/>
      <c r="AA128" s="65"/>
      <c r="AB128" s="65"/>
    </row>
    <row r="129" spans="1:28" s="8" customFormat="1" ht="12.75" customHeight="1" x14ac:dyDescent="0.2">
      <c r="A129" s="12"/>
      <c r="C129" s="78"/>
      <c r="D129" s="14"/>
      <c r="G129" s="794"/>
      <c r="H129" s="794"/>
      <c r="I129" s="794"/>
      <c r="J129" s="794"/>
      <c r="K129" s="909"/>
      <c r="M129" s="334"/>
      <c r="P129" s="65"/>
      <c r="Q129" s="65"/>
      <c r="R129" s="65"/>
      <c r="S129" s="65"/>
      <c r="T129" s="65"/>
      <c r="U129" s="369"/>
      <c r="V129" s="65"/>
      <c r="W129" s="65"/>
      <c r="X129" s="65"/>
      <c r="Y129" s="65"/>
      <c r="Z129" s="65"/>
      <c r="AA129" s="65"/>
      <c r="AB129" s="65"/>
    </row>
    <row r="130" spans="1:28" s="8" customFormat="1" ht="4.9000000000000004" customHeight="1" x14ac:dyDescent="0.2">
      <c r="A130" s="12"/>
      <c r="C130" s="78"/>
      <c r="D130" s="14"/>
      <c r="G130" s="794"/>
      <c r="H130" s="794"/>
      <c r="I130" s="794"/>
      <c r="J130" s="794"/>
      <c r="K130" s="909"/>
      <c r="M130" s="334"/>
      <c r="P130" s="65"/>
      <c r="Q130" s="65"/>
      <c r="R130" s="65"/>
      <c r="S130" s="65"/>
      <c r="T130" s="65"/>
      <c r="U130" s="369"/>
      <c r="V130" s="65"/>
      <c r="W130" s="65"/>
      <c r="X130" s="65"/>
      <c r="Y130" s="65"/>
      <c r="Z130" s="65"/>
      <c r="AA130" s="65"/>
      <c r="AB130" s="65"/>
    </row>
    <row r="131" spans="1:28" s="8" customFormat="1" ht="12.6" customHeight="1" x14ac:dyDescent="0.2">
      <c r="A131" s="65"/>
      <c r="C131" s="78"/>
      <c r="D131" s="14"/>
      <c r="P131" s="65"/>
      <c r="Q131" s="65"/>
      <c r="R131" s="65"/>
      <c r="S131" s="65"/>
      <c r="T131" s="65"/>
      <c r="U131" s="369"/>
      <c r="V131" s="65"/>
      <c r="W131" s="65"/>
      <c r="X131" s="65"/>
      <c r="Y131" s="65"/>
      <c r="Z131" s="65"/>
      <c r="AA131" s="65"/>
      <c r="AB131" s="65"/>
    </row>
    <row r="132" spans="1:28" s="34" customFormat="1" ht="12.75" customHeight="1" x14ac:dyDescent="0.2">
      <c r="A132" s="248"/>
      <c r="C132" s="336"/>
      <c r="D132" s="98" t="s">
        <v>554</v>
      </c>
      <c r="E132" s="98" t="str">
        <f>Translations!$B$255</f>
        <v>Emission points and emitted GHGs:</v>
      </c>
      <c r="F132" s="99"/>
      <c r="G132" s="99"/>
      <c r="H132" s="99"/>
      <c r="I132" s="99"/>
      <c r="J132" s="99"/>
      <c r="K132" s="1"/>
      <c r="L132" s="1"/>
      <c r="M132" s="1"/>
      <c r="O132" s="8"/>
      <c r="P132" s="366"/>
      <c r="Q132" s="366"/>
      <c r="R132" s="248"/>
      <c r="S132" s="248"/>
      <c r="T132" s="248"/>
      <c r="U132" s="248"/>
      <c r="V132" s="248"/>
      <c r="W132" s="248"/>
      <c r="X132" s="248"/>
      <c r="Y132" s="248"/>
      <c r="Z132" s="248"/>
      <c r="AA132" s="248"/>
      <c r="AB132" s="248"/>
    </row>
    <row r="133" spans="1:28" s="8" customFormat="1" ht="12.75" customHeight="1" x14ac:dyDescent="0.2">
      <c r="A133" s="65"/>
      <c r="C133" s="78"/>
      <c r="D133" s="14"/>
      <c r="E133" s="869" t="str">
        <f>Translations!$B$256</f>
        <v>Please list and briefly describe all relevant emission points (including diffuse emission sources).</v>
      </c>
      <c r="F133" s="869"/>
      <c r="G133" s="869"/>
      <c r="H133" s="869"/>
      <c r="I133" s="869"/>
      <c r="J133" s="869"/>
      <c r="K133" s="869"/>
      <c r="L133" s="869"/>
      <c r="M133" s="869"/>
      <c r="N133" s="869"/>
      <c r="P133" s="349"/>
      <c r="Q133" s="349"/>
      <c r="R133" s="65"/>
      <c r="S133" s="65"/>
      <c r="T133" s="65"/>
      <c r="U133" s="65"/>
      <c r="V133" s="65"/>
      <c r="W133" s="65"/>
      <c r="X133" s="65"/>
      <c r="Y133" s="65"/>
      <c r="Z133" s="65"/>
      <c r="AA133" s="65"/>
      <c r="AB133" s="65"/>
    </row>
    <row r="134" spans="1:28" s="8" customFormat="1" ht="25.5" customHeight="1" x14ac:dyDescent="0.2">
      <c r="A134" s="65"/>
      <c r="C134" s="78"/>
      <c r="D134" s="14"/>
      <c r="E134" s="869" t="str">
        <f>Translations!$B$257</f>
        <v>Please also select the Annex I activities, the emission sources and the GHGs emitted from the drop-down lists (relating to data entered in section 5(c) above). If more than one activity or emission source in concerned, please enter e.g. "A1, A2".</v>
      </c>
      <c r="F134" s="869"/>
      <c r="G134" s="869"/>
      <c r="H134" s="869"/>
      <c r="I134" s="869"/>
      <c r="J134" s="869"/>
      <c r="K134" s="869"/>
      <c r="L134" s="869"/>
      <c r="M134" s="869"/>
      <c r="N134" s="869"/>
      <c r="P134" s="349"/>
      <c r="Q134" s="349"/>
      <c r="R134" s="65"/>
      <c r="S134" s="65"/>
      <c r="T134" s="65"/>
      <c r="U134" s="65"/>
      <c r="V134" s="65"/>
      <c r="W134" s="65"/>
      <c r="X134" s="65"/>
      <c r="Y134" s="65"/>
      <c r="Z134" s="65"/>
      <c r="AA134" s="65"/>
      <c r="AB134" s="65"/>
    </row>
    <row r="135" spans="1:28" s="8" customFormat="1" ht="12.75" customHeight="1" x14ac:dyDescent="0.2">
      <c r="A135" s="65"/>
      <c r="C135" s="78"/>
      <c r="D135" s="14"/>
      <c r="E135" s="827" t="str">
        <f>Translations!$B$258</f>
        <v>The list here will be available as a drop-down list at the following points below (d and e) where a reference to the relevant emission point is needed.</v>
      </c>
      <c r="F135" s="721"/>
      <c r="G135" s="721"/>
      <c r="H135" s="721"/>
      <c r="I135" s="721"/>
      <c r="J135" s="721"/>
      <c r="K135" s="721"/>
      <c r="L135" s="721"/>
      <c r="M135" s="721"/>
      <c r="N135" s="721"/>
      <c r="P135" s="65"/>
      <c r="Q135" s="65"/>
      <c r="R135" s="65"/>
      <c r="S135" s="65"/>
      <c r="T135" s="65"/>
      <c r="U135" s="65"/>
      <c r="V135" s="65"/>
      <c r="W135" s="65"/>
      <c r="X135" s="65"/>
      <c r="Y135" s="65"/>
      <c r="Z135" s="65"/>
      <c r="AA135" s="65"/>
      <c r="AB135" s="65"/>
    </row>
    <row r="136" spans="1:28" s="8" customFormat="1" ht="12.75" customHeight="1" x14ac:dyDescent="0.2">
      <c r="A136" s="65"/>
      <c r="C136" s="78"/>
      <c r="D136" s="14"/>
      <c r="E136" s="798" t="str">
        <f>Translations!$B$135</f>
        <v>For showing/hiding examples, press the "Examples" button in the navigation area.</v>
      </c>
      <c r="F136" s="917"/>
      <c r="G136" s="917"/>
      <c r="H136" s="917"/>
      <c r="I136" s="917"/>
      <c r="J136" s="917"/>
      <c r="K136" s="917"/>
      <c r="L136" s="917"/>
      <c r="M136" s="917"/>
      <c r="N136" s="917"/>
      <c r="P136" s="65"/>
      <c r="Q136" s="65"/>
      <c r="R136" s="65"/>
      <c r="S136" s="65"/>
      <c r="T136" s="65"/>
      <c r="U136" s="65"/>
      <c r="V136" s="65"/>
      <c r="W136" s="65"/>
      <c r="X136" s="65"/>
      <c r="Y136" s="65"/>
      <c r="Z136" s="65"/>
      <c r="AA136" s="65"/>
      <c r="AB136" s="65"/>
    </row>
    <row r="137" spans="1:28" s="8" customFormat="1" ht="5.0999999999999996" customHeight="1" x14ac:dyDescent="0.2">
      <c r="A137" s="65"/>
      <c r="C137" s="78"/>
      <c r="D137" s="14"/>
      <c r="E137" s="334"/>
      <c r="F137" s="334"/>
      <c r="G137" s="334"/>
      <c r="H137" s="334"/>
      <c r="I137" s="334"/>
      <c r="J137" s="334"/>
      <c r="K137" s="334"/>
      <c r="L137" s="334"/>
      <c r="M137" s="334"/>
      <c r="P137" s="65"/>
      <c r="Q137" s="65"/>
      <c r="R137" s="65"/>
      <c r="S137" s="65"/>
      <c r="T137" s="65"/>
      <c r="U137" s="65"/>
      <c r="V137" s="65"/>
      <c r="W137" s="65"/>
      <c r="X137" s="65"/>
      <c r="Y137" s="65"/>
      <c r="Z137" s="65"/>
      <c r="AA137" s="65"/>
      <c r="AB137" s="65"/>
    </row>
    <row r="138" spans="1:28" s="8" customFormat="1" ht="33.75" x14ac:dyDescent="0.2">
      <c r="A138" s="65"/>
      <c r="C138" s="78"/>
      <c r="D138" s="14"/>
      <c r="E138" s="344" t="str">
        <f>Translations!$B$259</f>
        <v>Emission point ref
EP1, EP2,...</v>
      </c>
      <c r="F138" s="926" t="str">
        <f>Translations!$B$260</f>
        <v>Emission point description</v>
      </c>
      <c r="G138" s="927"/>
      <c r="H138" s="927"/>
      <c r="I138" s="927"/>
      <c r="J138" s="927"/>
      <c r="K138" s="933"/>
      <c r="L138" s="345" t="str">
        <f>Translations!$B$250</f>
        <v>Activity Ref.</v>
      </c>
      <c r="M138" s="345" t="str">
        <f>Translations!$B$261</f>
        <v>Emission source ref.</v>
      </c>
      <c r="N138" s="345" t="str">
        <f>Translations!$B$212</f>
        <v>GHG emitted</v>
      </c>
      <c r="P138" s="65"/>
      <c r="Q138" s="65"/>
      <c r="R138" s="65"/>
      <c r="S138" s="65"/>
      <c r="T138" s="65"/>
      <c r="U138" s="352" t="s">
        <v>1231</v>
      </c>
      <c r="V138" s="352" t="s">
        <v>1231</v>
      </c>
      <c r="W138" s="352" t="s">
        <v>1231</v>
      </c>
      <c r="X138" s="65"/>
      <c r="Y138" s="65"/>
      <c r="Z138" s="65"/>
      <c r="AA138" s="65"/>
      <c r="AB138" s="12" t="s">
        <v>727</v>
      </c>
    </row>
    <row r="139" spans="1:28" s="8" customFormat="1" ht="12.75" customHeight="1" x14ac:dyDescent="0.2">
      <c r="A139" s="12" t="s">
        <v>1373</v>
      </c>
      <c r="C139" s="78"/>
      <c r="D139" s="14"/>
      <c r="E139" s="212" t="s">
        <v>247</v>
      </c>
      <c r="F139" s="919" t="str">
        <f>Translations!$B$262</f>
        <v>Stack 1 (coal fired boiler)</v>
      </c>
      <c r="G139" s="920"/>
      <c r="H139" s="920"/>
      <c r="I139" s="920"/>
      <c r="J139" s="920"/>
      <c r="K139" s="920"/>
      <c r="L139" s="211" t="s">
        <v>219</v>
      </c>
      <c r="M139" s="211" t="s">
        <v>243</v>
      </c>
      <c r="N139" s="211" t="s">
        <v>1588</v>
      </c>
      <c r="P139" s="65"/>
      <c r="Q139" s="65"/>
      <c r="R139" s="65"/>
      <c r="S139" s="65"/>
      <c r="T139" s="65"/>
      <c r="U139" s="352"/>
      <c r="V139" s="352"/>
      <c r="W139" s="352"/>
      <c r="X139" s="65"/>
      <c r="Y139" s="65"/>
      <c r="Z139" s="65"/>
      <c r="AA139" s="65"/>
      <c r="AB139" s="65"/>
    </row>
    <row r="140" spans="1:28" s="8" customFormat="1" ht="12.75" customHeight="1" thickBot="1" x14ac:dyDescent="0.25">
      <c r="A140" s="12" t="s">
        <v>1373</v>
      </c>
      <c r="C140" s="78"/>
      <c r="D140" s="14"/>
      <c r="E140" s="212" t="s">
        <v>248</v>
      </c>
      <c r="F140" s="919" t="str">
        <f>Translations!$B$263</f>
        <v>Stack 2 (cement kiln)</v>
      </c>
      <c r="G140" s="920"/>
      <c r="H140" s="920"/>
      <c r="I140" s="920"/>
      <c r="J140" s="920"/>
      <c r="K140" s="920"/>
      <c r="L140" s="211" t="s">
        <v>218</v>
      </c>
      <c r="M140" s="211" t="s">
        <v>238</v>
      </c>
      <c r="N140" s="211" t="s">
        <v>1588</v>
      </c>
      <c r="P140" s="65"/>
      <c r="Q140" s="65"/>
      <c r="R140" s="65"/>
      <c r="S140" s="65"/>
      <c r="T140" s="65"/>
      <c r="U140" s="352"/>
      <c r="V140" s="352"/>
      <c r="W140" s="352"/>
      <c r="X140" s="65"/>
      <c r="Y140" s="65"/>
      <c r="Z140" s="65"/>
      <c r="AA140" s="65"/>
      <c r="AB140" s="65"/>
    </row>
    <row r="141" spans="1:28" s="8" customFormat="1" ht="12.75" customHeight="1" x14ac:dyDescent="0.2">
      <c r="A141" s="65"/>
      <c r="C141" s="78"/>
      <c r="D141" s="14"/>
      <c r="E141" s="85" t="s">
        <v>810</v>
      </c>
      <c r="F141" s="861"/>
      <c r="G141" s="861"/>
      <c r="H141" s="861"/>
      <c r="I141" s="861"/>
      <c r="J141" s="861"/>
      <c r="K141" s="747"/>
      <c r="L141" s="210"/>
      <c r="M141" s="210"/>
      <c r="N141" s="210"/>
      <c r="P141" s="65"/>
      <c r="Q141" s="65"/>
      <c r="R141" s="65"/>
      <c r="S141" s="65"/>
      <c r="T141" s="65">
        <v>1</v>
      </c>
      <c r="U141" s="353" t="str">
        <f>IF(ISBLANK(F141),"",E141)</f>
        <v/>
      </c>
      <c r="V141" s="367" t="str">
        <f>IF(U141="","",MAX(V$140:V140)+1)</f>
        <v/>
      </c>
      <c r="W141" s="356" t="str">
        <f>IF(COUNTIF($V$141:$V$151,T141)=1,INDEX($U$141:$U$151,MATCH(T141,$V$141:$V$151,0)) &amp; ": " &amp; INDEX($F$141:$F$151,MATCH(T141,$V$141:$V$151,0)),EUconst_NA)</f>
        <v>n.a.</v>
      </c>
      <c r="X141" s="65"/>
      <c r="Y141" s="65"/>
      <c r="Z141" s="65"/>
      <c r="AA141" s="65"/>
      <c r="AB141" s="354" t="b">
        <f t="shared" ref="AB141:AB151" si="8">IF(OR(CNTR_InstHasMeasurement=TRUE,CNTR_InstHasN2O=TRUE,CNTR_InstHasTransferredCO2=TRUE),FALSE,IF(COUNTA(CNTR_ListRelevantSections)&gt;0,TRUE,FALSE))</f>
        <v>0</v>
      </c>
    </row>
    <row r="142" spans="1:28" s="8" customFormat="1" ht="12.75" customHeight="1" x14ac:dyDescent="0.2">
      <c r="A142" s="65"/>
      <c r="C142" s="78"/>
      <c r="D142" s="14"/>
      <c r="E142" s="85" t="s">
        <v>812</v>
      </c>
      <c r="F142" s="861"/>
      <c r="G142" s="861"/>
      <c r="H142" s="861"/>
      <c r="I142" s="861"/>
      <c r="J142" s="861"/>
      <c r="K142" s="747"/>
      <c r="L142" s="210"/>
      <c r="M142" s="210"/>
      <c r="N142" s="210"/>
      <c r="P142" s="65"/>
      <c r="Q142" s="65"/>
      <c r="R142" s="65"/>
      <c r="S142" s="65"/>
      <c r="T142" s="65">
        <v>2</v>
      </c>
      <c r="U142" s="353" t="str">
        <f>IF(ISBLANK(F142),"",E142)</f>
        <v/>
      </c>
      <c r="V142" s="367" t="str">
        <f>IF(U142="","",MAX(V$140:V141)+1)</f>
        <v/>
      </c>
      <c r="W142" s="358" t="str">
        <f t="shared" ref="W142:W150" si="9">IF(COUNTIF($V$141:$V$151,T142)=1,INDEX($U$141:$U$151,MATCH(T142,$V$141:$V$151,0)) &amp; ": " &amp; INDEX($F$141:$F$151,MATCH(T142,$V$141:$V$151,0)),EUconst_NA)</f>
        <v>n.a.</v>
      </c>
      <c r="X142" s="65"/>
      <c r="Y142" s="65"/>
      <c r="Z142" s="65"/>
      <c r="AA142" s="65"/>
      <c r="AB142" s="354" t="b">
        <f t="shared" si="8"/>
        <v>0</v>
      </c>
    </row>
    <row r="143" spans="1:28" s="8" customFormat="1" ht="12.75" customHeight="1" x14ac:dyDescent="0.2">
      <c r="A143" s="65"/>
      <c r="C143" s="78"/>
      <c r="D143" s="14"/>
      <c r="E143" s="85" t="s">
        <v>813</v>
      </c>
      <c r="F143" s="861"/>
      <c r="G143" s="861"/>
      <c r="H143" s="861"/>
      <c r="I143" s="861"/>
      <c r="J143" s="861"/>
      <c r="K143" s="747"/>
      <c r="L143" s="210"/>
      <c r="M143" s="210"/>
      <c r="N143" s="210"/>
      <c r="P143" s="65"/>
      <c r="Q143" s="65"/>
      <c r="R143" s="65"/>
      <c r="S143" s="65"/>
      <c r="T143" s="65">
        <v>3</v>
      </c>
      <c r="U143" s="353" t="str">
        <f t="shared" ref="U143:U151" si="10">IF(ISBLANK(F143),"",E143)</f>
        <v/>
      </c>
      <c r="V143" s="367" t="str">
        <f>IF(U143="","",MAX(V$140:V142)+1)</f>
        <v/>
      </c>
      <c r="W143" s="358" t="str">
        <f t="shared" si="9"/>
        <v>n.a.</v>
      </c>
      <c r="X143" s="65"/>
      <c r="Y143" s="65"/>
      <c r="Z143" s="65"/>
      <c r="AA143" s="65"/>
      <c r="AB143" s="354" t="b">
        <f t="shared" si="8"/>
        <v>0</v>
      </c>
    </row>
    <row r="144" spans="1:28" s="8" customFormat="1" ht="12.75" customHeight="1" x14ac:dyDescent="0.2">
      <c r="A144" s="65"/>
      <c r="C144" s="78"/>
      <c r="D144" s="14"/>
      <c r="E144" s="85" t="s">
        <v>814</v>
      </c>
      <c r="F144" s="861"/>
      <c r="G144" s="861"/>
      <c r="H144" s="861"/>
      <c r="I144" s="861"/>
      <c r="J144" s="861"/>
      <c r="K144" s="747"/>
      <c r="L144" s="210"/>
      <c r="M144" s="210"/>
      <c r="N144" s="210"/>
      <c r="P144" s="65"/>
      <c r="Q144" s="65"/>
      <c r="R144" s="65"/>
      <c r="S144" s="65"/>
      <c r="T144" s="65">
        <v>4</v>
      </c>
      <c r="U144" s="353" t="str">
        <f t="shared" si="10"/>
        <v/>
      </c>
      <c r="V144" s="367" t="str">
        <f>IF(U144="","",MAX(V$140:V143)+1)</f>
        <v/>
      </c>
      <c r="W144" s="358" t="str">
        <f t="shared" si="9"/>
        <v>n.a.</v>
      </c>
      <c r="X144" s="65"/>
      <c r="Y144" s="65"/>
      <c r="Z144" s="65"/>
      <c r="AA144" s="65"/>
      <c r="AB144" s="354" t="b">
        <f t="shared" si="8"/>
        <v>0</v>
      </c>
    </row>
    <row r="145" spans="1:28" s="8" customFormat="1" ht="12.75" customHeight="1" x14ac:dyDescent="0.2">
      <c r="A145" s="65"/>
      <c r="C145" s="78"/>
      <c r="D145" s="14"/>
      <c r="E145" s="85" t="s">
        <v>815</v>
      </c>
      <c r="F145" s="861"/>
      <c r="G145" s="861"/>
      <c r="H145" s="861"/>
      <c r="I145" s="861"/>
      <c r="J145" s="861"/>
      <c r="K145" s="747"/>
      <c r="L145" s="210"/>
      <c r="M145" s="210"/>
      <c r="N145" s="210"/>
      <c r="P145" s="65"/>
      <c r="Q145" s="65"/>
      <c r="R145" s="65"/>
      <c r="S145" s="65"/>
      <c r="T145" s="65">
        <v>5</v>
      </c>
      <c r="U145" s="353" t="str">
        <f t="shared" si="10"/>
        <v/>
      </c>
      <c r="V145" s="367" t="str">
        <f>IF(U145="","",MAX(V$140:V144)+1)</f>
        <v/>
      </c>
      <c r="W145" s="358" t="str">
        <f t="shared" si="9"/>
        <v>n.a.</v>
      </c>
      <c r="X145" s="65"/>
      <c r="Y145" s="65"/>
      <c r="Z145" s="65"/>
      <c r="AA145" s="65"/>
      <c r="AB145" s="354" t="b">
        <f t="shared" si="8"/>
        <v>0</v>
      </c>
    </row>
    <row r="146" spans="1:28" s="8" customFormat="1" ht="12.75" customHeight="1" x14ac:dyDescent="0.2">
      <c r="A146" s="65"/>
      <c r="C146" s="78"/>
      <c r="D146" s="14"/>
      <c r="E146" s="85" t="s">
        <v>557</v>
      </c>
      <c r="F146" s="861"/>
      <c r="G146" s="861"/>
      <c r="H146" s="861"/>
      <c r="I146" s="861"/>
      <c r="J146" s="861"/>
      <c r="K146" s="747"/>
      <c r="L146" s="210"/>
      <c r="M146" s="210"/>
      <c r="N146" s="210"/>
      <c r="P146" s="65"/>
      <c r="Q146" s="65"/>
      <c r="R146" s="65"/>
      <c r="S146" s="65"/>
      <c r="T146" s="65">
        <v>6</v>
      </c>
      <c r="U146" s="353" t="str">
        <f t="shared" si="10"/>
        <v/>
      </c>
      <c r="V146" s="367" t="str">
        <f>IF(U146="","",MAX(V$140:V145)+1)</f>
        <v/>
      </c>
      <c r="W146" s="358" t="str">
        <f t="shared" si="9"/>
        <v>n.a.</v>
      </c>
      <c r="X146" s="65"/>
      <c r="Y146" s="65"/>
      <c r="Z146" s="65"/>
      <c r="AA146" s="65"/>
      <c r="AB146" s="354" t="b">
        <f t="shared" si="8"/>
        <v>0</v>
      </c>
    </row>
    <row r="147" spans="1:28" s="8" customFormat="1" ht="12.75" customHeight="1" x14ac:dyDescent="0.2">
      <c r="A147" s="65"/>
      <c r="C147" s="78"/>
      <c r="D147" s="14"/>
      <c r="E147" s="85" t="s">
        <v>558</v>
      </c>
      <c r="F147" s="861"/>
      <c r="G147" s="861"/>
      <c r="H147" s="861"/>
      <c r="I147" s="861"/>
      <c r="J147" s="861"/>
      <c r="K147" s="747"/>
      <c r="L147" s="210"/>
      <c r="M147" s="210"/>
      <c r="N147" s="210"/>
      <c r="P147" s="65"/>
      <c r="Q147" s="65"/>
      <c r="R147" s="65"/>
      <c r="S147" s="65"/>
      <c r="T147" s="65">
        <v>7</v>
      </c>
      <c r="U147" s="353" t="str">
        <f t="shared" si="10"/>
        <v/>
      </c>
      <c r="V147" s="367" t="str">
        <f>IF(U147="","",MAX(V$140:V146)+1)</f>
        <v/>
      </c>
      <c r="W147" s="358" t="str">
        <f t="shared" si="9"/>
        <v>n.a.</v>
      </c>
      <c r="X147" s="65"/>
      <c r="Y147" s="65"/>
      <c r="Z147" s="65"/>
      <c r="AA147" s="65"/>
      <c r="AB147" s="354" t="b">
        <f t="shared" si="8"/>
        <v>0</v>
      </c>
    </row>
    <row r="148" spans="1:28" s="8" customFormat="1" ht="12.75" customHeight="1" x14ac:dyDescent="0.2">
      <c r="A148" s="65"/>
      <c r="C148" s="78"/>
      <c r="D148" s="14"/>
      <c r="E148" s="85" t="s">
        <v>559</v>
      </c>
      <c r="F148" s="861"/>
      <c r="G148" s="861"/>
      <c r="H148" s="861"/>
      <c r="I148" s="861"/>
      <c r="J148" s="861"/>
      <c r="K148" s="747"/>
      <c r="L148" s="210"/>
      <c r="M148" s="210"/>
      <c r="N148" s="210"/>
      <c r="P148" s="65"/>
      <c r="Q148" s="65"/>
      <c r="R148" s="65"/>
      <c r="S148" s="65"/>
      <c r="T148" s="65">
        <v>8</v>
      </c>
      <c r="U148" s="353" t="str">
        <f t="shared" si="10"/>
        <v/>
      </c>
      <c r="V148" s="367" t="str">
        <f>IF(U148="","",MAX(V$140:V147)+1)</f>
        <v/>
      </c>
      <c r="W148" s="358" t="str">
        <f t="shared" si="9"/>
        <v>n.a.</v>
      </c>
      <c r="X148" s="65"/>
      <c r="Y148" s="65"/>
      <c r="Z148" s="65"/>
      <c r="AA148" s="65"/>
      <c r="AB148" s="354" t="b">
        <f t="shared" si="8"/>
        <v>0</v>
      </c>
    </row>
    <row r="149" spans="1:28" s="8" customFormat="1" ht="12.75" customHeight="1" x14ac:dyDescent="0.2">
      <c r="A149" s="65"/>
      <c r="C149" s="78"/>
      <c r="D149" s="14"/>
      <c r="E149" s="85" t="s">
        <v>560</v>
      </c>
      <c r="F149" s="861"/>
      <c r="G149" s="861"/>
      <c r="H149" s="861"/>
      <c r="I149" s="861"/>
      <c r="J149" s="861"/>
      <c r="K149" s="747"/>
      <c r="L149" s="210"/>
      <c r="M149" s="210"/>
      <c r="N149" s="210"/>
      <c r="P149" s="65"/>
      <c r="Q149" s="65"/>
      <c r="R149" s="65"/>
      <c r="S149" s="65"/>
      <c r="T149" s="65">
        <v>9</v>
      </c>
      <c r="U149" s="353" t="str">
        <f t="shared" si="10"/>
        <v/>
      </c>
      <c r="V149" s="367" t="str">
        <f>IF(U149="","",MAX(V$140:V148)+1)</f>
        <v/>
      </c>
      <c r="W149" s="358" t="str">
        <f t="shared" si="9"/>
        <v>n.a.</v>
      </c>
      <c r="X149" s="65"/>
      <c r="Y149" s="65"/>
      <c r="Z149" s="65"/>
      <c r="AA149" s="65"/>
      <c r="AB149" s="354" t="b">
        <f t="shared" si="8"/>
        <v>0</v>
      </c>
    </row>
    <row r="150" spans="1:28" s="8" customFormat="1" ht="12.75" customHeight="1" x14ac:dyDescent="0.2">
      <c r="A150" s="65"/>
      <c r="C150" s="78"/>
      <c r="D150" s="14"/>
      <c r="E150" s="85" t="s">
        <v>561</v>
      </c>
      <c r="F150" s="861"/>
      <c r="G150" s="861"/>
      <c r="H150" s="861"/>
      <c r="I150" s="861"/>
      <c r="J150" s="861"/>
      <c r="K150" s="747"/>
      <c r="L150" s="210"/>
      <c r="M150" s="210"/>
      <c r="N150" s="210"/>
      <c r="P150" s="65"/>
      <c r="Q150" s="65"/>
      <c r="R150" s="65"/>
      <c r="S150" s="65"/>
      <c r="T150" s="65">
        <v>10</v>
      </c>
      <c r="U150" s="353" t="str">
        <f t="shared" si="10"/>
        <v/>
      </c>
      <c r="V150" s="367" t="str">
        <f>IF(U150="","",MAX(V$140:V149)+1)</f>
        <v/>
      </c>
      <c r="W150" s="358" t="str">
        <f t="shared" si="9"/>
        <v>n.a.</v>
      </c>
      <c r="X150" s="65"/>
      <c r="Y150" s="65"/>
      <c r="Z150" s="65"/>
      <c r="AA150" s="65"/>
      <c r="AB150" s="354" t="b">
        <f t="shared" si="8"/>
        <v>0</v>
      </c>
    </row>
    <row r="151" spans="1:28" s="8" customFormat="1" ht="12.75" hidden="1" customHeight="1" thickBot="1" x14ac:dyDescent="0.25">
      <c r="A151" s="12" t="s">
        <v>1090</v>
      </c>
      <c r="C151" s="78"/>
      <c r="D151" s="14"/>
      <c r="E151" s="85"/>
      <c r="F151" s="861"/>
      <c r="G151" s="861"/>
      <c r="H151" s="861"/>
      <c r="I151" s="861"/>
      <c r="J151" s="861"/>
      <c r="K151" s="747"/>
      <c r="L151" s="210"/>
      <c r="M151" s="210"/>
      <c r="N151" s="210"/>
      <c r="P151" s="65"/>
      <c r="Q151" s="65"/>
      <c r="R151" s="65"/>
      <c r="S151" s="65"/>
      <c r="T151" s="65"/>
      <c r="U151" s="353" t="str">
        <f t="shared" si="10"/>
        <v/>
      </c>
      <c r="V151" s="367" t="str">
        <f>IF(U151="","",MAX(V$140:V150)+1)</f>
        <v/>
      </c>
      <c r="W151" s="368"/>
      <c r="X151" s="65"/>
      <c r="Y151" s="65"/>
      <c r="Z151" s="65"/>
      <c r="AA151" s="65"/>
      <c r="AB151" s="354" t="b">
        <f t="shared" si="8"/>
        <v>0</v>
      </c>
    </row>
    <row r="152" spans="1:28" s="8" customFormat="1" ht="12.75" customHeight="1" x14ac:dyDescent="0.2">
      <c r="A152" s="12" t="s">
        <v>903</v>
      </c>
      <c r="C152" s="78"/>
      <c r="D152" s="14"/>
      <c r="M152" s="334"/>
      <c r="P152" s="65"/>
      <c r="Q152" s="65"/>
      <c r="R152" s="65"/>
      <c r="S152" s="65"/>
      <c r="T152" s="65"/>
      <c r="U152" s="369"/>
      <c r="V152" s="65"/>
      <c r="W152" s="65"/>
      <c r="X152" s="65"/>
      <c r="Y152" s="65"/>
      <c r="Z152" s="65"/>
      <c r="AA152" s="65"/>
      <c r="AB152" s="65"/>
    </row>
    <row r="153" spans="1:28" s="8" customFormat="1" ht="5.0999999999999996" customHeight="1" x14ac:dyDescent="0.2">
      <c r="A153" s="12"/>
      <c r="C153" s="78"/>
      <c r="D153" s="14"/>
      <c r="G153" s="794" t="str">
        <f>Translations!$B$264</f>
        <v>Click "+" to add more emission points</v>
      </c>
      <c r="H153" s="794"/>
      <c r="I153" s="794"/>
      <c r="J153" s="794"/>
      <c r="K153" s="909"/>
      <c r="M153" s="334"/>
      <c r="P153" s="65"/>
      <c r="Q153" s="65"/>
      <c r="R153" s="65"/>
      <c r="S153" s="65"/>
      <c r="T153" s="65"/>
      <c r="U153" s="369"/>
      <c r="V153" s="65"/>
      <c r="W153" s="65"/>
      <c r="X153" s="65"/>
      <c r="Y153" s="65"/>
      <c r="Z153" s="65"/>
      <c r="AA153" s="65"/>
      <c r="AB153" s="65"/>
    </row>
    <row r="154" spans="1:28" s="8" customFormat="1" ht="12.75" customHeight="1" x14ac:dyDescent="0.2">
      <c r="A154" s="12"/>
      <c r="C154" s="78"/>
      <c r="D154" s="14"/>
      <c r="G154" s="794"/>
      <c r="H154" s="794"/>
      <c r="I154" s="794"/>
      <c r="J154" s="794"/>
      <c r="K154" s="909"/>
      <c r="M154" s="334"/>
      <c r="P154" s="65"/>
      <c r="Q154" s="65"/>
      <c r="R154" s="65"/>
      <c r="S154" s="65"/>
      <c r="T154" s="65"/>
      <c r="U154" s="369"/>
      <c r="V154" s="65"/>
      <c r="W154" s="65"/>
      <c r="X154" s="65"/>
      <c r="Y154" s="65"/>
      <c r="Z154" s="65"/>
      <c r="AA154" s="65"/>
      <c r="AB154" s="65"/>
    </row>
    <row r="155" spans="1:28" s="8" customFormat="1" ht="5.0999999999999996" customHeight="1" x14ac:dyDescent="0.2">
      <c r="A155" s="12"/>
      <c r="C155" s="78"/>
      <c r="D155" s="14"/>
      <c r="G155" s="794"/>
      <c r="H155" s="794"/>
      <c r="I155" s="794"/>
      <c r="J155" s="794"/>
      <c r="K155" s="909"/>
      <c r="M155" s="334"/>
      <c r="P155" s="65"/>
      <c r="Q155" s="65"/>
      <c r="R155" s="65"/>
      <c r="S155" s="65"/>
      <c r="T155" s="65"/>
      <c r="U155" s="369"/>
      <c r="V155" s="65"/>
      <c r="W155" s="65"/>
      <c r="X155" s="65"/>
      <c r="Y155" s="65"/>
      <c r="Z155" s="65"/>
      <c r="AA155" s="65"/>
      <c r="AB155" s="65"/>
    </row>
    <row r="156" spans="1:28" s="8" customFormat="1" ht="12.75" customHeight="1" x14ac:dyDescent="0.2">
      <c r="A156" s="65"/>
      <c r="C156" s="78"/>
      <c r="D156" s="14"/>
      <c r="P156" s="65"/>
      <c r="Q156" s="65"/>
      <c r="R156" s="65"/>
      <c r="S156" s="65"/>
      <c r="T156" s="65"/>
      <c r="U156" s="369"/>
      <c r="V156" s="65"/>
      <c r="W156" s="65"/>
      <c r="X156" s="65"/>
      <c r="Y156" s="65"/>
      <c r="Z156" s="65"/>
      <c r="AA156" s="65"/>
      <c r="AB156" s="65"/>
    </row>
    <row r="157" spans="1:28" s="34" customFormat="1" ht="12.75" customHeight="1" x14ac:dyDescent="0.2">
      <c r="A157" s="248"/>
      <c r="C157" s="336"/>
      <c r="D157" s="98" t="s">
        <v>1022</v>
      </c>
      <c r="E157" s="717" t="str">
        <f>Translations!$B$265</f>
        <v>Measurement points, where continuous measurement systems are installed:</v>
      </c>
      <c r="F157" s="732"/>
      <c r="G157" s="732"/>
      <c r="H157" s="732"/>
      <c r="I157" s="732"/>
      <c r="J157" s="732"/>
      <c r="K157" s="878"/>
      <c r="L157" s="914" t="str">
        <f>IF(OR(CNTR_InstHasMeasurement=TRUE,CNTR_InstHasN2O=TRUE,CNTR_InstHasTransferredCO2=TRUE),EUconst_Relevant,IF(COUNTA(CNTR_ListRelevantSections)&gt;0,EUconst_NotRelevant,EUconst_Relevant))</f>
        <v>relevant</v>
      </c>
      <c r="M157" s="915"/>
      <c r="N157" s="916"/>
      <c r="O157" s="8"/>
      <c r="P157" s="371"/>
      <c r="Q157" s="366"/>
      <c r="R157" s="248"/>
      <c r="S157" s="248"/>
      <c r="T157" s="248"/>
      <c r="U157" s="248"/>
      <c r="V157" s="248"/>
      <c r="W157" s="248"/>
      <c r="X157" s="248"/>
      <c r="Y157" s="248"/>
      <c r="Z157" s="248"/>
      <c r="AA157" s="248"/>
      <c r="AB157" s="248"/>
    </row>
    <row r="158" spans="1:28" s="34" customFormat="1" ht="12.75" customHeight="1" x14ac:dyDescent="0.2">
      <c r="A158" s="248"/>
      <c r="E158" s="98"/>
      <c r="K158" s="918" t="str">
        <f>IF(L157=EUconst_NotRelevant,HYPERLINK(R158,EUconst_MsgGoOn),HYPERLINK("",EUconst_MsgEnterThisSection))</f>
        <v>Please enter data in this section</v>
      </c>
      <c r="L158" s="918"/>
      <c r="M158" s="918"/>
      <c r="N158" s="918"/>
      <c r="O158" s="8"/>
      <c r="P158" s="248"/>
      <c r="Q158" s="6" t="s">
        <v>1101</v>
      </c>
      <c r="R158" s="372" t="str">
        <f>"#"&amp;ADDRESS(ROW(D182),COLUMN(D182))</f>
        <v>#$D$182</v>
      </c>
      <c r="S158" s="248"/>
      <c r="T158" s="248"/>
      <c r="U158" s="248"/>
      <c r="V158" s="248"/>
      <c r="W158" s="248"/>
      <c r="X158" s="248"/>
      <c r="Y158" s="248"/>
      <c r="Z158" s="248"/>
      <c r="AA158" s="248"/>
      <c r="AB158" s="248"/>
    </row>
    <row r="159" spans="1:28" s="8" customFormat="1" ht="5.0999999999999996" customHeight="1" x14ac:dyDescent="0.2">
      <c r="A159" s="65"/>
      <c r="K159" s="417"/>
      <c r="L159" s="417"/>
      <c r="M159" s="417"/>
      <c r="N159" s="417"/>
      <c r="P159" s="65"/>
      <c r="Q159" s="65"/>
      <c r="R159" s="65"/>
      <c r="S159" s="65"/>
      <c r="T159" s="65"/>
      <c r="U159" s="65"/>
      <c r="V159" s="65"/>
      <c r="W159" s="65"/>
      <c r="X159" s="65"/>
      <c r="Y159" s="65"/>
      <c r="Z159" s="65"/>
      <c r="AA159" s="65"/>
      <c r="AB159" s="65"/>
    </row>
    <row r="160" spans="1:28" s="8" customFormat="1" ht="25.5" customHeight="1" x14ac:dyDescent="0.2">
      <c r="A160" s="65"/>
      <c r="C160" s="78"/>
      <c r="D160" s="14"/>
      <c r="E160" s="798" t="str">
        <f>Translations!$B$266</f>
        <v>In order to allow this template to automatically propose emission source categories, it is necessary to define first any emission sources for which measurement based methods are applied.</v>
      </c>
      <c r="F160" s="798"/>
      <c r="G160" s="798"/>
      <c r="H160" s="798"/>
      <c r="I160" s="798"/>
      <c r="J160" s="798"/>
      <c r="K160" s="798"/>
      <c r="L160" s="798"/>
      <c r="M160" s="798"/>
      <c r="N160" s="798"/>
      <c r="P160" s="349"/>
      <c r="Q160" s="349"/>
      <c r="R160" s="65"/>
      <c r="S160" s="65"/>
      <c r="T160" s="65"/>
      <c r="U160" s="65"/>
      <c r="V160" s="65"/>
      <c r="W160" s="65"/>
      <c r="X160" s="65"/>
      <c r="Y160" s="65"/>
      <c r="Z160" s="65"/>
      <c r="AA160" s="65"/>
      <c r="AB160" s="65"/>
    </row>
    <row r="161" spans="1:28" s="8" customFormat="1" ht="25.5" customHeight="1" x14ac:dyDescent="0.2">
      <c r="A161" s="65"/>
      <c r="C161" s="78"/>
      <c r="D161" s="14"/>
      <c r="E161" s="869" t="str">
        <f>Translations!$B$267</f>
        <v>Please list and describe here all measurements points at which GHGs are measured by continuous emission measuring systems (CEMS). This includes measurement points in pipeline systems used for the transfer of CO2 with the aim of geological storage of CO2.</v>
      </c>
      <c r="F161" s="869"/>
      <c r="G161" s="869"/>
      <c r="H161" s="869"/>
      <c r="I161" s="869"/>
      <c r="J161" s="869"/>
      <c r="K161" s="869"/>
      <c r="L161" s="869"/>
      <c r="M161" s="869"/>
      <c r="N161" s="869"/>
      <c r="P161" s="349"/>
      <c r="Q161" s="349"/>
      <c r="R161" s="65"/>
      <c r="S161" s="65"/>
      <c r="T161" s="65"/>
      <c r="U161" s="65"/>
      <c r="V161" s="65"/>
      <c r="W161" s="65"/>
      <c r="X161" s="65"/>
      <c r="Y161" s="65"/>
      <c r="Z161" s="65"/>
      <c r="AA161" s="65"/>
      <c r="AB161" s="65"/>
    </row>
    <row r="162" spans="1:28" s="8" customFormat="1" ht="12.75" customHeight="1" x14ac:dyDescent="0.2">
      <c r="A162" s="65"/>
      <c r="C162" s="78"/>
      <c r="D162" s="14"/>
      <c r="E162" s="869" t="str">
        <f>Translations!$B$268</f>
        <v>No entries are required if you have defined that no measurement based methods are used in section 6(a) above.</v>
      </c>
      <c r="F162" s="869"/>
      <c r="G162" s="869"/>
      <c r="H162" s="869"/>
      <c r="I162" s="869"/>
      <c r="J162" s="869"/>
      <c r="K162" s="869"/>
      <c r="L162" s="869"/>
      <c r="M162" s="869"/>
      <c r="N162" s="869"/>
      <c r="P162" s="349"/>
      <c r="Q162" s="349"/>
      <c r="R162" s="65"/>
      <c r="S162" s="65"/>
      <c r="T162" s="65"/>
      <c r="U162" s="65"/>
      <c r="V162" s="65"/>
      <c r="W162" s="65"/>
      <c r="X162" s="65"/>
      <c r="Y162" s="65"/>
      <c r="Z162" s="65"/>
      <c r="AA162" s="65"/>
      <c r="AB162" s="65"/>
    </row>
    <row r="163" spans="1:28" s="8" customFormat="1" ht="12.75" customHeight="1" x14ac:dyDescent="0.2">
      <c r="A163" s="65"/>
      <c r="C163" s="78"/>
      <c r="D163" s="14"/>
      <c r="E163" s="869" t="str">
        <f>Translations!$B$269</f>
        <v>For each measurement point, please also enter an estimate for the respective annual emissions. This information is required for determining the applicable tier.</v>
      </c>
      <c r="F163" s="869"/>
      <c r="G163" s="869"/>
      <c r="H163" s="869"/>
      <c r="I163" s="869"/>
      <c r="J163" s="869"/>
      <c r="K163" s="869"/>
      <c r="L163" s="869"/>
      <c r="M163" s="869"/>
      <c r="N163" s="869"/>
      <c r="P163" s="349"/>
      <c r="Q163" s="349"/>
      <c r="R163" s="65"/>
      <c r="S163" s="65"/>
      <c r="T163" s="65"/>
      <c r="U163" s="65"/>
      <c r="V163" s="65"/>
      <c r="W163" s="65"/>
      <c r="X163" s="65"/>
      <c r="Y163" s="65"/>
      <c r="Z163" s="65"/>
      <c r="AA163" s="65"/>
      <c r="AB163" s="65"/>
    </row>
    <row r="164" spans="1:28" s="8" customFormat="1" ht="25.5" customHeight="1" x14ac:dyDescent="0.2">
      <c r="A164" s="65"/>
      <c r="C164" s="78"/>
      <c r="D164" s="14"/>
      <c r="E164" s="869" t="str">
        <f>Translations!B1273</f>
        <v>Pursuant to Article 19(4) a lower tier requirement may be allowed for each emission source which emits less than 5 000 tonnes of CO2(e) per year, or which contributes less than 10% of the total annual emissions of the installation, up to a maximum of 100 000 to CO2(e) per year, whichever is higher in terms of absolute emissions ("minor" emission source).</v>
      </c>
      <c r="F164" s="869"/>
      <c r="G164" s="869"/>
      <c r="H164" s="869"/>
      <c r="I164" s="869"/>
      <c r="J164" s="869"/>
      <c r="K164" s="869"/>
      <c r="L164" s="869"/>
      <c r="M164" s="869"/>
      <c r="N164" s="869"/>
      <c r="P164" s="349"/>
      <c r="Q164" s="349"/>
      <c r="R164" s="65"/>
      <c r="S164" s="65"/>
      <c r="T164" s="65"/>
      <c r="U164" s="65"/>
      <c r="V164" s="65"/>
      <c r="W164" s="65"/>
      <c r="X164" s="65"/>
      <c r="Y164" s="65"/>
      <c r="Z164" s="65"/>
      <c r="AA164" s="65"/>
      <c r="AB164" s="65"/>
    </row>
    <row r="165" spans="1:28" s="8" customFormat="1" ht="12.75" customHeight="1" x14ac:dyDescent="0.2">
      <c r="A165" s="65"/>
      <c r="C165" s="78"/>
      <c r="D165" s="14"/>
      <c r="E165" s="869" t="str">
        <f>Translations!$B$271</f>
        <v>All other emission sources will be categorised as "major" emission source.</v>
      </c>
      <c r="F165" s="869"/>
      <c r="G165" s="869"/>
      <c r="H165" s="869"/>
      <c r="I165" s="869"/>
      <c r="J165" s="869"/>
      <c r="K165" s="869"/>
      <c r="L165" s="869"/>
      <c r="M165" s="869"/>
      <c r="N165" s="869"/>
      <c r="P165" s="349"/>
      <c r="Q165" s="349"/>
      <c r="R165" s="65"/>
      <c r="S165" s="65"/>
      <c r="T165" s="65"/>
      <c r="U165" s="65"/>
      <c r="V165" s="65"/>
      <c r="W165" s="65"/>
      <c r="X165" s="65"/>
      <c r="Y165" s="65"/>
      <c r="Z165" s="65"/>
      <c r="AA165" s="65"/>
      <c r="AB165" s="65"/>
    </row>
    <row r="166" spans="1:28" s="8" customFormat="1" ht="12.75" customHeight="1" x14ac:dyDescent="0.2">
      <c r="A166" s="65"/>
      <c r="C166" s="78"/>
      <c r="D166" s="14"/>
      <c r="E166" s="869" t="str">
        <f>Translations!$B$272</f>
        <v xml:space="preserve">Those estimated emissions are also relevant to categorise the calculated-based source streams under point (f) below, if calculation based approaches are applied. </v>
      </c>
      <c r="F166" s="869"/>
      <c r="G166" s="869"/>
      <c r="H166" s="869"/>
      <c r="I166" s="869"/>
      <c r="J166" s="869"/>
      <c r="K166" s="869"/>
      <c r="L166" s="869"/>
      <c r="M166" s="869"/>
      <c r="N166" s="869"/>
      <c r="P166" s="349"/>
      <c r="Q166" s="349"/>
      <c r="R166" s="65"/>
      <c r="S166" s="65"/>
      <c r="T166" s="65"/>
      <c r="U166" s="65"/>
      <c r="V166" s="65"/>
      <c r="W166" s="65"/>
      <c r="X166" s="65"/>
      <c r="Y166" s="65"/>
      <c r="Z166" s="65"/>
      <c r="AA166" s="65"/>
      <c r="AB166" s="65"/>
    </row>
    <row r="167" spans="1:28" s="8" customFormat="1" ht="12.75" customHeight="1" x14ac:dyDescent="0.2">
      <c r="A167" s="65"/>
      <c r="C167" s="78"/>
      <c r="D167" s="14"/>
      <c r="E167" s="798" t="str">
        <f>Translations!$B$135</f>
        <v>For showing/hiding examples, press the "Examples" button in the navigation area.</v>
      </c>
      <c r="F167" s="917"/>
      <c r="G167" s="917"/>
      <c r="H167" s="917"/>
      <c r="I167" s="917"/>
      <c r="J167" s="917"/>
      <c r="K167" s="917"/>
      <c r="L167" s="917"/>
      <c r="M167" s="917"/>
      <c r="N167" s="917"/>
      <c r="P167" s="65"/>
      <c r="Q167" s="65"/>
      <c r="R167" s="65"/>
      <c r="S167" s="65"/>
      <c r="T167" s="65"/>
      <c r="U167" s="65"/>
      <c r="V167" s="65"/>
      <c r="W167" s="65"/>
      <c r="X167" s="65"/>
      <c r="Y167" s="65"/>
      <c r="Z167" s="65"/>
      <c r="AA167" s="65"/>
      <c r="AB167" s="65"/>
    </row>
    <row r="168" spans="1:28" s="8" customFormat="1" ht="5.0999999999999996" customHeight="1" x14ac:dyDescent="0.2">
      <c r="A168" s="65"/>
      <c r="C168" s="78"/>
      <c r="D168" s="14"/>
      <c r="E168" s="346"/>
      <c r="M168" s="334"/>
      <c r="P168" s="373"/>
      <c r="Q168" s="65"/>
      <c r="R168" s="65"/>
      <c r="S168" s="65"/>
      <c r="T168" s="65"/>
      <c r="U168" s="369"/>
      <c r="V168" s="65"/>
      <c r="W168" s="65"/>
      <c r="X168" s="65"/>
      <c r="Y168" s="65"/>
      <c r="Z168" s="65"/>
      <c r="AA168" s="65"/>
      <c r="AB168" s="65"/>
    </row>
    <row r="169" spans="1:28" s="8" customFormat="1" ht="33.75" x14ac:dyDescent="0.2">
      <c r="A169" s="65"/>
      <c r="C169" s="78"/>
      <c r="D169" s="14"/>
      <c r="E169" s="407" t="str">
        <f>Translations!$B$273</f>
        <v>measurement point ref. M1, M2,...</v>
      </c>
      <c r="F169" s="891" t="str">
        <f>Translations!$B$274</f>
        <v>Description</v>
      </c>
      <c r="G169" s="910"/>
      <c r="H169" s="910"/>
      <c r="I169" s="910"/>
      <c r="J169" s="887"/>
      <c r="K169" s="86" t="str">
        <f>Translations!$B$275</f>
        <v>Emission point ref.</v>
      </c>
      <c r="L169" s="86" t="str">
        <f>Translations!$B$276</f>
        <v>Estimated emissions [t CO2e / year]</v>
      </c>
      <c r="M169" s="86" t="str">
        <f>Translations!$B$277</f>
        <v>Possible category</v>
      </c>
      <c r="N169" s="86" t="str">
        <f>Translations!$B$278</f>
        <v>GHG measured</v>
      </c>
      <c r="P169" s="374"/>
      <c r="Q169" s="65"/>
      <c r="R169" s="65"/>
      <c r="S169" s="65"/>
      <c r="T169" s="65"/>
      <c r="U169" s="369"/>
      <c r="V169" s="65"/>
      <c r="W169" s="52" t="s">
        <v>1274</v>
      </c>
      <c r="X169" s="65"/>
      <c r="Y169" s="52" t="s">
        <v>881</v>
      </c>
      <c r="Z169" s="65"/>
      <c r="AA169" s="65"/>
      <c r="AB169" s="12" t="s">
        <v>727</v>
      </c>
    </row>
    <row r="170" spans="1:28" s="8" customFormat="1" ht="13.5" thickBot="1" x14ac:dyDescent="0.25">
      <c r="A170" s="12" t="s">
        <v>1373</v>
      </c>
      <c r="C170" s="78"/>
      <c r="D170" s="14"/>
      <c r="E170" s="212" t="s">
        <v>249</v>
      </c>
      <c r="F170" s="911" t="str">
        <f>Translations!$B$279</f>
        <v>Stack of coal fired boiler, measurement platform A</v>
      </c>
      <c r="G170" s="912"/>
      <c r="H170" s="912"/>
      <c r="I170" s="912"/>
      <c r="J170" s="913"/>
      <c r="K170" s="230" t="s">
        <v>247</v>
      </c>
      <c r="L170" s="231">
        <v>150000</v>
      </c>
      <c r="M170" s="212" t="str">
        <f t="shared" ref="M170:M176" si="11">IF(ISBLANK(L170),"",IF(L170&lt;$Y$171,INDEX(SourceCategoryCEMS,2),INDEX(SourceCategoryCEMS,1)))</f>
        <v>Major</v>
      </c>
      <c r="N170" s="230" t="s">
        <v>1588</v>
      </c>
      <c r="P170" s="374"/>
      <c r="Q170" s="65"/>
      <c r="R170" s="65"/>
      <c r="S170" s="65"/>
      <c r="T170" s="65"/>
      <c r="U170" s="369"/>
      <c r="V170" s="65"/>
      <c r="W170" s="52"/>
      <c r="X170" s="65"/>
      <c r="Y170" s="52"/>
      <c r="Z170" s="65"/>
      <c r="AA170" s="65"/>
      <c r="AB170" s="12"/>
    </row>
    <row r="171" spans="1:28" s="8" customFormat="1" ht="12.75" customHeight="1" x14ac:dyDescent="0.2">
      <c r="A171" s="65"/>
      <c r="C171" s="78"/>
      <c r="D171" s="14"/>
      <c r="E171" s="85" t="s">
        <v>1267</v>
      </c>
      <c r="F171" s="907"/>
      <c r="G171" s="907"/>
      <c r="H171" s="907"/>
      <c r="I171" s="907"/>
      <c r="J171" s="908"/>
      <c r="K171" s="210"/>
      <c r="L171" s="201"/>
      <c r="M171" s="87" t="str">
        <f t="shared" si="11"/>
        <v/>
      </c>
      <c r="N171" s="198"/>
      <c r="P171" s="374"/>
      <c r="Q171" s="39" t="str">
        <f t="shared" ref="Q171:Q176" si="12">EUconst_CNTR_SourceCategory&amp;E171</f>
        <v>SourceCategory_M1</v>
      </c>
      <c r="R171" s="39" t="str">
        <f t="shared" ref="R171:R176" si="13">EUconst_CNTR_SourceCategory&amp;M171</f>
        <v>SourceCategory_</v>
      </c>
      <c r="S171" s="65"/>
      <c r="T171" s="12"/>
      <c r="U171" s="369"/>
      <c r="V171" s="65"/>
      <c r="W171" s="356" t="str">
        <f t="shared" ref="W171:W176" si="14">IF(ISBLANK(L171),"",ABS(L171))</f>
        <v/>
      </c>
      <c r="X171" s="375" t="s">
        <v>1263</v>
      </c>
      <c r="Y171" s="353">
        <f>MAX(5000,MIN(0.1*$Y$242,100000))</f>
        <v>5000</v>
      </c>
      <c r="Z171" s="65"/>
      <c r="AA171" s="65"/>
      <c r="AB171" s="354" t="b">
        <f>L157=EUconst_NotRelevant</f>
        <v>0</v>
      </c>
    </row>
    <row r="172" spans="1:28" s="8" customFormat="1" ht="12.75" customHeight="1" x14ac:dyDescent="0.2">
      <c r="A172" s="65"/>
      <c r="C172" s="78"/>
      <c r="D172" s="14"/>
      <c r="E172" s="85" t="s">
        <v>1268</v>
      </c>
      <c r="F172" s="907"/>
      <c r="G172" s="907"/>
      <c r="H172" s="907"/>
      <c r="I172" s="907"/>
      <c r="J172" s="908"/>
      <c r="K172" s="210"/>
      <c r="L172" s="201"/>
      <c r="M172" s="87" t="str">
        <f t="shared" si="11"/>
        <v/>
      </c>
      <c r="N172" s="198"/>
      <c r="P172" s="374"/>
      <c r="Q172" s="39" t="str">
        <f t="shared" si="12"/>
        <v>SourceCategory_M2</v>
      </c>
      <c r="R172" s="39" t="str">
        <f t="shared" si="13"/>
        <v>SourceCategory_</v>
      </c>
      <c r="S172" s="65"/>
      <c r="T172" s="12"/>
      <c r="U172" s="369"/>
      <c r="V172" s="65"/>
      <c r="W172" s="358" t="str">
        <f t="shared" si="14"/>
        <v/>
      </c>
      <c r="X172" s="65"/>
      <c r="Y172" s="65"/>
      <c r="Z172" s="65"/>
      <c r="AA172" s="65"/>
      <c r="AB172" s="354" t="b">
        <f>AB171</f>
        <v>0</v>
      </c>
    </row>
    <row r="173" spans="1:28" s="8" customFormat="1" ht="12.75" customHeight="1" x14ac:dyDescent="0.2">
      <c r="A173" s="65"/>
      <c r="C173" s="78"/>
      <c r="D173" s="14"/>
      <c r="E173" s="85" t="s">
        <v>567</v>
      </c>
      <c r="F173" s="907"/>
      <c r="G173" s="907"/>
      <c r="H173" s="907"/>
      <c r="I173" s="907"/>
      <c r="J173" s="908"/>
      <c r="K173" s="210"/>
      <c r="L173" s="201"/>
      <c r="M173" s="87" t="str">
        <f t="shared" si="11"/>
        <v/>
      </c>
      <c r="N173" s="198"/>
      <c r="P173" s="374"/>
      <c r="Q173" s="39" t="str">
        <f t="shared" si="12"/>
        <v>SourceCategory_M3</v>
      </c>
      <c r="R173" s="39" t="str">
        <f t="shared" si="13"/>
        <v>SourceCategory_</v>
      </c>
      <c r="S173" s="65"/>
      <c r="T173" s="12"/>
      <c r="U173" s="369"/>
      <c r="V173" s="65"/>
      <c r="W173" s="358" t="str">
        <f t="shared" si="14"/>
        <v/>
      </c>
      <c r="X173" s="65"/>
      <c r="Y173" s="65"/>
      <c r="Z173" s="65"/>
      <c r="AA173" s="65"/>
      <c r="AB173" s="354" t="b">
        <f>AB172</f>
        <v>0</v>
      </c>
    </row>
    <row r="174" spans="1:28" s="8" customFormat="1" ht="12.75" customHeight="1" x14ac:dyDescent="0.2">
      <c r="A174" s="65"/>
      <c r="C174" s="78"/>
      <c r="D174" s="14"/>
      <c r="E174" s="85" t="s">
        <v>568</v>
      </c>
      <c r="F174" s="907"/>
      <c r="G174" s="907"/>
      <c r="H174" s="907"/>
      <c r="I174" s="907"/>
      <c r="J174" s="908"/>
      <c r="K174" s="210"/>
      <c r="L174" s="201"/>
      <c r="M174" s="87" t="str">
        <f t="shared" si="11"/>
        <v/>
      </c>
      <c r="N174" s="198"/>
      <c r="P174" s="374"/>
      <c r="Q174" s="39" t="str">
        <f t="shared" si="12"/>
        <v>SourceCategory_M4</v>
      </c>
      <c r="R174" s="39" t="str">
        <f t="shared" si="13"/>
        <v>SourceCategory_</v>
      </c>
      <c r="S174" s="65"/>
      <c r="T174" s="12"/>
      <c r="U174" s="369"/>
      <c r="V174" s="65"/>
      <c r="W174" s="358" t="str">
        <f t="shared" si="14"/>
        <v/>
      </c>
      <c r="X174" s="65"/>
      <c r="Y174" s="65"/>
      <c r="Z174" s="65"/>
      <c r="AA174" s="65"/>
      <c r="AB174" s="354" t="b">
        <f>AB173</f>
        <v>0</v>
      </c>
    </row>
    <row r="175" spans="1:28" s="8" customFormat="1" ht="12.75" customHeight="1" x14ac:dyDescent="0.2">
      <c r="A175" s="65"/>
      <c r="C175" s="78"/>
      <c r="D175" s="14"/>
      <c r="E175" s="85" t="s">
        <v>569</v>
      </c>
      <c r="F175" s="907"/>
      <c r="G175" s="907"/>
      <c r="H175" s="907"/>
      <c r="I175" s="907"/>
      <c r="J175" s="908"/>
      <c r="K175" s="210"/>
      <c r="L175" s="201"/>
      <c r="M175" s="87" t="str">
        <f t="shared" si="11"/>
        <v/>
      </c>
      <c r="N175" s="198"/>
      <c r="P175" s="374"/>
      <c r="Q175" s="39" t="str">
        <f t="shared" si="12"/>
        <v>SourceCategory_M5</v>
      </c>
      <c r="R175" s="39" t="str">
        <f t="shared" si="13"/>
        <v>SourceCategory_</v>
      </c>
      <c r="S175" s="65"/>
      <c r="T175" s="12"/>
      <c r="U175" s="369"/>
      <c r="V175" s="65"/>
      <c r="W175" s="358" t="str">
        <f t="shared" si="14"/>
        <v/>
      </c>
      <c r="X175" s="65"/>
      <c r="Y175" s="65"/>
      <c r="Z175" s="65"/>
      <c r="AA175" s="65"/>
      <c r="AB175" s="354" t="b">
        <f>AB174</f>
        <v>0</v>
      </c>
    </row>
    <row r="176" spans="1:28" s="8" customFormat="1" ht="12.75" hidden="1" customHeight="1" x14ac:dyDescent="0.2">
      <c r="A176" s="12" t="s">
        <v>1090</v>
      </c>
      <c r="C176" s="78"/>
      <c r="D176" s="14"/>
      <c r="E176" s="85"/>
      <c r="F176" s="907"/>
      <c r="G176" s="907"/>
      <c r="H176" s="907"/>
      <c r="I176" s="907"/>
      <c r="J176" s="908"/>
      <c r="K176" s="210"/>
      <c r="L176" s="201"/>
      <c r="M176" s="87" t="str">
        <f t="shared" si="11"/>
        <v/>
      </c>
      <c r="N176" s="198"/>
      <c r="P176" s="374"/>
      <c r="Q176" s="39" t="str">
        <f t="shared" si="12"/>
        <v>SourceCategory_</v>
      </c>
      <c r="R176" s="39" t="str">
        <f t="shared" si="13"/>
        <v>SourceCategory_</v>
      </c>
      <c r="S176" s="65"/>
      <c r="T176" s="12"/>
      <c r="U176" s="369"/>
      <c r="V176" s="65"/>
      <c r="W176" s="358" t="str">
        <f t="shared" si="14"/>
        <v/>
      </c>
      <c r="X176" s="65"/>
      <c r="Y176" s="65"/>
      <c r="Z176" s="65"/>
      <c r="AA176" s="65"/>
      <c r="AB176" s="354" t="b">
        <f>AB175</f>
        <v>0</v>
      </c>
    </row>
    <row r="177" spans="1:28" s="8" customFormat="1" ht="12.75" customHeight="1" x14ac:dyDescent="0.2">
      <c r="A177" s="12" t="s">
        <v>1384</v>
      </c>
      <c r="C177" s="78"/>
      <c r="D177" s="14"/>
      <c r="P177" s="65"/>
      <c r="Q177" s="65"/>
      <c r="R177" s="65"/>
      <c r="S177" s="65"/>
      <c r="T177" s="65"/>
      <c r="U177" s="369"/>
      <c r="V177" s="65"/>
      <c r="W177" s="376"/>
      <c r="X177" s="65"/>
      <c r="Y177" s="65"/>
      <c r="Z177" s="65"/>
      <c r="AA177" s="65"/>
      <c r="AB177" s="65"/>
    </row>
    <row r="178" spans="1:28" s="8" customFormat="1" ht="5.0999999999999996" customHeight="1" x14ac:dyDescent="0.2">
      <c r="A178" s="12"/>
      <c r="C178" s="78"/>
      <c r="D178" s="14"/>
      <c r="G178" s="794" t="str">
        <f>Translations!$B$280</f>
        <v>Click "+" to add more measurement points</v>
      </c>
      <c r="H178" s="794"/>
      <c r="I178" s="794"/>
      <c r="J178" s="794"/>
      <c r="K178" s="909"/>
      <c r="M178" s="334"/>
      <c r="P178" s="65"/>
      <c r="Q178" s="65"/>
      <c r="R178" s="65"/>
      <c r="S178" s="65"/>
      <c r="T178" s="65"/>
      <c r="U178" s="369"/>
      <c r="V178" s="65"/>
      <c r="W178" s="376"/>
      <c r="X178" s="65"/>
      <c r="Y178" s="65"/>
      <c r="Z178" s="65"/>
      <c r="AA178" s="65"/>
      <c r="AB178" s="65"/>
    </row>
    <row r="179" spans="1:28" s="8" customFormat="1" ht="12.75" customHeight="1" x14ac:dyDescent="0.2">
      <c r="A179" s="12"/>
      <c r="C179" s="78"/>
      <c r="D179" s="14"/>
      <c r="G179" s="794"/>
      <c r="H179" s="794"/>
      <c r="I179" s="794"/>
      <c r="J179" s="794"/>
      <c r="K179" s="909"/>
      <c r="M179" s="334"/>
      <c r="P179" s="65"/>
      <c r="Q179" s="65"/>
      <c r="R179" s="65"/>
      <c r="S179" s="65"/>
      <c r="T179" s="65"/>
      <c r="U179" s="369"/>
      <c r="V179" s="65"/>
      <c r="W179" s="376"/>
      <c r="X179" s="65"/>
      <c r="Y179" s="65"/>
      <c r="Z179" s="65"/>
      <c r="AA179" s="65"/>
      <c r="AB179" s="65"/>
    </row>
    <row r="180" spans="1:28" s="8" customFormat="1" ht="5.0999999999999996" customHeight="1" x14ac:dyDescent="0.2">
      <c r="A180" s="12"/>
      <c r="C180" s="78"/>
      <c r="D180" s="14"/>
      <c r="G180" s="794"/>
      <c r="H180" s="794"/>
      <c r="I180" s="794"/>
      <c r="J180" s="794"/>
      <c r="K180" s="909"/>
      <c r="M180" s="334"/>
      <c r="P180" s="65"/>
      <c r="Q180" s="65"/>
      <c r="R180" s="65"/>
      <c r="S180" s="65"/>
      <c r="T180" s="65"/>
      <c r="U180" s="369"/>
      <c r="V180" s="65"/>
      <c r="W180" s="376"/>
      <c r="X180" s="65"/>
      <c r="Y180" s="65"/>
      <c r="Z180" s="65"/>
      <c r="AA180" s="65"/>
      <c r="AB180" s="65"/>
    </row>
    <row r="181" spans="1:28" s="8" customFormat="1" ht="12.75" customHeight="1" x14ac:dyDescent="0.2">
      <c r="A181" s="65"/>
      <c r="C181" s="78"/>
      <c r="D181" s="14"/>
      <c r="P181" s="65"/>
      <c r="Q181" s="65"/>
      <c r="R181" s="65"/>
      <c r="S181" s="65"/>
      <c r="T181" s="65"/>
      <c r="U181" s="369"/>
      <c r="V181" s="65"/>
      <c r="W181" s="376"/>
      <c r="X181" s="65"/>
      <c r="Y181" s="65"/>
      <c r="Z181" s="65"/>
      <c r="AA181" s="65"/>
      <c r="AB181" s="65"/>
    </row>
    <row r="182" spans="1:28" s="34" customFormat="1" ht="12.75" customHeight="1" x14ac:dyDescent="0.2">
      <c r="A182" s="248"/>
      <c r="C182" s="336"/>
      <c r="D182" s="98" t="s">
        <v>1023</v>
      </c>
      <c r="E182" s="717" t="str">
        <f>Translations!$B$281</f>
        <v>Relevant source streams:</v>
      </c>
      <c r="F182" s="732"/>
      <c r="G182" s="732"/>
      <c r="H182" s="732"/>
      <c r="I182" s="732"/>
      <c r="J182" s="732"/>
      <c r="K182" s="878"/>
      <c r="L182" s="914" t="str">
        <f>IF(OR(CNTR_InstHasCalculation=TRUE,CNTR_InstHasPFC=TRUE),EUconst_Relevant,IF(COUNTA(CNTR_ListRelevantSections)&gt;0,EUconst_NotRelevant,EUconst_Relevant))</f>
        <v>relevant</v>
      </c>
      <c r="M182" s="915"/>
      <c r="N182" s="916"/>
      <c r="O182" s="8"/>
      <c r="P182" s="371"/>
      <c r="Q182" s="366"/>
      <c r="R182" s="248"/>
      <c r="S182" s="248"/>
      <c r="T182" s="248"/>
      <c r="U182" s="248"/>
      <c r="V182" s="248"/>
      <c r="W182" s="377"/>
      <c r="X182" s="248"/>
      <c r="Y182" s="248"/>
      <c r="Z182" s="248"/>
      <c r="AA182" s="248"/>
      <c r="AB182" s="248"/>
    </row>
    <row r="183" spans="1:28" s="34" customFormat="1" ht="12.75" customHeight="1" x14ac:dyDescent="0.2">
      <c r="A183" s="248"/>
      <c r="C183" s="336"/>
      <c r="D183" s="98"/>
      <c r="E183" s="98"/>
      <c r="F183" s="99"/>
      <c r="G183" s="99"/>
      <c r="H183" s="99"/>
      <c r="I183" s="99"/>
      <c r="J183" s="414"/>
      <c r="K183" s="918" t="str">
        <f>IF(L182=EUconst_NotRelevant,HYPERLINK(R183,EUconst_MsgGoOn),HYPERLINK("",EUconst_MsgEnterThisSection))</f>
        <v>Please enter data in this section</v>
      </c>
      <c r="L183" s="918"/>
      <c r="M183" s="918"/>
      <c r="N183" s="918"/>
      <c r="O183" s="8"/>
      <c r="P183" s="366"/>
      <c r="Q183" s="6" t="s">
        <v>1101</v>
      </c>
      <c r="R183" s="372" t="str">
        <f>"#"&amp;ADDRESS(ROW(D244),COLUMN(D244))</f>
        <v>#$D$244</v>
      </c>
      <c r="S183" s="248"/>
      <c r="T183" s="248"/>
      <c r="U183" s="248"/>
      <c r="V183" s="248"/>
      <c r="W183" s="377"/>
      <c r="X183" s="248"/>
      <c r="Y183" s="248"/>
      <c r="Z183" s="248"/>
      <c r="AA183" s="248"/>
      <c r="AB183" s="248"/>
    </row>
    <row r="184" spans="1:28" s="8" customFormat="1" ht="38.25" customHeight="1" x14ac:dyDescent="0.2">
      <c r="A184" s="65"/>
      <c r="C184" s="78"/>
      <c r="D184" s="14"/>
      <c r="E184" s="869" t="str">
        <f>Translations!$B$282</f>
        <v>Please list here all source streams (fuels, materials, products,…) which are to be monitored at your installation using calculation based approaches (i.e. standard methodology or mass balance). For definition of the term "source stream" please see guidance document No. 1 ("General guidance for installations"). For definition of source streams for PFC, please see point 14(c) in sheet "I_PFC".</v>
      </c>
      <c r="F184" s="869"/>
      <c r="G184" s="869"/>
      <c r="H184" s="869"/>
      <c r="I184" s="869"/>
      <c r="J184" s="869"/>
      <c r="K184" s="869"/>
      <c r="L184" s="869"/>
      <c r="M184" s="869"/>
      <c r="N184" s="869"/>
      <c r="P184" s="349"/>
      <c r="Q184" s="349"/>
      <c r="R184" s="65"/>
      <c r="S184" s="65"/>
      <c r="T184" s="65"/>
      <c r="U184" s="65"/>
      <c r="V184" s="65"/>
      <c r="W184" s="376"/>
      <c r="X184" s="65"/>
      <c r="Y184" s="65"/>
      <c r="Z184" s="65"/>
      <c r="AA184" s="65"/>
      <c r="AB184" s="65"/>
    </row>
    <row r="185" spans="1:28" s="8" customFormat="1" ht="12.75" customHeight="1" x14ac:dyDescent="0.2">
      <c r="A185" s="65"/>
      <c r="C185" s="78"/>
      <c r="D185" s="14"/>
      <c r="E185" s="898" t="str">
        <f>Translations!$B$283</f>
        <v>The source streams may be named like e.g. "natural gas", "heavy fuel oil", "cement raw meal",..</v>
      </c>
      <c r="F185" s="898"/>
      <c r="G185" s="898"/>
      <c r="H185" s="898"/>
      <c r="I185" s="898"/>
      <c r="J185" s="898"/>
      <c r="K185" s="898"/>
      <c r="L185" s="898"/>
      <c r="M185" s="898"/>
      <c r="N185" s="898"/>
      <c r="P185" s="349"/>
      <c r="Q185" s="349"/>
      <c r="R185" s="65"/>
      <c r="S185" s="65"/>
      <c r="T185" s="65"/>
      <c r="U185" s="65"/>
      <c r="V185" s="65"/>
      <c r="W185" s="376"/>
      <c r="X185" s="65"/>
      <c r="Y185" s="65"/>
      <c r="Z185" s="65"/>
      <c r="AA185" s="65"/>
      <c r="AB185" s="65"/>
    </row>
    <row r="186" spans="1:28" s="8" customFormat="1" ht="12.75" customHeight="1" x14ac:dyDescent="0.2">
      <c r="A186" s="65"/>
      <c r="C186" s="78"/>
      <c r="D186" s="14"/>
      <c r="E186" s="869" t="str">
        <f>Translations!$B$284</f>
        <v>The source stream type is to be understood as a set of rules to be used according to the MRR. This classification is the basis for further obligations, e.g. tiers to be applied.</v>
      </c>
      <c r="F186" s="869"/>
      <c r="G186" s="869"/>
      <c r="H186" s="869"/>
      <c r="I186" s="869"/>
      <c r="J186" s="869"/>
      <c r="K186" s="869"/>
      <c r="L186" s="869"/>
      <c r="M186" s="869"/>
      <c r="N186" s="869"/>
      <c r="P186" s="349"/>
      <c r="Q186" s="349"/>
      <c r="R186" s="65"/>
      <c r="S186" s="65"/>
      <c r="T186" s="65"/>
      <c r="U186" s="65"/>
      <c r="V186" s="65"/>
      <c r="W186" s="376"/>
      <c r="X186" s="65"/>
      <c r="Y186" s="65"/>
      <c r="Z186" s="65"/>
      <c r="AA186" s="65"/>
      <c r="AB186" s="65"/>
    </row>
    <row r="187" spans="1:28" s="8" customFormat="1" ht="25.5" customHeight="1" x14ac:dyDescent="0.2">
      <c r="A187" s="65"/>
      <c r="C187" s="78"/>
      <c r="D187" s="14"/>
      <c r="E187" s="869" t="str">
        <f>Translations!$B$285</f>
        <v>The drop-down list for selection of the Source stream type is based upon the activities selected in section 5(c) above. The entry there is required for determining the applicable minimum tier in sheet "E_SourceStreams".</v>
      </c>
      <c r="F187" s="869"/>
      <c r="G187" s="869"/>
      <c r="H187" s="869"/>
      <c r="I187" s="869"/>
      <c r="J187" s="869"/>
      <c r="K187" s="869"/>
      <c r="L187" s="869"/>
      <c r="M187" s="869"/>
      <c r="N187" s="869"/>
      <c r="P187" s="349"/>
      <c r="Q187" s="349"/>
      <c r="R187" s="65"/>
      <c r="S187" s="65"/>
      <c r="T187" s="65"/>
      <c r="U187" s="65"/>
      <c r="V187" s="65"/>
      <c r="W187" s="376"/>
      <c r="X187" s="65"/>
      <c r="Y187" s="65"/>
      <c r="Z187" s="65"/>
      <c r="AA187" s="65"/>
      <c r="AB187" s="65"/>
    </row>
    <row r="188" spans="1:28" s="8" customFormat="1" ht="25.5" customHeight="1" x14ac:dyDescent="0.2">
      <c r="A188" s="65"/>
      <c r="C188" s="78"/>
      <c r="D188" s="14"/>
      <c r="E188" s="869" t="str">
        <f>Translations!$B$286</f>
        <v>For allowing the competent authority to fully understand the functioning of your installation, please select from the respective drop-down lists the Annex I activities, the emission sources and the emission points, which correspond which each source stream. If more than one activity or emission source in concerned, please enter e.g. "A1, A2".</v>
      </c>
      <c r="F188" s="869"/>
      <c r="G188" s="869"/>
      <c r="H188" s="869"/>
      <c r="I188" s="869"/>
      <c r="J188" s="869"/>
      <c r="K188" s="869"/>
      <c r="L188" s="869"/>
      <c r="M188" s="869"/>
      <c r="N188" s="869"/>
      <c r="P188" s="349"/>
      <c r="Q188" s="349"/>
      <c r="R188" s="65"/>
      <c r="S188" s="65"/>
      <c r="T188" s="65"/>
      <c r="U188" s="65"/>
      <c r="V188" s="65"/>
      <c r="W188" s="376"/>
      <c r="X188" s="65"/>
      <c r="Y188" s="65"/>
      <c r="Z188" s="65"/>
      <c r="AA188" s="65"/>
      <c r="AB188" s="65"/>
    </row>
    <row r="189" spans="1:28" s="8" customFormat="1" ht="12.75" customHeight="1" x14ac:dyDescent="0.2">
      <c r="A189" s="65"/>
      <c r="C189" s="78"/>
      <c r="D189" s="14"/>
      <c r="E189" s="798" t="str">
        <f>Translations!$B$135</f>
        <v>For showing/hiding examples, press the "Examples" button in the navigation area.</v>
      </c>
      <c r="F189" s="917"/>
      <c r="G189" s="917"/>
      <c r="H189" s="917"/>
      <c r="I189" s="917"/>
      <c r="J189" s="917"/>
      <c r="K189" s="917"/>
      <c r="L189" s="917"/>
      <c r="M189" s="917"/>
      <c r="N189" s="917"/>
      <c r="P189" s="65"/>
      <c r="Q189" s="65"/>
      <c r="R189" s="65"/>
      <c r="S189" s="65"/>
      <c r="T189" s="65"/>
      <c r="U189" s="65"/>
      <c r="V189" s="65"/>
      <c r="W189" s="376"/>
      <c r="X189" s="65"/>
      <c r="Y189" s="65"/>
      <c r="Z189" s="65"/>
      <c r="AA189" s="65"/>
      <c r="AB189" s="65"/>
    </row>
    <row r="190" spans="1:28" s="8" customFormat="1" ht="5.0999999999999996" customHeight="1" x14ac:dyDescent="0.2">
      <c r="A190" s="65"/>
      <c r="C190" s="78"/>
      <c r="D190" s="14"/>
      <c r="G190" s="346"/>
      <c r="P190" s="65"/>
      <c r="Q190" s="65"/>
      <c r="R190" s="65"/>
      <c r="S190" s="65"/>
      <c r="T190" s="65"/>
      <c r="U190" s="65"/>
      <c r="V190" s="65"/>
      <c r="W190" s="376"/>
      <c r="X190" s="65"/>
      <c r="Y190" s="65"/>
      <c r="Z190" s="65"/>
      <c r="AA190" s="65"/>
      <c r="AB190" s="65"/>
    </row>
    <row r="191" spans="1:28" s="8" customFormat="1" ht="36.6" customHeight="1" x14ac:dyDescent="0.2">
      <c r="A191" s="65"/>
      <c r="C191" s="78"/>
      <c r="D191" s="14"/>
      <c r="E191" s="344" t="str">
        <f>Translations!$B$287</f>
        <v>Source Stream ref. F1, F2,...</v>
      </c>
      <c r="F191" s="891" t="str">
        <f>Translations!$B$288</f>
        <v>Source stream Name</v>
      </c>
      <c r="G191" s="929"/>
      <c r="H191" s="887"/>
      <c r="I191" s="926" t="str">
        <f>Translations!$B$289</f>
        <v>Source stream type</v>
      </c>
      <c r="J191" s="927"/>
      <c r="K191" s="927"/>
      <c r="L191" s="86" t="str">
        <f>Translations!$B$250</f>
        <v>Activity Ref.</v>
      </c>
      <c r="M191" s="86" t="str">
        <f>Translations!$B$261</f>
        <v>Emission source ref.</v>
      </c>
      <c r="N191" s="86" t="str">
        <f>Translations!$B$275</f>
        <v>Emission point ref.</v>
      </c>
      <c r="P191" s="65"/>
      <c r="Q191" s="65"/>
      <c r="R191" s="65"/>
      <c r="S191" s="65"/>
      <c r="T191" s="65"/>
      <c r="U191" s="65"/>
      <c r="V191" s="65"/>
      <c r="W191" s="376"/>
      <c r="X191" s="65"/>
      <c r="Y191" s="65"/>
      <c r="Z191" s="65"/>
      <c r="AA191" s="65"/>
      <c r="AB191" s="65"/>
    </row>
    <row r="192" spans="1:28" s="8" customFormat="1" ht="12.75" customHeight="1" x14ac:dyDescent="0.2">
      <c r="A192" s="12" t="s">
        <v>1373</v>
      </c>
      <c r="C192" s="78"/>
      <c r="D192" s="14"/>
      <c r="E192" s="212" t="s">
        <v>252</v>
      </c>
      <c r="F192" s="873" t="str">
        <f>Translations!$B$290</f>
        <v>Raw meal</v>
      </c>
      <c r="G192" s="873"/>
      <c r="H192" s="874"/>
      <c r="I192" s="875" t="str">
        <f>Translations!$B$291</f>
        <v>Cement clinker: Kiln input based (Method A)</v>
      </c>
      <c r="J192" s="876"/>
      <c r="K192" s="877"/>
      <c r="L192" s="230" t="str">
        <f>Translations!$B$292</f>
        <v>A1: Production of cement clinker</v>
      </c>
      <c r="M192" s="230" t="str">
        <f>Translations!$B$293</f>
        <v>S1: Cement clinker kiln (decarbonatisation of raw meal, combustion of fuels)</v>
      </c>
      <c r="N192" s="230" t="str">
        <f>Translations!$B$294</f>
        <v>EP2: Stack 2 (cement kiln)</v>
      </c>
      <c r="P192" s="65"/>
      <c r="Q192" s="65"/>
      <c r="R192" s="65"/>
      <c r="S192" s="65"/>
      <c r="T192" s="65"/>
      <c r="U192" s="65"/>
      <c r="V192" s="65"/>
      <c r="W192" s="376"/>
      <c r="X192" s="65"/>
      <c r="Y192" s="65"/>
      <c r="Z192" s="65"/>
      <c r="AA192" s="65"/>
      <c r="AB192" s="65"/>
    </row>
    <row r="193" spans="1:28" s="8" customFormat="1" ht="12.75" customHeight="1" x14ac:dyDescent="0.2">
      <c r="A193" s="12" t="s">
        <v>1373</v>
      </c>
      <c r="C193" s="78"/>
      <c r="D193" s="14"/>
      <c r="E193" s="212" t="s">
        <v>253</v>
      </c>
      <c r="F193" s="873" t="str">
        <f>Translations!$B$295</f>
        <v>Heavy fuel oil</v>
      </c>
      <c r="G193" s="873"/>
      <c r="H193" s="874"/>
      <c r="I193" s="875" t="str">
        <f>Translations!$B$296</f>
        <v>Combustion: Other gaseous &amp; liquid fuels</v>
      </c>
      <c r="J193" s="876"/>
      <c r="K193" s="877"/>
      <c r="L193" s="230" t="str">
        <f>Translations!$B$292</f>
        <v>A1: Production of cement clinker</v>
      </c>
      <c r="M193" s="230" t="str">
        <f>Translations!$B$293</f>
        <v>S1: Cement clinker kiln (decarbonatisation of raw meal, combustion of fuels)</v>
      </c>
      <c r="N193" s="230" t="str">
        <f>Translations!$B$294</f>
        <v>EP2: Stack 2 (cement kiln)</v>
      </c>
      <c r="P193" s="65"/>
      <c r="Q193" s="65"/>
      <c r="R193" s="65"/>
      <c r="S193" s="65"/>
      <c r="T193" s="65"/>
      <c r="U193" s="65"/>
      <c r="V193" s="65"/>
      <c r="W193" s="376"/>
      <c r="X193" s="65"/>
      <c r="Y193" s="65"/>
      <c r="Z193" s="359" t="s">
        <v>278</v>
      </c>
      <c r="AA193" s="65"/>
      <c r="AB193" s="65"/>
    </row>
    <row r="194" spans="1:28" s="8" customFormat="1" ht="12.75" customHeight="1" x14ac:dyDescent="0.2">
      <c r="A194" s="65"/>
      <c r="C194" s="78"/>
      <c r="D194" s="14"/>
      <c r="E194" s="85" t="s">
        <v>1226</v>
      </c>
      <c r="F194" s="902"/>
      <c r="G194" s="903"/>
      <c r="H194" s="904"/>
      <c r="I194" s="858"/>
      <c r="J194" s="859"/>
      <c r="K194" s="860"/>
      <c r="L194" s="210"/>
      <c r="M194" s="210"/>
      <c r="N194" s="210"/>
      <c r="P194" s="65"/>
      <c r="Q194" s="65"/>
      <c r="R194" s="65"/>
      <c r="S194" s="354" t="str">
        <f t="shared" ref="S194:S203" si="15">EUconst_CNTR_SourceStreamName&amp;F194</f>
        <v>SourceStreamName_</v>
      </c>
      <c r="T194" s="354" t="str">
        <f t="shared" ref="T194:T203" si="16">EUconst_CNTR_SourceStreamClass&amp;I194</f>
        <v>SourceStreamClass_</v>
      </c>
      <c r="U194" s="65"/>
      <c r="V194" s="65"/>
      <c r="W194" s="376"/>
      <c r="X194" s="65"/>
      <c r="Y194" s="65"/>
      <c r="Z194" s="353" t="str">
        <f>IF(I194="","",IF(COUNTIF(CNTR_PFCSourceStreams,I194)&gt;0,MAX(Z$193:Z193)+1,""))</f>
        <v/>
      </c>
      <c r="AA194" s="65"/>
      <c r="AB194" s="354" t="b">
        <f>L182=EUconst_NotRelevant</f>
        <v>0</v>
      </c>
    </row>
    <row r="195" spans="1:28" s="8" customFormat="1" ht="12.75" customHeight="1" x14ac:dyDescent="0.2">
      <c r="A195" s="65"/>
      <c r="C195" s="78"/>
      <c r="D195" s="14"/>
      <c r="E195" s="85" t="s">
        <v>1227</v>
      </c>
      <c r="F195" s="861"/>
      <c r="G195" s="861"/>
      <c r="H195" s="747"/>
      <c r="I195" s="858"/>
      <c r="J195" s="859"/>
      <c r="K195" s="860"/>
      <c r="L195" s="210"/>
      <c r="M195" s="210"/>
      <c r="N195" s="210"/>
      <c r="P195" s="65"/>
      <c r="Q195" s="65"/>
      <c r="R195" s="65"/>
      <c r="S195" s="354" t="str">
        <f t="shared" si="15"/>
        <v>SourceStreamName_</v>
      </c>
      <c r="T195" s="354" t="str">
        <f t="shared" si="16"/>
        <v>SourceStreamClass_</v>
      </c>
      <c r="U195" s="65"/>
      <c r="V195" s="65"/>
      <c r="W195" s="376"/>
      <c r="X195" s="65"/>
      <c r="Y195" s="65"/>
      <c r="Z195" s="353" t="str">
        <f>IF(I195="","",IF(COUNTIF(CNTR_PFCSourceStreams,I195)&gt;0,MAX(Z$193:Z194)+1,""))</f>
        <v/>
      </c>
      <c r="AA195" s="65"/>
      <c r="AB195" s="354" t="b">
        <f>AB194</f>
        <v>0</v>
      </c>
    </row>
    <row r="196" spans="1:28" s="8" customFormat="1" ht="12.75" customHeight="1" x14ac:dyDescent="0.2">
      <c r="A196" s="65"/>
      <c r="C196" s="78"/>
      <c r="D196" s="14"/>
      <c r="E196" s="85" t="s">
        <v>1228</v>
      </c>
      <c r="F196" s="861"/>
      <c r="G196" s="861"/>
      <c r="H196" s="747"/>
      <c r="I196" s="858"/>
      <c r="J196" s="859"/>
      <c r="K196" s="860"/>
      <c r="L196" s="210"/>
      <c r="M196" s="210"/>
      <c r="N196" s="210"/>
      <c r="P196" s="65"/>
      <c r="Q196" s="65"/>
      <c r="R196" s="65"/>
      <c r="S196" s="354" t="str">
        <f t="shared" si="15"/>
        <v>SourceStreamName_</v>
      </c>
      <c r="T196" s="354" t="str">
        <f t="shared" si="16"/>
        <v>SourceStreamClass_</v>
      </c>
      <c r="U196" s="65"/>
      <c r="V196" s="65"/>
      <c r="W196" s="376"/>
      <c r="X196" s="65"/>
      <c r="Y196" s="65"/>
      <c r="Z196" s="353" t="str">
        <f>IF(I196="","",IF(COUNTIF(CNTR_PFCSourceStreams,I196)&gt;0,MAX(Z$193:Z195)+1,""))</f>
        <v/>
      </c>
      <c r="AA196" s="65"/>
      <c r="AB196" s="354" t="b">
        <f t="shared" ref="AB196:AB203" si="17">AB195</f>
        <v>0</v>
      </c>
    </row>
    <row r="197" spans="1:28" s="8" customFormat="1" ht="12.75" customHeight="1" x14ac:dyDescent="0.2">
      <c r="A197" s="65"/>
      <c r="C197" s="78"/>
      <c r="D197" s="14"/>
      <c r="E197" s="85" t="s">
        <v>1229</v>
      </c>
      <c r="F197" s="861"/>
      <c r="G197" s="861"/>
      <c r="H197" s="747"/>
      <c r="I197" s="858"/>
      <c r="J197" s="859"/>
      <c r="K197" s="860"/>
      <c r="L197" s="210"/>
      <c r="M197" s="210"/>
      <c r="N197" s="210"/>
      <c r="P197" s="65"/>
      <c r="Q197" s="65"/>
      <c r="R197" s="65"/>
      <c r="S197" s="354" t="str">
        <f t="shared" si="15"/>
        <v>SourceStreamName_</v>
      </c>
      <c r="T197" s="354" t="str">
        <f t="shared" si="16"/>
        <v>SourceStreamClass_</v>
      </c>
      <c r="U197" s="65"/>
      <c r="V197" s="65"/>
      <c r="W197" s="376"/>
      <c r="X197" s="65"/>
      <c r="Y197" s="65"/>
      <c r="Z197" s="353" t="str">
        <f>IF(I197="","",IF(COUNTIF(CNTR_PFCSourceStreams,I197)&gt;0,MAX(Z$193:Z196)+1,""))</f>
        <v/>
      </c>
      <c r="AA197" s="65"/>
      <c r="AB197" s="354" t="b">
        <f t="shared" si="17"/>
        <v>0</v>
      </c>
    </row>
    <row r="198" spans="1:28" s="8" customFormat="1" ht="12.75" customHeight="1" x14ac:dyDescent="0.2">
      <c r="A198" s="65"/>
      <c r="C198" s="78"/>
      <c r="D198" s="14"/>
      <c r="E198" s="85" t="s">
        <v>1230</v>
      </c>
      <c r="F198" s="861"/>
      <c r="G198" s="861"/>
      <c r="H198" s="747"/>
      <c r="I198" s="858"/>
      <c r="J198" s="859"/>
      <c r="K198" s="860"/>
      <c r="L198" s="210"/>
      <c r="M198" s="210"/>
      <c r="N198" s="210"/>
      <c r="P198" s="65"/>
      <c r="Q198" s="65"/>
      <c r="R198" s="65"/>
      <c r="S198" s="354" t="str">
        <f t="shared" si="15"/>
        <v>SourceStreamName_</v>
      </c>
      <c r="T198" s="354" t="str">
        <f t="shared" si="16"/>
        <v>SourceStreamClass_</v>
      </c>
      <c r="U198" s="65"/>
      <c r="V198" s="65"/>
      <c r="W198" s="376"/>
      <c r="X198" s="65"/>
      <c r="Y198" s="65"/>
      <c r="Z198" s="353" t="str">
        <f>IF(I198="","",IF(COUNTIF(CNTR_PFCSourceStreams,I198)&gt;0,MAX(Z$193:Z197)+1,""))</f>
        <v/>
      </c>
      <c r="AA198" s="65"/>
      <c r="AB198" s="354" t="b">
        <f t="shared" si="17"/>
        <v>0</v>
      </c>
    </row>
    <row r="199" spans="1:28" s="8" customFormat="1" ht="12.75" customHeight="1" x14ac:dyDescent="0.2">
      <c r="A199" s="65"/>
      <c r="C199" s="78"/>
      <c r="D199" s="14"/>
      <c r="E199" s="85" t="s">
        <v>562</v>
      </c>
      <c r="F199" s="861"/>
      <c r="G199" s="861"/>
      <c r="H199" s="747"/>
      <c r="I199" s="858"/>
      <c r="J199" s="859"/>
      <c r="K199" s="860"/>
      <c r="L199" s="210"/>
      <c r="M199" s="210"/>
      <c r="N199" s="210"/>
      <c r="P199" s="65"/>
      <c r="Q199" s="65"/>
      <c r="R199" s="65"/>
      <c r="S199" s="354" t="str">
        <f t="shared" si="15"/>
        <v>SourceStreamName_</v>
      </c>
      <c r="T199" s="354" t="str">
        <f t="shared" si="16"/>
        <v>SourceStreamClass_</v>
      </c>
      <c r="U199" s="65"/>
      <c r="V199" s="65"/>
      <c r="W199" s="376"/>
      <c r="X199" s="65"/>
      <c r="Y199" s="65"/>
      <c r="Z199" s="353" t="str">
        <f>IF(I199="","",IF(COUNTIF(CNTR_PFCSourceStreams,I199)&gt;0,MAX(Z$193:Z198)+1,""))</f>
        <v/>
      </c>
      <c r="AA199" s="65"/>
      <c r="AB199" s="354" t="b">
        <f t="shared" si="17"/>
        <v>0</v>
      </c>
    </row>
    <row r="200" spans="1:28" s="8" customFormat="1" ht="12.75" customHeight="1" x14ac:dyDescent="0.2">
      <c r="A200" s="65"/>
      <c r="C200" s="78"/>
      <c r="D200" s="14"/>
      <c r="E200" s="85" t="s">
        <v>563</v>
      </c>
      <c r="F200" s="861"/>
      <c r="G200" s="861"/>
      <c r="H200" s="747"/>
      <c r="I200" s="858"/>
      <c r="J200" s="859"/>
      <c r="K200" s="860"/>
      <c r="L200" s="210"/>
      <c r="M200" s="210"/>
      <c r="N200" s="210"/>
      <c r="P200" s="65"/>
      <c r="Q200" s="65"/>
      <c r="R200" s="65"/>
      <c r="S200" s="354" t="str">
        <f t="shared" si="15"/>
        <v>SourceStreamName_</v>
      </c>
      <c r="T200" s="354" t="str">
        <f t="shared" si="16"/>
        <v>SourceStreamClass_</v>
      </c>
      <c r="U200" s="65"/>
      <c r="V200" s="65"/>
      <c r="W200" s="376"/>
      <c r="X200" s="65"/>
      <c r="Y200" s="65"/>
      <c r="Z200" s="353" t="str">
        <f>IF(I200="","",IF(COUNTIF(CNTR_PFCSourceStreams,I200)&gt;0,MAX(Z$193:Z199)+1,""))</f>
        <v/>
      </c>
      <c r="AA200" s="65"/>
      <c r="AB200" s="354" t="b">
        <f t="shared" si="17"/>
        <v>0</v>
      </c>
    </row>
    <row r="201" spans="1:28" s="8" customFormat="1" ht="12.75" customHeight="1" x14ac:dyDescent="0.2">
      <c r="A201" s="65"/>
      <c r="C201" s="78"/>
      <c r="D201" s="14"/>
      <c r="E201" s="85" t="s">
        <v>564</v>
      </c>
      <c r="F201" s="861"/>
      <c r="G201" s="861"/>
      <c r="H201" s="747"/>
      <c r="I201" s="858"/>
      <c r="J201" s="859"/>
      <c r="K201" s="860"/>
      <c r="L201" s="210"/>
      <c r="M201" s="210"/>
      <c r="N201" s="210"/>
      <c r="P201" s="65"/>
      <c r="Q201" s="65"/>
      <c r="R201" s="65"/>
      <c r="S201" s="354" t="str">
        <f t="shared" si="15"/>
        <v>SourceStreamName_</v>
      </c>
      <c r="T201" s="354" t="str">
        <f t="shared" si="16"/>
        <v>SourceStreamClass_</v>
      </c>
      <c r="U201" s="65"/>
      <c r="V201" s="65"/>
      <c r="W201" s="376"/>
      <c r="X201" s="65"/>
      <c r="Y201" s="65"/>
      <c r="Z201" s="353" t="str">
        <f>IF(I201="","",IF(COUNTIF(CNTR_PFCSourceStreams,I201)&gt;0,MAX(Z$193:Z200)+1,""))</f>
        <v/>
      </c>
      <c r="AA201" s="65"/>
      <c r="AB201" s="354" t="b">
        <f t="shared" si="17"/>
        <v>0</v>
      </c>
    </row>
    <row r="202" spans="1:28" s="8" customFormat="1" ht="12.75" customHeight="1" x14ac:dyDescent="0.2">
      <c r="A202" s="65"/>
      <c r="C202" s="78"/>
      <c r="D202" s="14"/>
      <c r="E202" s="85" t="s">
        <v>565</v>
      </c>
      <c r="F202" s="861"/>
      <c r="G202" s="861"/>
      <c r="H202" s="747"/>
      <c r="I202" s="858"/>
      <c r="J202" s="859"/>
      <c r="K202" s="860"/>
      <c r="L202" s="210"/>
      <c r="M202" s="210"/>
      <c r="N202" s="210"/>
      <c r="P202" s="65"/>
      <c r="Q202" s="65"/>
      <c r="R202" s="65"/>
      <c r="S202" s="354" t="str">
        <f t="shared" si="15"/>
        <v>SourceStreamName_</v>
      </c>
      <c r="T202" s="354" t="str">
        <f t="shared" si="16"/>
        <v>SourceStreamClass_</v>
      </c>
      <c r="U202" s="65"/>
      <c r="V202" s="65"/>
      <c r="W202" s="376"/>
      <c r="X202" s="65"/>
      <c r="Y202" s="65"/>
      <c r="Z202" s="353" t="str">
        <f>IF(I202="","",IF(COUNTIF(CNTR_PFCSourceStreams,I202)&gt;0,MAX(Z$193:Z201)+1,""))</f>
        <v/>
      </c>
      <c r="AA202" s="65"/>
      <c r="AB202" s="354" t="b">
        <f t="shared" si="17"/>
        <v>0</v>
      </c>
    </row>
    <row r="203" spans="1:28" s="8" customFormat="1" ht="12.75" customHeight="1" x14ac:dyDescent="0.2">
      <c r="A203" s="65"/>
      <c r="C203" s="78"/>
      <c r="D203" s="14"/>
      <c r="E203" s="85" t="s">
        <v>566</v>
      </c>
      <c r="F203" s="861"/>
      <c r="G203" s="861"/>
      <c r="H203" s="747"/>
      <c r="I203" s="858"/>
      <c r="J203" s="859"/>
      <c r="K203" s="860"/>
      <c r="L203" s="210"/>
      <c r="M203" s="210"/>
      <c r="N203" s="210"/>
      <c r="P203" s="65"/>
      <c r="Q203" s="65"/>
      <c r="R203" s="65"/>
      <c r="S203" s="354" t="str">
        <f t="shared" si="15"/>
        <v>SourceStreamName_</v>
      </c>
      <c r="T203" s="354" t="str">
        <f t="shared" si="16"/>
        <v>SourceStreamClass_</v>
      </c>
      <c r="U203" s="65"/>
      <c r="V203" s="65"/>
      <c r="W203" s="376"/>
      <c r="X203" s="65"/>
      <c r="Y203" s="65"/>
      <c r="Z203" s="353" t="str">
        <f>IF(I203="","",IF(COUNTIF(CNTR_PFCSourceStreams,I203)&gt;0,MAX(Z$193:Z202)+1,""))</f>
        <v/>
      </c>
      <c r="AA203" s="65"/>
      <c r="AB203" s="354" t="b">
        <f t="shared" si="17"/>
        <v>0</v>
      </c>
    </row>
    <row r="204" spans="1:28" s="8" customFormat="1" ht="12.75" hidden="1" customHeight="1" x14ac:dyDescent="0.2">
      <c r="A204" s="12" t="s">
        <v>1090</v>
      </c>
      <c r="C204" s="78"/>
      <c r="D204" s="14"/>
      <c r="E204" s="85"/>
      <c r="F204" s="902"/>
      <c r="G204" s="903"/>
      <c r="H204" s="904"/>
      <c r="I204" s="858"/>
      <c r="J204" s="859"/>
      <c r="K204" s="860"/>
      <c r="L204" s="210"/>
      <c r="M204" s="210"/>
      <c r="N204" s="210"/>
      <c r="P204" s="65"/>
      <c r="Q204" s="65"/>
      <c r="R204" s="65"/>
      <c r="S204" s="354" t="str">
        <f>EUconst_CNTR_SourceStreamName&amp;F204</f>
        <v>SourceStreamName_</v>
      </c>
      <c r="T204" s="354" t="str">
        <f>EUconst_CNTR_SourceStreamClass&amp;I204</f>
        <v>SourceStreamClass_</v>
      </c>
      <c r="U204" s="65"/>
      <c r="V204" s="65"/>
      <c r="W204" s="376"/>
      <c r="X204" s="65"/>
      <c r="Y204" s="65"/>
      <c r="Z204" s="353" t="str">
        <f>IF(I204="","",IF(COUNTIF(CNTR_PFCSourceStreams,I204)&gt;0,MAX(Z$193:Z203)+1,""))</f>
        <v/>
      </c>
      <c r="AA204" s="65"/>
      <c r="AB204" s="354" t="b">
        <f>AB203</f>
        <v>0</v>
      </c>
    </row>
    <row r="205" spans="1:28" s="8" customFormat="1" ht="12.75" customHeight="1" x14ac:dyDescent="0.2">
      <c r="A205" s="12" t="s">
        <v>1372</v>
      </c>
      <c r="C205" s="78"/>
      <c r="D205" s="14"/>
      <c r="M205" s="334"/>
      <c r="P205" s="65"/>
      <c r="Q205" s="65"/>
      <c r="R205" s="65"/>
      <c r="S205" s="65"/>
      <c r="T205" s="65"/>
      <c r="U205" s="369"/>
      <c r="V205" s="65"/>
      <c r="W205" s="376"/>
      <c r="X205" s="65"/>
      <c r="Y205" s="65"/>
      <c r="Z205" s="65"/>
      <c r="AA205" s="65"/>
      <c r="AB205" s="65"/>
    </row>
    <row r="206" spans="1:28" s="8" customFormat="1" ht="5.0999999999999996" customHeight="1" x14ac:dyDescent="0.2">
      <c r="A206" s="12"/>
      <c r="C206" s="78"/>
      <c r="D206" s="14"/>
      <c r="G206" s="794" t="str">
        <f>Translations!$B$297</f>
        <v>Click "+" to add more source streams</v>
      </c>
      <c r="H206" s="794"/>
      <c r="I206" s="794"/>
      <c r="J206" s="794"/>
      <c r="K206" s="909"/>
      <c r="M206" s="334"/>
      <c r="P206" s="65"/>
      <c r="Q206" s="65"/>
      <c r="R206" s="65"/>
      <c r="S206" s="65"/>
      <c r="T206" s="65"/>
      <c r="U206" s="369"/>
      <c r="V206" s="65"/>
      <c r="W206" s="376"/>
      <c r="X206" s="65"/>
      <c r="Y206" s="65"/>
      <c r="Z206" s="65"/>
      <c r="AA206" s="65"/>
      <c r="AB206" s="65"/>
    </row>
    <row r="207" spans="1:28" s="8" customFormat="1" ht="12.75" customHeight="1" x14ac:dyDescent="0.2">
      <c r="A207" s="12"/>
      <c r="C207" s="78"/>
      <c r="D207" s="14"/>
      <c r="G207" s="794"/>
      <c r="H207" s="794"/>
      <c r="I207" s="794"/>
      <c r="J207" s="794"/>
      <c r="K207" s="909"/>
      <c r="M207" s="334"/>
      <c r="P207" s="65"/>
      <c r="Q207" s="65"/>
      <c r="R207" s="65"/>
      <c r="S207" s="65"/>
      <c r="T207" s="65"/>
      <c r="U207" s="369"/>
      <c r="V207" s="65"/>
      <c r="W207" s="376"/>
      <c r="X207" s="65"/>
      <c r="Y207" s="65"/>
      <c r="Z207" s="65"/>
      <c r="AA207" s="65"/>
      <c r="AB207" s="65"/>
    </row>
    <row r="208" spans="1:28" s="8" customFormat="1" ht="5.0999999999999996" customHeight="1" x14ac:dyDescent="0.2">
      <c r="A208" s="12"/>
      <c r="C208" s="78"/>
      <c r="D208" s="14"/>
      <c r="G208" s="794"/>
      <c r="H208" s="794"/>
      <c r="I208" s="794"/>
      <c r="J208" s="794"/>
      <c r="K208" s="909"/>
      <c r="M208" s="334"/>
      <c r="P208" s="65"/>
      <c r="Q208" s="65"/>
      <c r="R208" s="65"/>
      <c r="S208" s="65"/>
      <c r="T208" s="65"/>
      <c r="U208" s="369"/>
      <c r="V208" s="65"/>
      <c r="W208" s="376"/>
      <c r="X208" s="65"/>
      <c r="Y208" s="65"/>
      <c r="Z208" s="65"/>
      <c r="AA208" s="65"/>
      <c r="AB208" s="65"/>
    </row>
    <row r="209" spans="1:28" s="8" customFormat="1" ht="12.75" customHeight="1" x14ac:dyDescent="0.2">
      <c r="A209" s="65"/>
      <c r="C209" s="78"/>
      <c r="D209" s="14"/>
      <c r="P209" s="65"/>
      <c r="Q209" s="65"/>
      <c r="R209" s="65"/>
      <c r="S209" s="65"/>
      <c r="T209" s="65"/>
      <c r="U209" s="369"/>
      <c r="V209" s="65"/>
      <c r="W209" s="376"/>
      <c r="X209" s="65"/>
      <c r="Y209" s="65"/>
      <c r="Z209" s="65"/>
      <c r="AA209" s="65"/>
      <c r="AB209" s="65"/>
    </row>
    <row r="210" spans="1:28" s="34" customFormat="1" ht="12.75" customHeight="1" x14ac:dyDescent="0.2">
      <c r="A210" s="248"/>
      <c r="C210" s="336"/>
      <c r="D210" s="98" t="s">
        <v>1019</v>
      </c>
      <c r="E210" s="98" t="str">
        <f>Translations!$B$298</f>
        <v>Estimated emissions and source stream categories:</v>
      </c>
      <c r="F210" s="99"/>
      <c r="G210" s="99"/>
      <c r="H210" s="99"/>
      <c r="I210" s="99"/>
      <c r="K210" s="99"/>
      <c r="L210" s="1"/>
      <c r="M210" s="1"/>
      <c r="O210" s="8"/>
      <c r="P210" s="366"/>
      <c r="Q210" s="366"/>
      <c r="R210" s="248"/>
      <c r="S210" s="248"/>
      <c r="T210" s="248"/>
      <c r="U210" s="248"/>
      <c r="V210" s="248"/>
      <c r="W210" s="377"/>
      <c r="X210" s="248"/>
      <c r="Y210" s="248"/>
      <c r="Z210" s="248"/>
      <c r="AA210" s="248"/>
      <c r="AB210" s="248"/>
    </row>
    <row r="211" spans="1:28" s="8" customFormat="1" ht="12.75" customHeight="1" x14ac:dyDescent="0.2">
      <c r="A211" s="65"/>
      <c r="C211" s="78"/>
      <c r="D211" s="14"/>
      <c r="E211" s="869" t="str">
        <f>Translations!$B$299</f>
        <v>Please enter for each source stream (calculation-based method, including PFC)  the estimated emissions, and select an appropriate source stream category.</v>
      </c>
      <c r="F211" s="869"/>
      <c r="G211" s="869"/>
      <c r="H211" s="869"/>
      <c r="I211" s="869"/>
      <c r="J211" s="869"/>
      <c r="K211" s="869"/>
      <c r="L211" s="869"/>
      <c r="M211" s="869"/>
      <c r="N211" s="869"/>
      <c r="P211" s="349"/>
      <c r="Q211" s="349"/>
      <c r="R211" s="65"/>
      <c r="S211" s="65"/>
      <c r="T211" s="65"/>
      <c r="U211" s="65"/>
      <c r="V211" s="65"/>
      <c r="W211" s="376"/>
      <c r="X211" s="65"/>
      <c r="Y211" s="65"/>
      <c r="Z211" s="65"/>
      <c r="AA211" s="65"/>
      <c r="AB211" s="65"/>
    </row>
    <row r="212" spans="1:28" s="34" customFormat="1" ht="12.75" customHeight="1" x14ac:dyDescent="0.2">
      <c r="A212" s="248"/>
      <c r="C212" s="336"/>
      <c r="D212" s="98"/>
      <c r="E212" s="869" t="str">
        <f>Translations!$B$300</f>
        <v>Data for the source stream references and the source stream full name (source stream name and source stream type) will be taken from point (d) above automatically.</v>
      </c>
      <c r="F212" s="869"/>
      <c r="G212" s="869"/>
      <c r="H212" s="869"/>
      <c r="I212" s="869"/>
      <c r="J212" s="869"/>
      <c r="K212" s="869"/>
      <c r="L212" s="869"/>
      <c r="M212" s="869"/>
      <c r="N212" s="869"/>
      <c r="O212" s="8"/>
      <c r="P212" s="366"/>
      <c r="Q212" s="366"/>
      <c r="R212" s="248"/>
      <c r="S212" s="248"/>
      <c r="T212" s="248"/>
      <c r="U212" s="248"/>
      <c r="V212" s="248"/>
      <c r="W212" s="377"/>
      <c r="X212" s="248"/>
      <c r="Y212" s="248"/>
      <c r="Z212" s="248"/>
      <c r="AA212" s="248"/>
      <c r="AB212" s="248"/>
    </row>
    <row r="213" spans="1:28" s="8" customFormat="1" ht="25.5" customHeight="1" x14ac:dyDescent="0.2">
      <c r="A213" s="65"/>
      <c r="C213" s="78"/>
      <c r="D213" s="14"/>
      <c r="E213" s="798" t="str">
        <f>Translations!$B$1341</f>
        <v>In case of source streams going out of a mass balance, the emissions must be entered as negative values. In the case of zero-rated carbon being involved in the mass balance, Article 25(3) applies.</v>
      </c>
      <c r="F213" s="798"/>
      <c r="G213" s="798"/>
      <c r="H213" s="798"/>
      <c r="I213" s="798"/>
      <c r="J213" s="798"/>
      <c r="K213" s="798"/>
      <c r="L213" s="798"/>
      <c r="M213" s="798"/>
      <c r="N213" s="798"/>
      <c r="P213" s="349"/>
      <c r="Q213" s="349"/>
      <c r="R213" s="65"/>
      <c r="S213" s="65"/>
      <c r="T213" s="65"/>
      <c r="U213" s="65"/>
      <c r="V213" s="65"/>
      <c r="W213" s="376"/>
      <c r="X213" s="65"/>
      <c r="Y213" s="65"/>
      <c r="Z213" s="65"/>
      <c r="AA213" s="65"/>
      <c r="AB213" s="65"/>
    </row>
    <row r="214" spans="1:28" s="8" customFormat="1" ht="12.75" customHeight="1" x14ac:dyDescent="0.2">
      <c r="A214" s="65"/>
      <c r="C214" s="78"/>
      <c r="D214" s="14"/>
      <c r="E214" s="869" t="str">
        <f>Translations!$B$302</f>
        <v>Background: Pursuant to Article 19(3) you can categorise each source stream as "major", "minor" or "de-minimis".</v>
      </c>
      <c r="F214" s="869"/>
      <c r="G214" s="869"/>
      <c r="H214" s="869"/>
      <c r="I214" s="869"/>
      <c r="J214" s="869"/>
      <c r="K214" s="869"/>
      <c r="L214" s="869"/>
      <c r="M214" s="869"/>
      <c r="N214" s="869"/>
      <c r="P214" s="349"/>
      <c r="Q214" s="349"/>
      <c r="R214" s="65"/>
      <c r="S214" s="65"/>
      <c r="T214" s="65"/>
      <c r="U214" s="65"/>
      <c r="V214" s="65"/>
      <c r="W214" s="376"/>
      <c r="X214" s="65"/>
      <c r="Y214" s="65"/>
      <c r="Z214" s="65"/>
      <c r="AA214" s="65"/>
      <c r="AB214" s="65"/>
    </row>
    <row r="215" spans="1:28" s="8" customFormat="1" ht="25.5" customHeight="1" x14ac:dyDescent="0.2">
      <c r="A215" s="65"/>
      <c r="C215" s="78"/>
      <c r="D215" s="14"/>
      <c r="E215" s="132" t="s">
        <v>1292</v>
      </c>
      <c r="F215" s="869" t="str">
        <f>Translations!$B$303</f>
        <v>"minor" source streams jointly correspond to less than 5 000 tonnes of fossil CO2 per year or to less than 10%, up to a total maximum contribution of 100 000 tonnes of fossil CO2 per year, whichever is the highest in terms of absolute value</v>
      </c>
      <c r="G215" s="869"/>
      <c r="H215" s="869"/>
      <c r="I215" s="869"/>
      <c r="J215" s="869"/>
      <c r="K215" s="869"/>
      <c r="L215" s="869"/>
      <c r="M215" s="869"/>
      <c r="N215" s="869"/>
      <c r="P215" s="349"/>
      <c r="Q215" s="349"/>
      <c r="R215" s="65"/>
      <c r="S215" s="65"/>
      <c r="T215" s="65"/>
      <c r="U215" s="65"/>
      <c r="V215" s="65"/>
      <c r="W215" s="376"/>
      <c r="X215" s="65"/>
      <c r="Y215" s="65"/>
      <c r="Z215" s="65"/>
      <c r="AA215" s="65"/>
      <c r="AB215" s="65"/>
    </row>
    <row r="216" spans="1:28" s="8" customFormat="1" ht="25.5" customHeight="1" x14ac:dyDescent="0.2">
      <c r="A216" s="65"/>
      <c r="C216" s="78"/>
      <c r="D216" s="14"/>
      <c r="E216" s="132" t="s">
        <v>1292</v>
      </c>
      <c r="F216" s="869" t="str">
        <f>Translations!$B$304</f>
        <v>"de-minimis" source streams jointly correspond to less than 1 000 tonnes of fossil CO2 per year or to less than 2%, up to a total maximum contribution of 20 000 tonnes of fossil CO2 per year, whichever is the highest in terms of absolute value</v>
      </c>
      <c r="G216" s="869"/>
      <c r="H216" s="869"/>
      <c r="I216" s="869"/>
      <c r="J216" s="869"/>
      <c r="K216" s="869"/>
      <c r="L216" s="869"/>
      <c r="M216" s="869"/>
      <c r="N216" s="869"/>
      <c r="P216" s="349"/>
      <c r="Q216" s="349"/>
      <c r="R216" s="65"/>
      <c r="S216" s="65"/>
      <c r="T216" s="65"/>
      <c r="U216" s="65"/>
      <c r="V216" s="65"/>
      <c r="W216" s="376"/>
      <c r="X216" s="65"/>
      <c r="Y216" s="65"/>
      <c r="Z216" s="65"/>
      <c r="AA216" s="65"/>
      <c r="AB216" s="65"/>
    </row>
    <row r="217" spans="1:28" s="8" customFormat="1" ht="12.75" customHeight="1" x14ac:dyDescent="0.2">
      <c r="A217" s="65"/>
      <c r="C217" s="78"/>
      <c r="D217" s="14"/>
      <c r="E217" s="132" t="s">
        <v>1292</v>
      </c>
      <c r="F217" s="869" t="str">
        <f>Translations!$B$305</f>
        <v>"major" source streams are all source streams not classified as "minor" or "de-minimis"</v>
      </c>
      <c r="G217" s="869"/>
      <c r="H217" s="869"/>
      <c r="I217" s="869"/>
      <c r="J217" s="869"/>
      <c r="K217" s="869"/>
      <c r="L217" s="869"/>
      <c r="M217" s="869"/>
      <c r="N217" s="869"/>
      <c r="P217" s="349"/>
      <c r="Q217" s="349"/>
      <c r="R217" s="65"/>
      <c r="S217" s="65"/>
      <c r="T217" s="65"/>
      <c r="U217" s="65"/>
      <c r="V217" s="65"/>
      <c r="W217" s="376"/>
      <c r="X217" s="65"/>
      <c r="Y217" s="65"/>
      <c r="Z217" s="65"/>
      <c r="AA217" s="65"/>
      <c r="AB217" s="65"/>
    </row>
    <row r="218" spans="1:28" s="8" customFormat="1" ht="12.75" customHeight="1" x14ac:dyDescent="0.2">
      <c r="A218" s="65"/>
      <c r="C218" s="78"/>
      <c r="D218" s="14"/>
      <c r="E218" s="869" t="str">
        <f>Translations!$B$306</f>
        <v>For mass balance source streams the absolute values will be taken into account for the classification.</v>
      </c>
      <c r="F218" s="869"/>
      <c r="G218" s="869"/>
      <c r="H218" s="869"/>
      <c r="I218" s="869"/>
      <c r="J218" s="869"/>
      <c r="K218" s="869"/>
      <c r="L218" s="869"/>
      <c r="M218" s="869"/>
      <c r="N218" s="869"/>
      <c r="P218" s="349"/>
      <c r="Q218" s="349"/>
      <c r="R218" s="65"/>
      <c r="S218" s="65"/>
      <c r="T218" s="65"/>
      <c r="U218" s="65"/>
      <c r="V218" s="65"/>
      <c r="W218" s="376"/>
      <c r="X218" s="65"/>
      <c r="Y218" s="65"/>
      <c r="Z218" s="65"/>
      <c r="AA218" s="65"/>
      <c r="AB218" s="65"/>
    </row>
    <row r="219" spans="1:28" s="8" customFormat="1" ht="12.75" customHeight="1" x14ac:dyDescent="0.2">
      <c r="A219" s="65"/>
      <c r="C219" s="78"/>
      <c r="D219" s="14"/>
      <c r="E219" s="869" t="str">
        <f>Translations!$B$307</f>
        <v>To help you selecting an appropriate category, the possible category will be displayed automatically for each source stream in the green field.</v>
      </c>
      <c r="F219" s="869"/>
      <c r="G219" s="869"/>
      <c r="H219" s="869"/>
      <c r="I219" s="869"/>
      <c r="J219" s="869"/>
      <c r="K219" s="869"/>
      <c r="L219" s="869"/>
      <c r="M219" s="869"/>
      <c r="N219" s="869"/>
      <c r="P219" s="349"/>
      <c r="Q219" s="349"/>
      <c r="R219" s="65"/>
      <c r="S219" s="65"/>
      <c r="T219" s="65"/>
      <c r="U219" s="65"/>
      <c r="V219" s="65"/>
      <c r="W219" s="376"/>
      <c r="X219" s="65"/>
      <c r="Y219" s="65"/>
      <c r="Z219" s="65"/>
      <c r="AA219" s="65"/>
      <c r="AB219" s="65"/>
    </row>
    <row r="220" spans="1:28" s="8" customFormat="1" ht="25.5" customHeight="1" x14ac:dyDescent="0.2">
      <c r="A220" s="65"/>
      <c r="C220" s="78"/>
      <c r="D220" s="14"/>
      <c r="E220" s="869" t="str">
        <f>Translations!$B$308</f>
        <v>Please note that this automatic display only provides information about the possible category for each source stream as a stand-alone. If any of the thresholds explained above are exceeded, the possible categories will not change but an error message will occur. In that case please select at least a category one level higher.</v>
      </c>
      <c r="F220" s="869"/>
      <c r="G220" s="869"/>
      <c r="H220" s="869"/>
      <c r="I220" s="869"/>
      <c r="J220" s="869"/>
      <c r="K220" s="869"/>
      <c r="L220" s="869"/>
      <c r="M220" s="869"/>
      <c r="N220" s="869"/>
      <c r="P220" s="349"/>
      <c r="Q220" s="349"/>
      <c r="R220" s="65"/>
      <c r="S220" s="65"/>
      <c r="T220" s="65"/>
      <c r="U220" s="65"/>
      <c r="V220" s="65"/>
      <c r="W220" s="376"/>
      <c r="X220" s="65"/>
      <c r="Y220" s="65"/>
      <c r="Z220" s="65"/>
      <c r="AA220" s="65"/>
      <c r="AB220" s="65"/>
    </row>
    <row r="221" spans="1:28" s="8" customFormat="1" ht="25.5" customHeight="1" x14ac:dyDescent="0.2">
      <c r="A221" s="65"/>
      <c r="C221" s="78"/>
      <c r="D221" s="14"/>
      <c r="E221" s="869" t="str">
        <f>Translations!$B$309</f>
        <v xml:space="preserve">After you have completed entering the estimated emissions for all source streams the sum will be compared to the total annual emissions entered under 5.d. above. If the sum of estimated emissions differs by more than 5% of total annual emissions an automatic error message will be displayed. </v>
      </c>
      <c r="F221" s="869"/>
      <c r="G221" s="869"/>
      <c r="H221" s="869"/>
      <c r="I221" s="869"/>
      <c r="J221" s="869"/>
      <c r="K221" s="869"/>
      <c r="L221" s="869"/>
      <c r="M221" s="869"/>
      <c r="N221" s="869"/>
      <c r="P221" s="349"/>
      <c r="Q221" s="349"/>
      <c r="R221" s="65"/>
      <c r="S221" s="65"/>
      <c r="T221" s="65"/>
      <c r="U221" s="65"/>
      <c r="V221" s="65"/>
      <c r="W221" s="376"/>
      <c r="X221" s="65"/>
      <c r="Y221" s="65"/>
      <c r="Z221" s="65"/>
      <c r="AA221" s="65"/>
      <c r="AB221" s="65"/>
    </row>
    <row r="222" spans="1:28" s="8" customFormat="1" ht="5.0999999999999996" customHeight="1" x14ac:dyDescent="0.2">
      <c r="A222" s="65"/>
      <c r="C222" s="78"/>
      <c r="D222" s="14"/>
      <c r="E222" s="104"/>
      <c r="F222" s="105"/>
      <c r="G222" s="105"/>
      <c r="H222" s="105"/>
      <c r="I222" s="105"/>
      <c r="J222" s="417"/>
      <c r="K222" s="106"/>
      <c r="L222" s="106"/>
      <c r="M222" s="106"/>
      <c r="N222" s="417"/>
      <c r="P222" s="349"/>
      <c r="Q222" s="349"/>
      <c r="R222" s="65"/>
      <c r="S222" s="65"/>
      <c r="T222" s="65"/>
      <c r="U222" s="65"/>
      <c r="V222" s="65"/>
      <c r="W222" s="376"/>
      <c r="X222" s="65"/>
      <c r="Y222" s="65"/>
      <c r="Z222" s="65"/>
      <c r="AA222" s="65"/>
      <c r="AB222" s="65"/>
    </row>
    <row r="223" spans="1:28" s="8" customFormat="1" ht="27" x14ac:dyDescent="0.2">
      <c r="A223" s="65"/>
      <c r="C223" s="78"/>
      <c r="D223" s="14"/>
      <c r="E223" s="344" t="str">
        <f>Translations!$B$287</f>
        <v>Source Stream ref. F1, F2,...</v>
      </c>
      <c r="F223" s="891" t="str">
        <f>Translations!$B$310</f>
        <v>Source stream full name (name + type)</v>
      </c>
      <c r="G223" s="892"/>
      <c r="H223" s="892"/>
      <c r="I223" s="892"/>
      <c r="J223" s="892"/>
      <c r="K223" s="887"/>
      <c r="L223" s="86" t="str">
        <f>Translations!$B$276</f>
        <v>Estimated emissions [t CO2e / year]</v>
      </c>
      <c r="M223" s="688" t="str">
        <f>Translations!$B$277</f>
        <v>Possible category</v>
      </c>
      <c r="N223" s="688" t="str">
        <f>Translations!$B$311</f>
        <v>Selected category</v>
      </c>
      <c r="P223" s="65"/>
      <c r="Q223" s="65"/>
      <c r="R223" s="65"/>
      <c r="S223" s="12" t="s">
        <v>382</v>
      </c>
      <c r="T223" s="65"/>
      <c r="U223" s="65"/>
      <c r="V223" s="65"/>
      <c r="W223" s="378" t="s">
        <v>1274</v>
      </c>
      <c r="X223" s="65"/>
      <c r="Y223" s="52" t="s">
        <v>881</v>
      </c>
      <c r="Z223" s="52" t="s">
        <v>804</v>
      </c>
      <c r="AA223" s="65"/>
      <c r="AB223" s="65"/>
    </row>
    <row r="224" spans="1:28" s="8" customFormat="1" x14ac:dyDescent="0.2">
      <c r="A224" s="12" t="s">
        <v>1373</v>
      </c>
      <c r="C224" s="78"/>
      <c r="D224" s="14"/>
      <c r="E224" s="211" t="s">
        <v>252</v>
      </c>
      <c r="F224" s="888" t="str">
        <f>Translations!$B$312</f>
        <v>Raw meal; Cement clinker: Kiln input based (Method A)</v>
      </c>
      <c r="G224" s="889"/>
      <c r="H224" s="889"/>
      <c r="I224" s="889"/>
      <c r="J224" s="889"/>
      <c r="K224" s="890"/>
      <c r="L224" s="579">
        <v>98000</v>
      </c>
      <c r="M224" s="211" t="str">
        <f>Translations!$B$313</f>
        <v>Major</v>
      </c>
      <c r="N224" s="211" t="str">
        <f>Translations!$B$313</f>
        <v>Major</v>
      </c>
      <c r="P224" s="467"/>
      <c r="Q224" s="65"/>
      <c r="R224" s="65"/>
      <c r="S224" s="12"/>
      <c r="T224" s="65"/>
      <c r="U224" s="65"/>
      <c r="V224" s="65"/>
      <c r="W224" s="378"/>
      <c r="X224" s="65"/>
      <c r="Y224" s="52"/>
      <c r="Z224" s="52"/>
      <c r="AA224" s="65"/>
      <c r="AB224" s="65"/>
    </row>
    <row r="225" spans="1:28" s="8" customFormat="1" x14ac:dyDescent="0.2">
      <c r="A225" s="12" t="s">
        <v>1373</v>
      </c>
      <c r="C225" s="78"/>
      <c r="D225" s="14"/>
      <c r="E225" s="211" t="s">
        <v>253</v>
      </c>
      <c r="F225" s="888" t="str">
        <f>Translations!$B$314</f>
        <v>Heavy fuel oil; Combustion: Other gaseous &amp; liquid fuels</v>
      </c>
      <c r="G225" s="889"/>
      <c r="H225" s="889"/>
      <c r="I225" s="889"/>
      <c r="J225" s="889"/>
      <c r="K225" s="890"/>
      <c r="L225" s="579">
        <v>19300</v>
      </c>
      <c r="M225" s="211" t="str">
        <f>Translations!$B$313</f>
        <v>Major</v>
      </c>
      <c r="N225" s="211" t="str">
        <f>Translations!$B$313</f>
        <v>Major</v>
      </c>
      <c r="P225" s="467"/>
      <c r="Q225" s="65"/>
      <c r="R225" s="65"/>
      <c r="S225" s="12"/>
      <c r="T225" s="65"/>
      <c r="U225" s="65"/>
      <c r="V225" s="65"/>
      <c r="W225" s="378"/>
      <c r="X225" s="65"/>
      <c r="Y225" s="52"/>
      <c r="Z225" s="52"/>
      <c r="AA225" s="65"/>
      <c r="AB225" s="65"/>
    </row>
    <row r="226" spans="1:28" s="8" customFormat="1" ht="12.75" customHeight="1" x14ac:dyDescent="0.2">
      <c r="A226" s="65"/>
      <c r="C226" s="78"/>
      <c r="D226" s="11"/>
      <c r="E226" s="87" t="str">
        <f t="shared" ref="E226:E235" si="18">IF(ISBLANK(F194),"",E194)</f>
        <v/>
      </c>
      <c r="F226" s="885" t="str">
        <f t="shared" ref="F226:F235" si="19">IF(COUNTA(F194:I194)&lt;2,"",F194 &amp; "; " &amp;I194)</f>
        <v/>
      </c>
      <c r="G226" s="886"/>
      <c r="H226" s="886"/>
      <c r="I226" s="886"/>
      <c r="J226" s="886"/>
      <c r="K226" s="887"/>
      <c r="L226" s="201"/>
      <c r="M226" s="87" t="str">
        <f t="shared" ref="M226:M235" si="20">IF(W226="","",IF(W226&lt;$Z$226,INDEX(SourceCategory,3),IF(W226&lt;$Y$226,INDEX(SourceCategory,2),INDEX(SourceCategory,1))))</f>
        <v/>
      </c>
      <c r="N226" s="198"/>
      <c r="P226" s="65"/>
      <c r="Q226" s="39" t="str">
        <f t="shared" ref="Q226:Q235" si="21">EUconst_CNTR_SourceCategory&amp;E194</f>
        <v>SourceCategory_F1</v>
      </c>
      <c r="R226" s="65"/>
      <c r="S226" s="354" t="b">
        <f>(F226&lt;&gt;"")</f>
        <v>0</v>
      </c>
      <c r="T226" s="39" t="str">
        <f t="shared" ref="T226:T235" si="22">EUconst_CNTR_SourceCategory&amp;N226</f>
        <v>SourceCategory_</v>
      </c>
      <c r="U226" s="65"/>
      <c r="V226" s="709" t="str">
        <f>IF(I194="","",IFERROR(IF(AND(SUM(L226)&lt;0,INDEX(EUwideConstants!$W$265:$W$334,MATCH(I194,EUConst_TierActivityListNames,0))),ABS(L226),""),""))</f>
        <v/>
      </c>
      <c r="W226" s="358" t="str">
        <f>IF(ISBLANK(L226),"",ABS(L226))</f>
        <v/>
      </c>
      <c r="X226" s="375" t="s">
        <v>1263</v>
      </c>
      <c r="Y226" s="353">
        <f>MAX(5000,MIN(0.1*$Y$242,100000))</f>
        <v>5000</v>
      </c>
      <c r="Z226" s="353">
        <f>MAX(1000,MIN(0.02*$Y$242,20000))</f>
        <v>1000</v>
      </c>
      <c r="AA226" s="65"/>
      <c r="AB226" s="354" t="b">
        <f t="shared" ref="AB226:AB236" si="23">IF(COUNTIF($S$226:$S$236,TRUE)&gt;0,NOT(S226),$L$182=EUconst_NotRelevant)</f>
        <v>0</v>
      </c>
    </row>
    <row r="227" spans="1:28" s="8" customFormat="1" ht="12.75" customHeight="1" x14ac:dyDescent="0.2">
      <c r="A227" s="65"/>
      <c r="C227" s="78"/>
      <c r="D227" s="11"/>
      <c r="E227" s="87" t="str">
        <f t="shared" si="18"/>
        <v/>
      </c>
      <c r="F227" s="885" t="str">
        <f t="shared" si="19"/>
        <v/>
      </c>
      <c r="G227" s="886"/>
      <c r="H227" s="886"/>
      <c r="I227" s="886"/>
      <c r="J227" s="886"/>
      <c r="K227" s="887"/>
      <c r="L227" s="201"/>
      <c r="M227" s="87" t="str">
        <f t="shared" si="20"/>
        <v/>
      </c>
      <c r="N227" s="198"/>
      <c r="P227" s="65"/>
      <c r="Q227" s="39" t="str">
        <f t="shared" si="21"/>
        <v>SourceCategory_F2</v>
      </c>
      <c r="R227" s="65"/>
      <c r="S227" s="354" t="b">
        <f t="shared" ref="S227:S235" si="24">(F227&lt;&gt;"")</f>
        <v>0</v>
      </c>
      <c r="T227" s="39" t="str">
        <f t="shared" si="22"/>
        <v>SourceCategory_</v>
      </c>
      <c r="U227" s="65"/>
      <c r="V227" s="709" t="str">
        <f>IF(I195="","",IFERROR(IF(AND(SUM(L227)&lt;0,INDEX(EUwideConstants!$W$265:$W$334,MATCH(I195,EUConst_TierActivityListNames,0))),ABS(L227),""),""))</f>
        <v/>
      </c>
      <c r="W227" s="358" t="str">
        <f t="shared" ref="W227:W235" si="25">IF(ISBLANK(L227),"",ABS(L227))</f>
        <v/>
      </c>
      <c r="X227" s="370" t="s">
        <v>1232</v>
      </c>
      <c r="Y227" s="353">
        <f>SUMIF(T$226:T236,EUconst_CNTR_SourceCategory&amp;INDEX(SourceCategory,2),W$226:W236)</f>
        <v>0</v>
      </c>
      <c r="Z227" s="353">
        <f>SUMIF(T$226:T236,EUconst_CNTR_SourceCategory&amp;INDEX(SourceCategory,3),W$226:W236)</f>
        <v>0</v>
      </c>
      <c r="AA227" s="65"/>
      <c r="AB227" s="354" t="b">
        <f t="shared" si="23"/>
        <v>0</v>
      </c>
    </row>
    <row r="228" spans="1:28" s="8" customFormat="1" ht="12.75" customHeight="1" x14ac:dyDescent="0.2">
      <c r="A228" s="65"/>
      <c r="C228" s="78"/>
      <c r="D228" s="11"/>
      <c r="E228" s="87" t="str">
        <f t="shared" si="18"/>
        <v/>
      </c>
      <c r="F228" s="885" t="str">
        <f t="shared" si="19"/>
        <v/>
      </c>
      <c r="G228" s="886"/>
      <c r="H228" s="886"/>
      <c r="I228" s="886"/>
      <c r="J228" s="886"/>
      <c r="K228" s="887"/>
      <c r="L228" s="201"/>
      <c r="M228" s="87" t="str">
        <f t="shared" si="20"/>
        <v/>
      </c>
      <c r="N228" s="198"/>
      <c r="P228" s="65"/>
      <c r="Q228" s="39" t="str">
        <f t="shared" si="21"/>
        <v>SourceCategory_F3</v>
      </c>
      <c r="R228" s="65"/>
      <c r="S228" s="354" t="b">
        <f t="shared" si="24"/>
        <v>0</v>
      </c>
      <c r="T228" s="39" t="str">
        <f t="shared" si="22"/>
        <v>SourceCategory_</v>
      </c>
      <c r="U228" s="65"/>
      <c r="V228" s="709" t="str">
        <f>IF(I196="","",IFERROR(IF(AND(SUM(L228)&lt;0,INDEX(EUwideConstants!$W$265:$W$334,MATCH(I196,EUConst_TierActivityListNames,0))),ABS(L228),""),""))</f>
        <v/>
      </c>
      <c r="W228" s="358" t="str">
        <f t="shared" si="25"/>
        <v/>
      </c>
      <c r="X228" s="65"/>
      <c r="Y228" s="65"/>
      <c r="Z228" s="65"/>
      <c r="AA228" s="65"/>
      <c r="AB228" s="354" t="b">
        <f t="shared" si="23"/>
        <v>0</v>
      </c>
    </row>
    <row r="229" spans="1:28" s="8" customFormat="1" ht="12.75" customHeight="1" x14ac:dyDescent="0.2">
      <c r="A229" s="65"/>
      <c r="C229" s="78"/>
      <c r="D229" s="11"/>
      <c r="E229" s="87" t="str">
        <f t="shared" si="18"/>
        <v/>
      </c>
      <c r="F229" s="885" t="str">
        <f t="shared" si="19"/>
        <v/>
      </c>
      <c r="G229" s="886"/>
      <c r="H229" s="886"/>
      <c r="I229" s="886"/>
      <c r="J229" s="886"/>
      <c r="K229" s="887"/>
      <c r="L229" s="201"/>
      <c r="M229" s="87" t="str">
        <f t="shared" si="20"/>
        <v/>
      </c>
      <c r="N229" s="198"/>
      <c r="P229" s="379"/>
      <c r="Q229" s="39" t="str">
        <f t="shared" si="21"/>
        <v>SourceCategory_F4</v>
      </c>
      <c r="R229" s="65"/>
      <c r="S229" s="354" t="b">
        <f t="shared" si="24"/>
        <v>0</v>
      </c>
      <c r="T229" s="39" t="str">
        <f t="shared" si="22"/>
        <v>SourceCategory_</v>
      </c>
      <c r="U229" s="65"/>
      <c r="V229" s="709" t="str">
        <f>IF(I197="","",IFERROR(IF(AND(SUM(L229)&lt;0,INDEX(EUwideConstants!$W$265:$W$334,MATCH(I197,EUConst_TierActivityListNames,0))),ABS(L229),""),""))</f>
        <v/>
      </c>
      <c r="W229" s="358" t="str">
        <f t="shared" si="25"/>
        <v/>
      </c>
      <c r="X229" s="65"/>
      <c r="Y229" s="65"/>
      <c r="Z229" s="65"/>
      <c r="AA229" s="65"/>
      <c r="AB229" s="354" t="b">
        <f t="shared" si="23"/>
        <v>0</v>
      </c>
    </row>
    <row r="230" spans="1:28" s="8" customFormat="1" ht="12.75" customHeight="1" x14ac:dyDescent="0.2">
      <c r="A230" s="65"/>
      <c r="C230" s="78"/>
      <c r="D230" s="11"/>
      <c r="E230" s="87" t="str">
        <f t="shared" si="18"/>
        <v/>
      </c>
      <c r="F230" s="885" t="str">
        <f t="shared" si="19"/>
        <v/>
      </c>
      <c r="G230" s="886"/>
      <c r="H230" s="886"/>
      <c r="I230" s="886"/>
      <c r="J230" s="886"/>
      <c r="K230" s="887"/>
      <c r="L230" s="201"/>
      <c r="M230" s="87" t="str">
        <f t="shared" si="20"/>
        <v/>
      </c>
      <c r="N230" s="198"/>
      <c r="P230" s="65"/>
      <c r="Q230" s="39" t="str">
        <f t="shared" si="21"/>
        <v>SourceCategory_F5</v>
      </c>
      <c r="R230" s="65"/>
      <c r="S230" s="354" t="b">
        <f t="shared" si="24"/>
        <v>0</v>
      </c>
      <c r="T230" s="39" t="str">
        <f t="shared" si="22"/>
        <v>SourceCategory_</v>
      </c>
      <c r="U230" s="65"/>
      <c r="V230" s="709" t="str">
        <f>IF(I198="","",IFERROR(IF(AND(SUM(L230)&lt;0,INDEX(EUwideConstants!$W$265:$W$334,MATCH(I198,EUConst_TierActivityListNames,0))),ABS(L230),""),""))</f>
        <v/>
      </c>
      <c r="W230" s="358" t="str">
        <f t="shared" si="25"/>
        <v/>
      </c>
      <c r="X230" s="65"/>
      <c r="Y230" s="65"/>
      <c r="Z230" s="65"/>
      <c r="AA230" s="65"/>
      <c r="AB230" s="354" t="b">
        <f t="shared" si="23"/>
        <v>0</v>
      </c>
    </row>
    <row r="231" spans="1:28" s="8" customFormat="1" ht="12.75" customHeight="1" x14ac:dyDescent="0.2">
      <c r="A231" s="65"/>
      <c r="C231" s="78"/>
      <c r="D231" s="11"/>
      <c r="E231" s="87" t="str">
        <f t="shared" si="18"/>
        <v/>
      </c>
      <c r="F231" s="885" t="str">
        <f t="shared" si="19"/>
        <v/>
      </c>
      <c r="G231" s="886"/>
      <c r="H231" s="886"/>
      <c r="I231" s="886"/>
      <c r="J231" s="886"/>
      <c r="K231" s="887"/>
      <c r="L231" s="201"/>
      <c r="M231" s="87" t="str">
        <f t="shared" si="20"/>
        <v/>
      </c>
      <c r="N231" s="198"/>
      <c r="P231" s="65"/>
      <c r="Q231" s="39" t="str">
        <f t="shared" si="21"/>
        <v>SourceCategory_F6</v>
      </c>
      <c r="R231" s="65"/>
      <c r="S231" s="354" t="b">
        <f>(F231&lt;&gt;"")</f>
        <v>0</v>
      </c>
      <c r="T231" s="39" t="str">
        <f>EUconst_CNTR_SourceCategory&amp;N231</f>
        <v>SourceCategory_</v>
      </c>
      <c r="U231" s="65"/>
      <c r="V231" s="709" t="str">
        <f>IF(I199="","",IFERROR(IF(AND(SUM(L231)&lt;0,INDEX(EUwideConstants!$W$265:$W$334,MATCH(I199,EUConst_TierActivityListNames,0))),ABS(L231),""),""))</f>
        <v/>
      </c>
      <c r="W231" s="358" t="str">
        <f t="shared" si="25"/>
        <v/>
      </c>
      <c r="X231" s="65"/>
      <c r="Y231" s="65"/>
      <c r="Z231" s="65"/>
      <c r="AA231" s="65"/>
      <c r="AB231" s="354" t="b">
        <f t="shared" si="23"/>
        <v>0</v>
      </c>
    </row>
    <row r="232" spans="1:28" s="8" customFormat="1" ht="12.75" customHeight="1" x14ac:dyDescent="0.2">
      <c r="A232" s="65"/>
      <c r="C232" s="78"/>
      <c r="D232" s="11"/>
      <c r="E232" s="87" t="str">
        <f t="shared" si="18"/>
        <v/>
      </c>
      <c r="F232" s="885" t="str">
        <f t="shared" si="19"/>
        <v/>
      </c>
      <c r="G232" s="886"/>
      <c r="H232" s="886"/>
      <c r="I232" s="886"/>
      <c r="J232" s="886"/>
      <c r="K232" s="887"/>
      <c r="L232" s="201"/>
      <c r="M232" s="87" t="str">
        <f t="shared" si="20"/>
        <v/>
      </c>
      <c r="N232" s="198"/>
      <c r="P232" s="65"/>
      <c r="Q232" s="39" t="str">
        <f t="shared" si="21"/>
        <v>SourceCategory_F7</v>
      </c>
      <c r="R232" s="65"/>
      <c r="S232" s="354" t="b">
        <f t="shared" si="24"/>
        <v>0</v>
      </c>
      <c r="T232" s="39" t="str">
        <f t="shared" si="22"/>
        <v>SourceCategory_</v>
      </c>
      <c r="U232" s="65"/>
      <c r="V232" s="709" t="str">
        <f>IF(I200="","",IFERROR(IF(AND(SUM(L232)&lt;0,INDEX(EUwideConstants!$W$265:$W$334,MATCH(I200,EUConst_TierActivityListNames,0))),ABS(L232),""),""))</f>
        <v/>
      </c>
      <c r="W232" s="358" t="str">
        <f t="shared" si="25"/>
        <v/>
      </c>
      <c r="X232" s="65"/>
      <c r="Y232" s="65"/>
      <c r="Z232" s="65"/>
      <c r="AA232" s="65"/>
      <c r="AB232" s="354" t="b">
        <f t="shared" si="23"/>
        <v>0</v>
      </c>
    </row>
    <row r="233" spans="1:28" s="8" customFormat="1" ht="12.75" customHeight="1" x14ac:dyDescent="0.2">
      <c r="A233" s="65"/>
      <c r="C233" s="78"/>
      <c r="D233" s="11"/>
      <c r="E233" s="87" t="str">
        <f t="shared" si="18"/>
        <v/>
      </c>
      <c r="F233" s="885" t="str">
        <f t="shared" si="19"/>
        <v/>
      </c>
      <c r="G233" s="886"/>
      <c r="H233" s="886"/>
      <c r="I233" s="886"/>
      <c r="J233" s="886"/>
      <c r="K233" s="887"/>
      <c r="L233" s="201"/>
      <c r="M233" s="87" t="str">
        <f t="shared" si="20"/>
        <v/>
      </c>
      <c r="N233" s="198"/>
      <c r="P233" s="65"/>
      <c r="Q233" s="39" t="str">
        <f t="shared" si="21"/>
        <v>SourceCategory_F8</v>
      </c>
      <c r="R233" s="65"/>
      <c r="S233" s="354" t="b">
        <f t="shared" si="24"/>
        <v>0</v>
      </c>
      <c r="T233" s="39" t="str">
        <f t="shared" si="22"/>
        <v>SourceCategory_</v>
      </c>
      <c r="U233" s="65"/>
      <c r="V233" s="709" t="str">
        <f>IF(I201="","",IFERROR(IF(AND(SUM(L233)&lt;0,INDEX(EUwideConstants!$W$265:$W$334,MATCH(I201,EUConst_TierActivityListNames,0))),ABS(L233),""),""))</f>
        <v/>
      </c>
      <c r="W233" s="358" t="str">
        <f t="shared" si="25"/>
        <v/>
      </c>
      <c r="X233" s="65"/>
      <c r="Y233" s="65"/>
      <c r="Z233" s="65"/>
      <c r="AA233" s="65"/>
      <c r="AB233" s="354" t="b">
        <f t="shared" si="23"/>
        <v>0</v>
      </c>
    </row>
    <row r="234" spans="1:28" s="8" customFormat="1" ht="12.75" customHeight="1" x14ac:dyDescent="0.2">
      <c r="A234" s="65"/>
      <c r="C234" s="78"/>
      <c r="D234" s="11"/>
      <c r="E234" s="87" t="str">
        <f t="shared" si="18"/>
        <v/>
      </c>
      <c r="F234" s="885" t="str">
        <f t="shared" si="19"/>
        <v/>
      </c>
      <c r="G234" s="886"/>
      <c r="H234" s="886"/>
      <c r="I234" s="886"/>
      <c r="J234" s="886"/>
      <c r="K234" s="887"/>
      <c r="L234" s="201"/>
      <c r="M234" s="87" t="str">
        <f t="shared" si="20"/>
        <v/>
      </c>
      <c r="N234" s="198"/>
      <c r="P234" s="65"/>
      <c r="Q234" s="39" t="str">
        <f t="shared" si="21"/>
        <v>SourceCategory_F9</v>
      </c>
      <c r="R234" s="65"/>
      <c r="S234" s="354" t="b">
        <f t="shared" si="24"/>
        <v>0</v>
      </c>
      <c r="T234" s="39" t="str">
        <f t="shared" si="22"/>
        <v>SourceCategory_</v>
      </c>
      <c r="U234" s="65"/>
      <c r="V234" s="709" t="str">
        <f>IF(I202="","",IFERROR(IF(AND(SUM(L234)&lt;0,INDEX(EUwideConstants!$W$265:$W$334,MATCH(I202,EUConst_TierActivityListNames,0))),ABS(L234),""),""))</f>
        <v/>
      </c>
      <c r="W234" s="358" t="str">
        <f t="shared" si="25"/>
        <v/>
      </c>
      <c r="X234" s="65"/>
      <c r="Y234" s="65"/>
      <c r="Z234" s="65"/>
      <c r="AA234" s="65"/>
      <c r="AB234" s="354" t="b">
        <f t="shared" si="23"/>
        <v>0</v>
      </c>
    </row>
    <row r="235" spans="1:28" s="8" customFormat="1" ht="12.75" customHeight="1" x14ac:dyDescent="0.2">
      <c r="A235" s="65"/>
      <c r="C235" s="78"/>
      <c r="D235" s="11"/>
      <c r="E235" s="87" t="str">
        <f t="shared" si="18"/>
        <v/>
      </c>
      <c r="F235" s="885" t="str">
        <f t="shared" si="19"/>
        <v/>
      </c>
      <c r="G235" s="886"/>
      <c r="H235" s="886"/>
      <c r="I235" s="886"/>
      <c r="J235" s="886"/>
      <c r="K235" s="887"/>
      <c r="L235" s="201"/>
      <c r="M235" s="87" t="str">
        <f t="shared" si="20"/>
        <v/>
      </c>
      <c r="N235" s="198"/>
      <c r="P235" s="65"/>
      <c r="Q235" s="39" t="str">
        <f t="shared" si="21"/>
        <v>SourceCategory_F10</v>
      </c>
      <c r="R235" s="65"/>
      <c r="S235" s="354" t="b">
        <f t="shared" si="24"/>
        <v>0</v>
      </c>
      <c r="T235" s="39" t="str">
        <f t="shared" si="22"/>
        <v>SourceCategory_</v>
      </c>
      <c r="U235" s="65"/>
      <c r="V235" s="709" t="str">
        <f>IF(I203="","",IFERROR(IF(AND(SUM(L235)&lt;0,INDEX(EUwideConstants!$W$265:$W$334,MATCH(I203,EUConst_TierActivityListNames,0))),ABS(L235),""),""))</f>
        <v/>
      </c>
      <c r="W235" s="358" t="str">
        <f t="shared" si="25"/>
        <v/>
      </c>
      <c r="X235" s="65"/>
      <c r="Y235" s="65"/>
      <c r="Z235" s="65"/>
      <c r="AA235" s="65"/>
      <c r="AB235" s="354" t="b">
        <f t="shared" si="23"/>
        <v>0</v>
      </c>
    </row>
    <row r="236" spans="1:28" s="8" customFormat="1" ht="12.75" hidden="1" customHeight="1" thickBot="1" x14ac:dyDescent="0.25">
      <c r="A236" s="12" t="s">
        <v>1090</v>
      </c>
      <c r="C236" s="78"/>
      <c r="D236" s="11"/>
      <c r="E236" s="87" t="str">
        <f>IF(ISBLANK(F205),"",E205)</f>
        <v/>
      </c>
      <c r="F236" s="885" t="str">
        <f>IF(COUNTA(F204:I204)&lt;2,"",F204 &amp; "; " &amp;I204)</f>
        <v/>
      </c>
      <c r="G236" s="886"/>
      <c r="H236" s="886"/>
      <c r="I236" s="886"/>
      <c r="J236" s="886"/>
      <c r="K236" s="887"/>
      <c r="L236" s="201"/>
      <c r="M236" s="87" t="str">
        <f>IF(W236="","",IF(W236&lt;$Z$226,INDEX(SourceCategory,3),IF(W236&lt;$Y$226,INDEX(SourceCategory,2),INDEX(SourceCategory,1))))</f>
        <v/>
      </c>
      <c r="N236" s="198"/>
      <c r="P236" s="65"/>
      <c r="Q236" s="39" t="str">
        <f>EUconst_CNTR_SourceCategory&amp;E204</f>
        <v>SourceCategory_</v>
      </c>
      <c r="R236" s="65"/>
      <c r="S236" s="354" t="b">
        <f>(F236&lt;&gt;"")</f>
        <v>0</v>
      </c>
      <c r="T236" s="39" t="str">
        <f>EUconst_CNTR_SourceCategory&amp;N236</f>
        <v>SourceCategory_</v>
      </c>
      <c r="U236" s="65"/>
      <c r="V236" s="709" t="str">
        <f>IF(I204="","",IFERROR(IF(AND(SUM(L236)&lt;0,INDEX(EUwideConstants!$W$265:$W$334,MATCH(I204,EUConst_TierActivityListNames,0))),ABS(L236),""),""))</f>
        <v/>
      </c>
      <c r="W236" s="368" t="str">
        <f>IF(ISBLANK(L236),"",ABS(L236))</f>
        <v/>
      </c>
      <c r="X236" s="65"/>
      <c r="Y236" s="65"/>
      <c r="Z236" s="65"/>
      <c r="AA236" s="65"/>
      <c r="AB236" s="354" t="b">
        <f t="shared" si="23"/>
        <v>0</v>
      </c>
    </row>
    <row r="237" spans="1:28" s="8" customFormat="1" ht="12.75" customHeight="1" x14ac:dyDescent="0.2">
      <c r="A237" s="12" t="s">
        <v>1372</v>
      </c>
      <c r="C237" s="78"/>
      <c r="D237" s="14"/>
      <c r="E237" s="334"/>
      <c r="F237" s="334"/>
      <c r="G237" s="334"/>
      <c r="H237" s="334"/>
      <c r="I237" s="334"/>
      <c r="J237" s="334"/>
      <c r="L237" s="334"/>
      <c r="M237" s="334"/>
      <c r="N237" s="334"/>
      <c r="P237" s="65"/>
      <c r="Q237" s="65"/>
      <c r="R237" s="65"/>
      <c r="S237" s="65"/>
      <c r="T237" s="12"/>
      <c r="U237" s="65"/>
      <c r="V237" s="65"/>
      <c r="W237" s="65"/>
      <c r="X237" s="65"/>
      <c r="Y237" s="65"/>
      <c r="Z237" s="65"/>
      <c r="AA237" s="65"/>
      <c r="AB237" s="65"/>
    </row>
    <row r="238" spans="1:28" s="8" customFormat="1" ht="12.75" customHeight="1" x14ac:dyDescent="0.2">
      <c r="A238" s="65"/>
      <c r="C238" s="78"/>
      <c r="D238" s="14"/>
      <c r="E238" s="334"/>
      <c r="F238" s="347" t="str">
        <f>Translations!$B$315</f>
        <v>Error message (sum of minor source streams):</v>
      </c>
      <c r="G238" s="334"/>
      <c r="H238" s="334"/>
      <c r="I238" s="334"/>
      <c r="J238" s="348"/>
      <c r="K238" s="893" t="str">
        <f>IF(Y238=TRUE,EUconst_ERR_ThreshholdMinor,"")</f>
        <v/>
      </c>
      <c r="L238" s="894"/>
      <c r="M238" s="894"/>
      <c r="N238" s="887"/>
      <c r="P238" s="65"/>
      <c r="Q238" s="65"/>
      <c r="R238" s="65"/>
      <c r="S238" s="65"/>
      <c r="T238" s="65"/>
      <c r="U238" s="65"/>
      <c r="V238" s="65"/>
      <c r="W238" s="65"/>
      <c r="X238" s="52" t="s">
        <v>570</v>
      </c>
      <c r="Y238" s="354" t="b">
        <f>Y227&gt;Y226</f>
        <v>0</v>
      </c>
      <c r="Z238" s="65"/>
      <c r="AA238" s="65"/>
      <c r="AB238" s="65"/>
    </row>
    <row r="239" spans="1:28" s="8" customFormat="1" ht="5.0999999999999996" customHeight="1" x14ac:dyDescent="0.2">
      <c r="A239" s="65"/>
      <c r="C239" s="78"/>
      <c r="D239" s="14"/>
      <c r="E239" s="334"/>
      <c r="F239" s="347"/>
      <c r="K239" s="334"/>
      <c r="M239" s="334"/>
      <c r="P239" s="65"/>
      <c r="Q239" s="65"/>
      <c r="R239" s="65"/>
      <c r="S239" s="65"/>
      <c r="T239" s="65"/>
      <c r="U239" s="65"/>
      <c r="V239" s="65"/>
      <c r="W239" s="65"/>
      <c r="X239" s="359"/>
      <c r="Y239" s="65"/>
      <c r="Z239" s="65"/>
      <c r="AA239" s="65"/>
      <c r="AB239" s="65"/>
    </row>
    <row r="240" spans="1:28" s="8" customFormat="1" ht="12.75" customHeight="1" x14ac:dyDescent="0.2">
      <c r="A240" s="65"/>
      <c r="C240" s="78"/>
      <c r="D240" s="14"/>
      <c r="E240" s="334"/>
      <c r="F240" s="347" t="str">
        <f>Translations!$B$316</f>
        <v>Error message (sum of de-minimis source streams):</v>
      </c>
      <c r="J240" s="348"/>
      <c r="K240" s="893" t="str">
        <f>IF(Y240=TRUE,EUconst_ERR_ThreshholdDeminimis,"")</f>
        <v/>
      </c>
      <c r="L240" s="894"/>
      <c r="M240" s="894"/>
      <c r="N240" s="887"/>
      <c r="P240" s="65"/>
      <c r="Q240" s="65"/>
      <c r="R240" s="65"/>
      <c r="S240" s="65"/>
      <c r="T240" s="65"/>
      <c r="U240" s="65"/>
      <c r="V240" s="65"/>
      <c r="W240" s="65"/>
      <c r="X240" s="52" t="s">
        <v>570</v>
      </c>
      <c r="Y240" s="354" t="b">
        <f>Z227&gt;Z226</f>
        <v>0</v>
      </c>
      <c r="Z240" s="65"/>
      <c r="AA240" s="65"/>
      <c r="AB240" s="65"/>
    </row>
    <row r="241" spans="1:28" s="8" customFormat="1" ht="5.0999999999999996" customHeight="1" x14ac:dyDescent="0.2">
      <c r="A241" s="65"/>
      <c r="C241" s="78"/>
      <c r="D241" s="14"/>
      <c r="E241" s="334"/>
      <c r="F241" s="322"/>
      <c r="G241" s="334"/>
      <c r="H241" s="334"/>
      <c r="I241" s="334"/>
      <c r="J241" s="334"/>
      <c r="K241" s="334"/>
      <c r="L241" s="334"/>
      <c r="M241" s="334"/>
      <c r="P241" s="65"/>
      <c r="Q241" s="65"/>
      <c r="R241" s="65"/>
      <c r="S241" s="65"/>
      <c r="T241" s="65"/>
      <c r="U241" s="65"/>
      <c r="V241" s="65"/>
      <c r="W241" s="65"/>
      <c r="X241" s="359"/>
      <c r="Y241" s="65"/>
      <c r="Z241" s="65"/>
      <c r="AA241" s="65"/>
      <c r="AB241" s="65"/>
    </row>
    <row r="242" spans="1:28" s="8" customFormat="1" ht="12.75" customHeight="1" x14ac:dyDescent="0.2">
      <c r="A242" s="65"/>
      <c r="C242" s="78"/>
      <c r="D242" s="14"/>
      <c r="E242" s="334"/>
      <c r="F242" s="347" t="str">
        <f>Translations!$B$317</f>
        <v>Error message (Total Emissions, difference to 5(d) ):</v>
      </c>
      <c r="G242" s="334"/>
      <c r="H242" s="334"/>
      <c r="I242" s="334"/>
      <c r="J242" s="217" t="str">
        <f>IF(ISBLANK(CNTR_TotalEmissions),"",IF(COUNTIF(S226:S236,TRUE)&lt;&gt;COUNT(W226:W236),"",SUM(L171:L176,L226:L236,V226:V236)/CNTR_TotalEmissions-1))</f>
        <v/>
      </c>
      <c r="K242" s="893" t="str">
        <f>IF(ISBLANK(CNTR_TotalEmissions),"",IF(COUNTIF(S226:S236,TRUE)&lt;&gt;COUNT(W226:W236),"",IF(OR(SUM(L171:L176,L226:L236,V226:V236)/CNTR_TotalEmissions&lt;0.95,SUM(L171:L176,L226:L236,V226:V236)/CNTR_TotalEmissions&gt;1.05),EUconst_ERR_CheckEstimatedEmissions,"")))</f>
        <v/>
      </c>
      <c r="L242" s="894"/>
      <c r="M242" s="894"/>
      <c r="N242" s="887"/>
      <c r="P242" s="380"/>
      <c r="Q242" s="65"/>
      <c r="R242" s="65"/>
      <c r="S242" s="65"/>
      <c r="T242" s="65"/>
      <c r="U242" s="65"/>
      <c r="V242" s="65"/>
      <c r="W242" s="65"/>
      <c r="X242" s="359" t="s">
        <v>1232</v>
      </c>
      <c r="Y242" s="353">
        <f>SUM(W171:W236)</f>
        <v>0</v>
      </c>
      <c r="Z242" s="65"/>
      <c r="AA242" s="65"/>
      <c r="AB242" s="65"/>
    </row>
    <row r="243" spans="1:28" s="8" customFormat="1" ht="12.75" customHeight="1" x14ac:dyDescent="0.2">
      <c r="A243" s="65"/>
      <c r="C243" s="78"/>
      <c r="D243" s="14"/>
      <c r="E243" s="334"/>
      <c r="F243" s="334"/>
      <c r="G243" s="334"/>
      <c r="H243" s="334"/>
      <c r="I243" s="334"/>
      <c r="J243" s="334"/>
      <c r="K243" s="334"/>
      <c r="L243" s="334"/>
      <c r="M243" s="334"/>
      <c r="P243" s="65"/>
      <c r="Q243" s="65"/>
      <c r="R243" s="65"/>
      <c r="S243" s="65"/>
      <c r="T243" s="65"/>
      <c r="U243" s="65"/>
      <c r="V243" s="65"/>
      <c r="W243" s="65"/>
      <c r="X243" s="65"/>
      <c r="Y243" s="65"/>
      <c r="Z243" s="65"/>
      <c r="AA243" s="65"/>
      <c r="AB243" s="65"/>
    </row>
    <row r="244" spans="1:28" s="34" customFormat="1" ht="12.75" customHeight="1" x14ac:dyDescent="0.2">
      <c r="A244" s="248"/>
      <c r="C244" s="336"/>
      <c r="D244" s="98" t="s">
        <v>1349</v>
      </c>
      <c r="E244" s="717" t="str">
        <f>Translations!$B$318</f>
        <v>Installation parts and activities not included in the EU ETS, if relevant:</v>
      </c>
      <c r="F244" s="717"/>
      <c r="G244" s="717"/>
      <c r="H244" s="717"/>
      <c r="I244" s="717"/>
      <c r="J244" s="717"/>
      <c r="K244" s="717"/>
      <c r="L244" s="717"/>
      <c r="M244" s="717"/>
      <c r="N244" s="717"/>
      <c r="O244" s="8"/>
      <c r="P244" s="366"/>
      <c r="Q244" s="366"/>
      <c r="R244" s="248"/>
      <c r="S244" s="248"/>
      <c r="T244" s="248"/>
      <c r="U244" s="248"/>
      <c r="V244" s="248"/>
      <c r="W244" s="248"/>
      <c r="X244" s="248"/>
      <c r="Y244" s="248"/>
      <c r="Z244" s="248"/>
      <c r="AA244" s="248"/>
      <c r="AB244" s="248"/>
    </row>
    <row r="245" spans="1:28" s="8" customFormat="1" ht="12.75" customHeight="1" x14ac:dyDescent="0.2">
      <c r="A245" s="65"/>
      <c r="C245" s="78"/>
      <c r="D245" s="14"/>
      <c r="E245" s="869" t="str">
        <f>Translations!$B$319</f>
        <v>Please provide details for any installation parts or activities not included in the EU ETS where fuel or materials used by these activities are accounted for by measurement devices that also supply Annex I activities.</v>
      </c>
      <c r="F245" s="869"/>
      <c r="G245" s="869"/>
      <c r="H245" s="869"/>
      <c r="I245" s="869"/>
      <c r="J245" s="869"/>
      <c r="K245" s="869"/>
      <c r="L245" s="869"/>
      <c r="M245" s="869"/>
      <c r="N245" s="869"/>
      <c r="P245" s="351"/>
      <c r="Q245" s="351"/>
      <c r="R245" s="65"/>
      <c r="S245" s="65"/>
      <c r="T245" s="65"/>
      <c r="U245" s="65"/>
      <c r="V245" s="65"/>
      <c r="W245" s="65"/>
      <c r="X245" s="65"/>
      <c r="Y245" s="65"/>
      <c r="Z245" s="65"/>
      <c r="AA245" s="65"/>
      <c r="AB245" s="65"/>
    </row>
    <row r="246" spans="1:28" s="8" customFormat="1" ht="12.75" customHeight="1" x14ac:dyDescent="0.2">
      <c r="A246" s="65"/>
      <c r="C246" s="78"/>
      <c r="D246" s="14"/>
      <c r="E246" s="898" t="str">
        <f>Translations!$B$320</f>
        <v xml:space="preserve">For further guidance please consult points (b), (c) and (e) above. </v>
      </c>
      <c r="F246" s="898"/>
      <c r="G246" s="898"/>
      <c r="H246" s="898"/>
      <c r="I246" s="898"/>
      <c r="J246" s="898"/>
      <c r="K246" s="898"/>
      <c r="L246" s="898"/>
      <c r="M246" s="898"/>
      <c r="N246" s="898"/>
      <c r="P246" s="65"/>
      <c r="Q246" s="65"/>
      <c r="R246" s="65"/>
      <c r="S246" s="65"/>
      <c r="T246" s="65"/>
      <c r="U246" s="65"/>
      <c r="V246" s="65"/>
      <c r="W246" s="65"/>
      <c r="X246" s="65"/>
      <c r="Y246" s="65"/>
      <c r="Z246" s="65"/>
      <c r="AA246" s="65"/>
      <c r="AB246" s="65"/>
    </row>
    <row r="247" spans="1:28" s="8" customFormat="1" ht="12.75" customHeight="1" x14ac:dyDescent="0.2">
      <c r="A247" s="65"/>
      <c r="C247" s="78"/>
      <c r="D247" s="14"/>
      <c r="E247" s="798" t="str">
        <f>Translations!$B$135</f>
        <v>For showing/hiding examples, press the "Examples" button in the navigation area.</v>
      </c>
      <c r="F247" s="798"/>
      <c r="G247" s="798"/>
      <c r="H247" s="798"/>
      <c r="I247" s="798"/>
      <c r="J247" s="798"/>
      <c r="K247" s="798"/>
      <c r="L247" s="798"/>
      <c r="M247" s="798"/>
      <c r="N247" s="798"/>
      <c r="P247" s="65"/>
      <c r="Q247" s="65"/>
      <c r="R247" s="65"/>
      <c r="S247" s="65"/>
      <c r="T247" s="65"/>
      <c r="U247" s="65"/>
      <c r="V247" s="65"/>
      <c r="W247" s="65"/>
      <c r="X247" s="65"/>
      <c r="Y247" s="65"/>
      <c r="Z247" s="65"/>
      <c r="AA247" s="65"/>
      <c r="AB247" s="65"/>
    </row>
    <row r="248" spans="1:28" s="8" customFormat="1" ht="5.0999999999999996" customHeight="1" x14ac:dyDescent="0.2">
      <c r="A248" s="65"/>
      <c r="C248" s="78"/>
      <c r="D248" s="14"/>
      <c r="E248" s="224"/>
      <c r="F248" s="223"/>
      <c r="G248" s="223"/>
      <c r="H248" s="223"/>
      <c r="I248" s="223"/>
      <c r="J248" s="223"/>
      <c r="K248" s="223"/>
      <c r="L248" s="223"/>
      <c r="M248" s="223"/>
      <c r="N248" s="223"/>
      <c r="P248" s="65"/>
      <c r="Q248" s="65"/>
      <c r="R248" s="65"/>
      <c r="S248" s="65"/>
      <c r="T248" s="65"/>
      <c r="U248" s="65"/>
      <c r="V248" s="65"/>
      <c r="W248" s="65"/>
      <c r="X248" s="65"/>
      <c r="Y248" s="65"/>
      <c r="Z248" s="65"/>
      <c r="AA248" s="65"/>
      <c r="AB248" s="65"/>
    </row>
    <row r="249" spans="1:28" s="8" customFormat="1" ht="68.25" customHeight="1" x14ac:dyDescent="0.2">
      <c r="A249" s="65"/>
      <c r="C249" s="78"/>
      <c r="D249" s="14"/>
      <c r="E249" s="415" t="str">
        <f>Translations!$B$321</f>
        <v>Emission source ref</v>
      </c>
      <c r="F249" s="879" t="str">
        <f>Translations!$B$322</f>
        <v>Source streams (fuels/materials)</v>
      </c>
      <c r="G249" s="905"/>
      <c r="H249" s="906"/>
      <c r="I249" s="879" t="str">
        <f>Translations!$B$323</f>
        <v>Emission sources</v>
      </c>
      <c r="J249" s="905"/>
      <c r="K249" s="906"/>
      <c r="L249" s="879" t="str">
        <f>Translations!$B$324</f>
        <v>Emission points</v>
      </c>
      <c r="M249" s="905"/>
      <c r="N249" s="906"/>
      <c r="P249" s="12"/>
      <c r="Q249" s="65"/>
      <c r="R249" s="65"/>
      <c r="S249" s="65"/>
      <c r="T249" s="65"/>
      <c r="U249" s="65"/>
      <c r="V249" s="65"/>
      <c r="W249" s="65"/>
      <c r="X249" s="65"/>
      <c r="Y249" s="65"/>
      <c r="Z249" s="65"/>
      <c r="AA249" s="65"/>
      <c r="AB249" s="65"/>
    </row>
    <row r="250" spans="1:28" s="8" customFormat="1" ht="25.5" customHeight="1" x14ac:dyDescent="0.2">
      <c r="A250" s="12" t="s">
        <v>1373</v>
      </c>
      <c r="C250" s="78"/>
      <c r="D250" s="14"/>
      <c r="E250" s="212" t="s">
        <v>267</v>
      </c>
      <c r="F250" s="899" t="str">
        <f>Translations!$B$325</f>
        <v>Natural gas (passed through the installation to external consumer)</v>
      </c>
      <c r="G250" s="900"/>
      <c r="H250" s="901"/>
      <c r="I250" s="899" t="str">
        <f>Translations!$B$326</f>
        <v>several boilers (&lt; 3MWth each)</v>
      </c>
      <c r="J250" s="900"/>
      <c r="K250" s="901"/>
      <c r="L250" s="899" t="str">
        <f>Translations!$B$327</f>
        <v>Stack of connected installation (Heating of adjacent hospital)</v>
      </c>
      <c r="M250" s="900"/>
      <c r="N250" s="901"/>
      <c r="P250" s="65"/>
      <c r="Q250" s="65"/>
      <c r="R250" s="65"/>
      <c r="S250" s="65"/>
      <c r="T250" s="65"/>
      <c r="U250" s="65"/>
      <c r="V250" s="65"/>
      <c r="W250" s="65"/>
      <c r="X250" s="65"/>
      <c r="Y250" s="65"/>
      <c r="Z250" s="65"/>
      <c r="AA250" s="65"/>
      <c r="AB250" s="65"/>
    </row>
    <row r="251" spans="1:28" s="8" customFormat="1" ht="12.75" customHeight="1" x14ac:dyDescent="0.2">
      <c r="A251" s="65"/>
      <c r="C251" s="78"/>
      <c r="D251" s="14"/>
      <c r="E251" s="225"/>
      <c r="F251" s="895"/>
      <c r="G251" s="896"/>
      <c r="H251" s="897"/>
      <c r="I251" s="895"/>
      <c r="J251" s="896"/>
      <c r="K251" s="897"/>
      <c r="L251" s="895"/>
      <c r="M251" s="896"/>
      <c r="N251" s="897"/>
      <c r="P251" s="65"/>
      <c r="Q251" s="65"/>
      <c r="R251" s="65"/>
      <c r="S251" s="65"/>
      <c r="T251" s="65"/>
      <c r="U251" s="65"/>
      <c r="V251" s="65"/>
      <c r="W251" s="65"/>
      <c r="X251" s="65"/>
      <c r="Y251" s="65"/>
      <c r="Z251" s="65"/>
      <c r="AA251" s="65"/>
      <c r="AB251" s="65"/>
    </row>
    <row r="252" spans="1:28" s="8" customFormat="1" ht="12.75" customHeight="1" x14ac:dyDescent="0.2">
      <c r="A252" s="65"/>
      <c r="C252" s="78"/>
      <c r="D252" s="14"/>
      <c r="E252" s="225"/>
      <c r="F252" s="895"/>
      <c r="G252" s="896"/>
      <c r="H252" s="897"/>
      <c r="I252" s="895"/>
      <c r="J252" s="896"/>
      <c r="K252" s="897"/>
      <c r="L252" s="895"/>
      <c r="M252" s="896"/>
      <c r="N252" s="897"/>
      <c r="P252" s="373"/>
      <c r="Q252" s="65"/>
      <c r="R252" s="65"/>
      <c r="S252" s="65"/>
      <c r="T252" s="65"/>
      <c r="U252" s="65"/>
      <c r="V252" s="65"/>
      <c r="W252" s="65"/>
      <c r="X252" s="65"/>
      <c r="Y252" s="65"/>
      <c r="Z252" s="65"/>
      <c r="AA252" s="65"/>
      <c r="AB252" s="65"/>
    </row>
    <row r="253" spans="1:28" s="8" customFormat="1" ht="12.75" customHeight="1" x14ac:dyDescent="0.2">
      <c r="A253" s="65"/>
      <c r="C253" s="78"/>
      <c r="D253" s="14"/>
      <c r="E253" s="225"/>
      <c r="F253" s="895"/>
      <c r="G253" s="896"/>
      <c r="H253" s="897"/>
      <c r="I253" s="895"/>
      <c r="J253" s="896"/>
      <c r="K253" s="897"/>
      <c r="L253" s="895"/>
      <c r="M253" s="896"/>
      <c r="N253" s="897"/>
      <c r="P253" s="373"/>
      <c r="Q253" s="65"/>
      <c r="R253" s="65"/>
      <c r="S253" s="65"/>
      <c r="T253" s="65"/>
      <c r="U253" s="65"/>
      <c r="V253" s="65"/>
      <c r="W253" s="65"/>
      <c r="X253" s="65"/>
      <c r="Y253" s="65"/>
      <c r="Z253" s="65"/>
      <c r="AA253" s="65"/>
      <c r="AB253" s="65"/>
    </row>
    <row r="254" spans="1:28" s="8" customFormat="1" ht="12.75" customHeight="1" x14ac:dyDescent="0.2">
      <c r="A254" s="65"/>
      <c r="C254" s="78"/>
      <c r="D254" s="14"/>
      <c r="E254" s="225"/>
      <c r="F254" s="895"/>
      <c r="G254" s="896"/>
      <c r="H254" s="897"/>
      <c r="I254" s="895"/>
      <c r="J254" s="896"/>
      <c r="K254" s="897"/>
      <c r="L254" s="895"/>
      <c r="M254" s="896"/>
      <c r="N254" s="897"/>
      <c r="P254" s="65"/>
      <c r="Q254" s="65"/>
      <c r="R254" s="65"/>
      <c r="S254" s="65"/>
      <c r="T254" s="65"/>
      <c r="U254" s="65"/>
      <c r="V254" s="65"/>
      <c r="W254" s="65"/>
      <c r="X254" s="65"/>
      <c r="Y254" s="65"/>
      <c r="Z254" s="65"/>
      <c r="AA254" s="65"/>
      <c r="AB254" s="65"/>
    </row>
    <row r="255" spans="1:28" s="8" customFormat="1" ht="12.75" customHeight="1" x14ac:dyDescent="0.2">
      <c r="A255" s="65"/>
      <c r="C255" s="78"/>
      <c r="D255" s="14"/>
      <c r="E255" s="225"/>
      <c r="F255" s="895"/>
      <c r="G255" s="896"/>
      <c r="H255" s="897"/>
      <c r="I255" s="895"/>
      <c r="J255" s="896"/>
      <c r="K255" s="897"/>
      <c r="L255" s="895"/>
      <c r="M255" s="896"/>
      <c r="N255" s="897"/>
      <c r="P255" s="65"/>
      <c r="Q255" s="65"/>
      <c r="R255" s="65"/>
      <c r="S255" s="65"/>
      <c r="T255" s="65"/>
      <c r="U255" s="65"/>
      <c r="V255" s="65"/>
      <c r="W255" s="65"/>
      <c r="X255" s="65"/>
      <c r="Y255" s="65"/>
      <c r="Z255" s="65"/>
      <c r="AA255" s="65"/>
      <c r="AB255" s="65"/>
    </row>
    <row r="256" spans="1:28" s="8" customFormat="1" ht="12.75" customHeight="1" x14ac:dyDescent="0.2">
      <c r="A256" s="65"/>
      <c r="C256" s="78"/>
      <c r="D256" s="14"/>
      <c r="E256" s="225"/>
      <c r="F256" s="895"/>
      <c r="G256" s="896"/>
      <c r="H256" s="897"/>
      <c r="I256" s="895"/>
      <c r="J256" s="896"/>
      <c r="K256" s="897"/>
      <c r="L256" s="895"/>
      <c r="M256" s="896"/>
      <c r="N256" s="897"/>
      <c r="P256" s="65"/>
      <c r="Q256" s="65"/>
      <c r="R256" s="65"/>
      <c r="S256" s="65"/>
      <c r="T256" s="65"/>
      <c r="U256" s="65"/>
      <c r="V256" s="65"/>
      <c r="W256" s="65"/>
      <c r="X256" s="65"/>
      <c r="Y256" s="65"/>
      <c r="Z256" s="65"/>
      <c r="AA256" s="65"/>
      <c r="AB256" s="65"/>
    </row>
    <row r="257" spans="1:28" s="8" customFormat="1" ht="12.75" customHeight="1" x14ac:dyDescent="0.2">
      <c r="A257" s="65"/>
      <c r="C257" s="78"/>
      <c r="D257" s="14"/>
      <c r="E257" s="225"/>
      <c r="F257" s="895"/>
      <c r="G257" s="896"/>
      <c r="H257" s="897"/>
      <c r="I257" s="895"/>
      <c r="J257" s="896"/>
      <c r="K257" s="897"/>
      <c r="L257" s="895"/>
      <c r="M257" s="896"/>
      <c r="N257" s="897"/>
      <c r="P257" s="65"/>
      <c r="Q257" s="65"/>
      <c r="R257" s="65"/>
      <c r="S257" s="65"/>
      <c r="T257" s="65"/>
      <c r="U257" s="65"/>
      <c r="V257" s="65"/>
      <c r="W257" s="65"/>
      <c r="X257" s="65"/>
      <c r="Y257" s="65"/>
      <c r="Z257" s="65"/>
      <c r="AA257" s="65"/>
      <c r="AB257" s="65"/>
    </row>
    <row r="258" spans="1:28" s="8" customFormat="1" ht="12.75" customHeight="1" x14ac:dyDescent="0.2">
      <c r="A258" s="65"/>
      <c r="C258" s="78"/>
      <c r="D258" s="14"/>
      <c r="E258" s="225"/>
      <c r="F258" s="895"/>
      <c r="G258" s="896"/>
      <c r="H258" s="897"/>
      <c r="I258" s="895"/>
      <c r="J258" s="896"/>
      <c r="K258" s="897"/>
      <c r="L258" s="895"/>
      <c r="M258" s="896"/>
      <c r="N258" s="897"/>
      <c r="P258" s="65"/>
      <c r="Q258" s="65"/>
      <c r="R258" s="65"/>
      <c r="S258" s="65"/>
      <c r="T258" s="65"/>
      <c r="U258" s="65"/>
      <c r="V258" s="65"/>
      <c r="W258" s="65"/>
      <c r="X258" s="65"/>
      <c r="Y258" s="65"/>
      <c r="Z258" s="65"/>
      <c r="AA258" s="65"/>
      <c r="AB258" s="65"/>
    </row>
    <row r="259" spans="1:28" s="8" customFormat="1" ht="12.75" customHeight="1" x14ac:dyDescent="0.2">
      <c r="A259" s="65"/>
      <c r="C259" s="78"/>
      <c r="D259" s="14"/>
      <c r="E259" s="225"/>
      <c r="F259" s="895"/>
      <c r="G259" s="896"/>
      <c r="H259" s="897"/>
      <c r="I259" s="895"/>
      <c r="J259" s="896"/>
      <c r="K259" s="897"/>
      <c r="L259" s="895"/>
      <c r="M259" s="896"/>
      <c r="N259" s="897"/>
      <c r="P259" s="65"/>
      <c r="Q259" s="65"/>
      <c r="R259" s="65"/>
      <c r="S259" s="65"/>
      <c r="T259" s="65"/>
      <c r="U259" s="65"/>
      <c r="V259" s="65"/>
      <c r="W259" s="65"/>
      <c r="X259" s="65"/>
      <c r="Y259" s="65"/>
      <c r="Z259" s="65"/>
      <c r="AA259" s="65"/>
      <c r="AB259" s="65"/>
    </row>
    <row r="260" spans="1:28" s="8" customFormat="1" ht="12.75" hidden="1" customHeight="1" x14ac:dyDescent="0.2">
      <c r="A260" s="12" t="s">
        <v>1090</v>
      </c>
      <c r="C260" s="78"/>
      <c r="D260" s="14"/>
      <c r="E260" s="225"/>
      <c r="F260" s="895"/>
      <c r="G260" s="896"/>
      <c r="H260" s="897"/>
      <c r="I260" s="895"/>
      <c r="J260" s="896"/>
      <c r="K260" s="897"/>
      <c r="L260" s="907"/>
      <c r="M260" s="907"/>
      <c r="N260" s="907"/>
      <c r="P260" s="65"/>
      <c r="Q260" s="65"/>
      <c r="R260" s="65"/>
      <c r="S260" s="65"/>
      <c r="T260" s="65"/>
      <c r="U260" s="65"/>
      <c r="V260" s="65"/>
      <c r="W260" s="65"/>
      <c r="X260" s="65"/>
      <c r="Y260" s="65"/>
      <c r="Z260" s="65"/>
      <c r="AA260" s="65"/>
      <c r="AB260" s="65"/>
    </row>
    <row r="261" spans="1:28" s="8" customFormat="1" ht="12.75" customHeight="1" x14ac:dyDescent="0.2">
      <c r="A261" s="12" t="s">
        <v>2</v>
      </c>
      <c r="C261" s="78"/>
      <c r="D261" s="14"/>
      <c r="E261" s="334"/>
      <c r="F261" s="334"/>
      <c r="G261" s="334"/>
      <c r="K261" s="334"/>
      <c r="L261" s="11"/>
      <c r="M261" s="11"/>
      <c r="N261" s="11"/>
      <c r="P261" s="65"/>
      <c r="Q261" s="65"/>
      <c r="R261" s="65"/>
      <c r="S261" s="65"/>
      <c r="T261" s="65"/>
      <c r="U261" s="65"/>
      <c r="V261" s="65"/>
      <c r="W261" s="65"/>
      <c r="X261" s="65"/>
      <c r="Y261" s="65"/>
      <c r="Z261" s="65"/>
      <c r="AA261" s="65"/>
      <c r="AB261" s="65"/>
    </row>
    <row r="262" spans="1:28" s="8" customFormat="1" ht="5.0999999999999996" customHeight="1" x14ac:dyDescent="0.2">
      <c r="A262" s="12"/>
      <c r="C262" s="78"/>
      <c r="D262" s="14"/>
      <c r="G262" s="794" t="str">
        <f>Translations!$B$328</f>
        <v>Click "+" to add more activities excluded from EU ETS</v>
      </c>
      <c r="H262" s="794"/>
      <c r="I262" s="794"/>
      <c r="J262" s="794"/>
      <c r="K262" s="795"/>
      <c r="L262" s="11"/>
      <c r="M262" s="11"/>
      <c r="N262" s="11"/>
      <c r="P262" s="65"/>
      <c r="Q262" s="65"/>
      <c r="R262" s="65"/>
      <c r="S262" s="65"/>
      <c r="T262" s="65"/>
      <c r="U262" s="369"/>
      <c r="V262" s="65"/>
      <c r="W262" s="65"/>
      <c r="X262" s="65"/>
      <c r="Y262" s="65"/>
      <c r="Z262" s="65"/>
      <c r="AA262" s="65"/>
      <c r="AB262" s="65"/>
    </row>
    <row r="263" spans="1:28" s="8" customFormat="1" ht="12.75" customHeight="1" x14ac:dyDescent="0.2">
      <c r="A263" s="12"/>
      <c r="C263" s="78"/>
      <c r="D263" s="14"/>
      <c r="G263" s="794"/>
      <c r="H263" s="794"/>
      <c r="I263" s="794"/>
      <c r="J263" s="794"/>
      <c r="K263" s="795"/>
      <c r="L263" s="11"/>
      <c r="M263" s="11"/>
      <c r="N263" s="11"/>
      <c r="P263" s="65"/>
      <c r="Q263" s="65"/>
      <c r="R263" s="65"/>
      <c r="S263" s="65"/>
      <c r="T263" s="65"/>
      <c r="U263" s="369"/>
      <c r="V263" s="65"/>
      <c r="W263" s="65"/>
      <c r="X263" s="65"/>
      <c r="Y263" s="65"/>
      <c r="Z263" s="65"/>
      <c r="AA263" s="65"/>
      <c r="AB263" s="65"/>
    </row>
    <row r="264" spans="1:28" s="8" customFormat="1" ht="5.0999999999999996" customHeight="1" x14ac:dyDescent="0.2">
      <c r="A264" s="12"/>
      <c r="C264" s="78"/>
      <c r="D264" s="14"/>
      <c r="G264" s="794"/>
      <c r="H264" s="794"/>
      <c r="I264" s="794"/>
      <c r="J264" s="794"/>
      <c r="K264" s="795"/>
      <c r="L264" s="11"/>
      <c r="M264" s="11"/>
      <c r="N264" s="11"/>
      <c r="P264" s="65"/>
      <c r="Q264" s="65"/>
      <c r="R264" s="65"/>
      <c r="S264" s="65"/>
      <c r="T264" s="65"/>
      <c r="U264" s="369"/>
      <c r="V264" s="65"/>
      <c r="W264" s="65"/>
      <c r="X264" s="65"/>
      <c r="Y264" s="65"/>
      <c r="Z264" s="65"/>
      <c r="AA264" s="65"/>
      <c r="AB264" s="65"/>
    </row>
    <row r="265" spans="1:28" s="8" customFormat="1" ht="12.75" customHeight="1" x14ac:dyDescent="0.2">
      <c r="A265" s="65"/>
      <c r="C265" s="78"/>
      <c r="D265" s="14"/>
      <c r="E265" s="334"/>
      <c r="F265" s="334"/>
      <c r="G265" s="11"/>
      <c r="H265" s="11"/>
      <c r="I265" s="11"/>
      <c r="J265" s="11"/>
      <c r="K265" s="11"/>
      <c r="L265" s="11"/>
      <c r="M265" s="11"/>
      <c r="N265" s="11"/>
      <c r="P265" s="65"/>
      <c r="Q265" s="65"/>
      <c r="R265" s="65"/>
      <c r="S265" s="65"/>
      <c r="T265" s="65"/>
      <c r="U265" s="65"/>
      <c r="V265" s="65"/>
      <c r="W265" s="65"/>
      <c r="X265" s="65"/>
      <c r="Y265" s="65"/>
      <c r="Z265" s="65"/>
      <c r="AA265" s="65"/>
      <c r="AB265" s="65"/>
    </row>
    <row r="266" spans="1:28" s="11" customFormat="1" ht="15" customHeight="1" x14ac:dyDescent="0.2">
      <c r="A266" s="6"/>
      <c r="D266" s="310"/>
      <c r="E266" s="310"/>
      <c r="F266" s="770" t="str">
        <f>EUconst_MsgNextSheet</f>
        <v xml:space="preserve">&lt;&lt;&lt; Click here to proceed to next sheet &gt;&gt;&gt; </v>
      </c>
      <c r="G266" s="770"/>
      <c r="H266" s="770"/>
      <c r="I266" s="770"/>
      <c r="J266" s="770"/>
      <c r="K266" s="770"/>
      <c r="L266" s="770"/>
      <c r="O266" s="8"/>
      <c r="P266" s="6"/>
      <c r="Q266" s="65"/>
      <c r="R266" s="65"/>
      <c r="S266" s="65"/>
      <c r="T266" s="65"/>
      <c r="U266" s="65"/>
      <c r="V266" s="65"/>
      <c r="W266" s="65"/>
      <c r="X266" s="65"/>
      <c r="Y266" s="65"/>
      <c r="Z266" s="65"/>
      <c r="AA266" s="65"/>
      <c r="AB266" s="65"/>
    </row>
    <row r="267" spans="1:28" s="8" customFormat="1" ht="12.75" customHeight="1" x14ac:dyDescent="0.2">
      <c r="A267" s="65"/>
      <c r="C267" s="78"/>
      <c r="D267" s="14"/>
      <c r="E267" s="334"/>
      <c r="F267" s="334"/>
      <c r="G267" s="334"/>
      <c r="K267" s="334"/>
      <c r="L267" s="334"/>
      <c r="M267" s="334"/>
      <c r="P267" s="65"/>
      <c r="Q267" s="65"/>
      <c r="R267" s="65"/>
      <c r="S267" s="65"/>
      <c r="T267" s="65"/>
      <c r="U267" s="65"/>
      <c r="V267" s="65"/>
      <c r="W267" s="65"/>
      <c r="X267" s="65"/>
      <c r="Y267" s="65"/>
      <c r="Z267" s="65"/>
      <c r="AA267" s="65"/>
      <c r="AB267" s="65"/>
    </row>
    <row r="268" spans="1:28" s="8" customFormat="1" ht="12.75" customHeight="1" x14ac:dyDescent="0.2">
      <c r="A268" s="65"/>
      <c r="C268" s="78"/>
      <c r="E268" s="928"/>
      <c r="F268" s="928">
        <v>10</v>
      </c>
      <c r="G268" s="928"/>
      <c r="H268" s="928"/>
      <c r="I268" s="928"/>
      <c r="P268" s="65"/>
      <c r="Q268" s="65"/>
      <c r="R268" s="65"/>
      <c r="S268" s="65"/>
      <c r="T268" s="65"/>
      <c r="U268" s="65"/>
      <c r="V268" s="65"/>
      <c r="W268" s="65"/>
      <c r="X268" s="65"/>
      <c r="Y268" s="65"/>
      <c r="Z268" s="65"/>
      <c r="AA268" s="65"/>
      <c r="AB268" s="65"/>
    </row>
    <row r="269" spans="1:28" s="8" customFormat="1" ht="12.75" hidden="1" customHeight="1" x14ac:dyDescent="0.2">
      <c r="A269" s="12" t="s">
        <v>1090</v>
      </c>
      <c r="B269" s="17" t="s">
        <v>1528</v>
      </c>
      <c r="C269" s="17" t="s">
        <v>1528</v>
      </c>
      <c r="D269" s="17" t="s">
        <v>1528</v>
      </c>
      <c r="E269" s="17" t="s">
        <v>1528</v>
      </c>
      <c r="F269" s="17" t="s">
        <v>1528</v>
      </c>
      <c r="G269" s="17" t="s">
        <v>1528</v>
      </c>
      <c r="H269" s="17" t="s">
        <v>1528</v>
      </c>
      <c r="I269" s="17" t="s">
        <v>1528</v>
      </c>
      <c r="J269" s="17" t="s">
        <v>1528</v>
      </c>
      <c r="K269" s="17" t="s">
        <v>1528</v>
      </c>
      <c r="L269" s="17" t="s">
        <v>1528</v>
      </c>
      <c r="M269" s="17" t="s">
        <v>1528</v>
      </c>
      <c r="N269" s="17" t="s">
        <v>1528</v>
      </c>
      <c r="O269" s="17" t="s">
        <v>1528</v>
      </c>
      <c r="P269" s="12" t="s">
        <v>1528</v>
      </c>
      <c r="Q269" s="12" t="s">
        <v>1528</v>
      </c>
      <c r="R269" s="12" t="s">
        <v>1528</v>
      </c>
      <c r="S269" s="12" t="s">
        <v>1528</v>
      </c>
      <c r="T269" s="12" t="s">
        <v>1528</v>
      </c>
      <c r="U269" s="12" t="s">
        <v>1528</v>
      </c>
      <c r="V269" s="12" t="s">
        <v>1528</v>
      </c>
      <c r="W269" s="12" t="s">
        <v>1528</v>
      </c>
      <c r="X269" s="12" t="s">
        <v>1528</v>
      </c>
      <c r="Y269" s="12" t="s">
        <v>1528</v>
      </c>
      <c r="Z269" s="12" t="s">
        <v>1528</v>
      </c>
      <c r="AA269" s="12" t="s">
        <v>1528</v>
      </c>
      <c r="AB269" s="12" t="s">
        <v>1528</v>
      </c>
    </row>
    <row r="270" spans="1:28" s="8" customFormat="1" ht="12.75" hidden="1" customHeight="1" x14ac:dyDescent="0.2">
      <c r="A270" s="12" t="s">
        <v>1090</v>
      </c>
      <c r="B270" s="417"/>
      <c r="C270" s="417"/>
      <c r="D270" s="417"/>
      <c r="E270" s="417"/>
      <c r="F270" s="417"/>
      <c r="G270" s="417"/>
      <c r="H270" s="417"/>
      <c r="I270" s="417"/>
      <c r="J270" s="417"/>
      <c r="K270" s="417"/>
      <c r="L270" s="417"/>
      <c r="M270" s="417"/>
      <c r="N270" s="417"/>
      <c r="O270" s="417"/>
      <c r="P270" s="65"/>
      <c r="Q270" s="65"/>
      <c r="R270" s="65"/>
      <c r="S270" s="65"/>
      <c r="T270" s="65"/>
      <c r="U270" s="65"/>
      <c r="V270" s="65"/>
      <c r="W270" s="65"/>
      <c r="X270" s="65"/>
      <c r="Y270" s="65"/>
      <c r="Z270" s="65"/>
      <c r="AA270" s="65"/>
      <c r="AB270" s="65"/>
    </row>
    <row r="271" spans="1:28" s="8" customFormat="1" ht="12.75" hidden="1" customHeight="1" thickBot="1" x14ac:dyDescent="0.25">
      <c r="A271" s="12" t="s">
        <v>1090</v>
      </c>
      <c r="B271" s="417"/>
      <c r="C271" s="417"/>
      <c r="D271" s="417"/>
      <c r="E271" s="417"/>
      <c r="F271" s="7" t="str">
        <f>Translations!$B$956</f>
        <v>Activity</v>
      </c>
      <c r="G271" s="7" t="s">
        <v>1618</v>
      </c>
      <c r="H271" s="417"/>
      <c r="I271" s="417"/>
      <c r="J271" s="417"/>
      <c r="K271" s="417"/>
      <c r="L271" s="417"/>
      <c r="M271" s="417"/>
      <c r="N271" s="417"/>
      <c r="O271" s="417"/>
      <c r="P271" s="65"/>
      <c r="Q271" s="65"/>
      <c r="R271" s="65"/>
      <c r="S271" s="65"/>
      <c r="T271" s="65"/>
      <c r="U271" s="65"/>
      <c r="V271" s="65"/>
      <c r="W271" s="65"/>
      <c r="X271" s="65"/>
      <c r="Y271" s="65"/>
      <c r="Z271" s="65"/>
      <c r="AA271" s="65"/>
      <c r="AB271" s="65"/>
    </row>
    <row r="272" spans="1:28" s="8" customFormat="1" ht="12.75" hidden="1" customHeight="1" x14ac:dyDescent="0.2">
      <c r="A272" s="12" t="s">
        <v>1090</v>
      </c>
      <c r="B272" s="417"/>
      <c r="C272" s="417"/>
      <c r="D272" s="417"/>
      <c r="E272" s="603" t="s">
        <v>1612</v>
      </c>
      <c r="F272" s="644" t="str">
        <f>IF(ISBLANK(F56),"",F56)</f>
        <v/>
      </c>
      <c r="G272" s="636" t="str">
        <f>IF($F272="","",INDEX(EUwideConstants!E$230:E$258,MATCH($F272,AnnexIActivities,0)))</f>
        <v/>
      </c>
      <c r="H272" s="637" t="str">
        <f>IF($F272="","",INDEX(EUwideConstants!F$230:F$258,MATCH($F272,AnnexIActivities,0)))</f>
        <v/>
      </c>
      <c r="I272" s="637" t="str">
        <f>IF($F272="","",INDEX(EUwideConstants!G$230:G$258,MATCH($F272,AnnexIActivities,0)))</f>
        <v/>
      </c>
      <c r="J272" s="637" t="str">
        <f>IF($F272="","",INDEX(EUwideConstants!H$230:H$258,MATCH($F272,AnnexIActivities,0)))</f>
        <v/>
      </c>
      <c r="K272" s="637" t="str">
        <f>IF($F272="","",INDEX(EUwideConstants!I$230:I$258,MATCH($F272,AnnexIActivities,0)))</f>
        <v/>
      </c>
      <c r="L272" s="637" t="str">
        <f>IF($F272="","",INDEX(EUwideConstants!J$230:J$258,MATCH($F272,AnnexIActivities,0)))</f>
        <v/>
      </c>
      <c r="M272" s="638" t="str">
        <f>IF($F272="","",INDEX(EUwideConstants!K$230:K$258,MATCH($F272,AnnexIActivities,0)))</f>
        <v/>
      </c>
      <c r="N272" s="11"/>
      <c r="O272" s="11"/>
      <c r="P272" s="65"/>
      <c r="Q272" s="65"/>
      <c r="R272" s="65"/>
      <c r="S272" s="65"/>
      <c r="T272" s="65"/>
      <c r="U272" s="65"/>
      <c r="V272" s="65"/>
      <c r="W272" s="65"/>
      <c r="X272" s="65"/>
      <c r="Y272" s="65"/>
      <c r="Z272" s="65"/>
      <c r="AA272" s="65"/>
      <c r="AB272" s="65"/>
    </row>
    <row r="273" spans="1:28" s="8" customFormat="1" ht="12.75" hidden="1" customHeight="1" x14ac:dyDescent="0.2">
      <c r="A273" s="12" t="s">
        <v>1090</v>
      </c>
      <c r="B273" s="417"/>
      <c r="C273" s="417"/>
      <c r="D273" s="417"/>
      <c r="E273" s="603" t="s">
        <v>1613</v>
      </c>
      <c r="F273" s="645" t="str">
        <f>IF(ISBLANK(F57),"",F57)</f>
        <v/>
      </c>
      <c r="G273" s="639" t="str">
        <f>IF($F273="","",INDEX(EUwideConstants!E$230:E$258,MATCH($F273,AnnexIActivities,0)))</f>
        <v/>
      </c>
      <c r="H273" s="89" t="str">
        <f>IF($F273="","",INDEX(EUwideConstants!F$230:F$258,MATCH($F273,AnnexIActivities,0)))</f>
        <v/>
      </c>
      <c r="I273" s="89" t="str">
        <f>IF($F273="","",INDEX(EUwideConstants!G$230:G$258,MATCH($F273,AnnexIActivities,0)))</f>
        <v/>
      </c>
      <c r="J273" s="89" t="str">
        <f>IF($F273="","",INDEX(EUwideConstants!H$230:H$258,MATCH($F273,AnnexIActivities,0)))</f>
        <v/>
      </c>
      <c r="K273" s="89" t="str">
        <f>IF($F273="","",INDEX(EUwideConstants!I$230:I$258,MATCH($F273,AnnexIActivities,0)))</f>
        <v/>
      </c>
      <c r="L273" s="89" t="str">
        <f>IF($F273="","",INDEX(EUwideConstants!J$230:J$258,MATCH($F273,AnnexIActivities,0)))</f>
        <v/>
      </c>
      <c r="M273" s="640" t="str">
        <f>IF($F273="","",INDEX(EUwideConstants!K$230:K$258,MATCH($F273,AnnexIActivities,0)))</f>
        <v/>
      </c>
      <c r="N273" s="11"/>
      <c r="O273" s="11"/>
      <c r="P273" s="65"/>
      <c r="Q273" s="65"/>
      <c r="R273" s="65"/>
      <c r="S273" s="65"/>
      <c r="T273" s="65"/>
      <c r="U273" s="65"/>
      <c r="V273" s="65"/>
      <c r="W273" s="65"/>
      <c r="X273" s="65"/>
      <c r="Y273" s="65"/>
      <c r="Z273" s="65"/>
      <c r="AA273" s="65"/>
      <c r="AB273" s="65"/>
    </row>
    <row r="274" spans="1:28" s="8" customFormat="1" ht="12.75" hidden="1" customHeight="1" x14ac:dyDescent="0.2">
      <c r="A274" s="12" t="s">
        <v>1090</v>
      </c>
      <c r="B274" s="417"/>
      <c r="C274" s="417"/>
      <c r="D274" s="417"/>
      <c r="E274" s="603" t="s">
        <v>1614</v>
      </c>
      <c r="F274" s="645" t="str">
        <f>IF(ISBLANK(F58),"",F58)</f>
        <v/>
      </c>
      <c r="G274" s="639" t="str">
        <f>IF($F274="","",INDEX(EUwideConstants!E$230:E$258,MATCH($F274,AnnexIActivities,0)))</f>
        <v/>
      </c>
      <c r="H274" s="89" t="str">
        <f>IF($F274="","",INDEX(EUwideConstants!F$230:F$258,MATCH($F274,AnnexIActivities,0)))</f>
        <v/>
      </c>
      <c r="I274" s="89" t="str">
        <f>IF($F274="","",INDEX(EUwideConstants!G$230:G$258,MATCH($F274,AnnexIActivities,0)))</f>
        <v/>
      </c>
      <c r="J274" s="89" t="str">
        <f>IF($F274="","",INDEX(EUwideConstants!H$230:H$258,MATCH($F274,AnnexIActivities,0)))</f>
        <v/>
      </c>
      <c r="K274" s="89" t="str">
        <f>IF($F274="","",INDEX(EUwideConstants!I$230:I$258,MATCH($F274,AnnexIActivities,0)))</f>
        <v/>
      </c>
      <c r="L274" s="89" t="str">
        <f>IF($F274="","",INDEX(EUwideConstants!J$230:J$258,MATCH($F274,AnnexIActivities,0)))</f>
        <v/>
      </c>
      <c r="M274" s="640" t="str">
        <f>IF($F274="","",INDEX(EUwideConstants!K$230:K$258,MATCH($F274,AnnexIActivities,0)))</f>
        <v/>
      </c>
      <c r="N274" s="11"/>
      <c r="O274" s="11"/>
      <c r="P274" s="65"/>
      <c r="Q274" s="65"/>
      <c r="R274" s="65"/>
      <c r="S274" s="65"/>
      <c r="T274" s="65"/>
      <c r="U274" s="65"/>
      <c r="V274" s="65"/>
      <c r="W274" s="65"/>
      <c r="X274" s="65"/>
      <c r="Y274" s="65"/>
      <c r="Z274" s="65"/>
      <c r="AA274" s="65"/>
      <c r="AB274" s="65"/>
    </row>
    <row r="275" spans="1:28" s="8" customFormat="1" ht="12.75" hidden="1" customHeight="1" x14ac:dyDescent="0.2">
      <c r="A275" s="12" t="s">
        <v>1090</v>
      </c>
      <c r="B275" s="417"/>
      <c r="C275" s="417"/>
      <c r="D275" s="417"/>
      <c r="E275" s="603" t="s">
        <v>1615</v>
      </c>
      <c r="F275" s="645" t="str">
        <f>IF(ISBLANK(F59),"",F59)</f>
        <v/>
      </c>
      <c r="G275" s="639" t="str">
        <f>IF($F275="","",INDEX(EUwideConstants!E$230:E$258,MATCH($F275,AnnexIActivities,0)))</f>
        <v/>
      </c>
      <c r="H275" s="89" t="str">
        <f>IF($F275="","",INDEX(EUwideConstants!F$230:F$258,MATCH($F275,AnnexIActivities,0)))</f>
        <v/>
      </c>
      <c r="I275" s="89" t="str">
        <f>IF($F275="","",INDEX(EUwideConstants!G$230:G$258,MATCH($F275,AnnexIActivities,0)))</f>
        <v/>
      </c>
      <c r="J275" s="89" t="str">
        <f>IF($F275="","",INDEX(EUwideConstants!H$230:H$258,MATCH($F275,AnnexIActivities,0)))</f>
        <v/>
      </c>
      <c r="K275" s="89" t="str">
        <f>IF($F275="","",INDEX(EUwideConstants!I$230:I$258,MATCH($F275,AnnexIActivities,0)))</f>
        <v/>
      </c>
      <c r="L275" s="89" t="str">
        <f>IF($F275="","",INDEX(EUwideConstants!J$230:J$258,MATCH($F275,AnnexIActivities,0)))</f>
        <v/>
      </c>
      <c r="M275" s="640" t="str">
        <f>IF($F275="","",INDEX(EUwideConstants!K$230:K$258,MATCH($F275,AnnexIActivities,0)))</f>
        <v/>
      </c>
      <c r="N275" s="11"/>
      <c r="O275" s="11"/>
      <c r="P275" s="65"/>
      <c r="Q275" s="65"/>
      <c r="R275" s="65"/>
      <c r="S275" s="65"/>
      <c r="T275" s="65"/>
      <c r="U275" s="65"/>
      <c r="V275" s="65"/>
      <c r="W275" s="65"/>
      <c r="X275" s="65"/>
      <c r="Y275" s="65"/>
      <c r="Z275" s="65"/>
      <c r="AA275" s="65"/>
      <c r="AB275" s="65"/>
    </row>
    <row r="276" spans="1:28" s="8" customFormat="1" ht="12.75" hidden="1" customHeight="1" x14ac:dyDescent="0.2">
      <c r="A276" s="12" t="s">
        <v>1090</v>
      </c>
      <c r="B276" s="417"/>
      <c r="C276" s="417"/>
      <c r="D276" s="417"/>
      <c r="E276" s="603" t="s">
        <v>1616</v>
      </c>
      <c r="F276" s="645" t="str">
        <f>IF(ISBLANK(F60),"",F60)</f>
        <v/>
      </c>
      <c r="G276" s="639" t="str">
        <f>IF($F276="","",INDEX(EUwideConstants!E$230:E$258,MATCH($F276,AnnexIActivities,0)))</f>
        <v/>
      </c>
      <c r="H276" s="89" t="str">
        <f>IF($F276="","",INDEX(EUwideConstants!F$230:F$258,MATCH($F276,AnnexIActivities,0)))</f>
        <v/>
      </c>
      <c r="I276" s="89" t="str">
        <f>IF($F276="","",INDEX(EUwideConstants!G$230:G$258,MATCH($F276,AnnexIActivities,0)))</f>
        <v/>
      </c>
      <c r="J276" s="89" t="str">
        <f>IF($F276="","",INDEX(EUwideConstants!H$230:H$258,MATCH($F276,AnnexIActivities,0)))</f>
        <v/>
      </c>
      <c r="K276" s="89" t="str">
        <f>IF($F276="","",INDEX(EUwideConstants!I$230:I$258,MATCH($F276,AnnexIActivities,0)))</f>
        <v/>
      </c>
      <c r="L276" s="89" t="str">
        <f>IF($F276="","",INDEX(EUwideConstants!J$230:J$258,MATCH($F276,AnnexIActivities,0)))</f>
        <v/>
      </c>
      <c r="M276" s="640" t="str">
        <f>IF($F276="","",INDEX(EUwideConstants!K$230:K$258,MATCH($F276,AnnexIActivities,0)))</f>
        <v/>
      </c>
      <c r="N276" s="11"/>
      <c r="O276" s="11"/>
      <c r="P276" s="65"/>
      <c r="Q276" s="65"/>
      <c r="R276" s="65"/>
      <c r="S276" s="65"/>
      <c r="T276" s="65"/>
      <c r="U276" s="65"/>
      <c r="V276" s="65"/>
      <c r="W276" s="65"/>
      <c r="X276" s="65"/>
      <c r="Y276" s="65"/>
      <c r="Z276" s="65"/>
      <c r="AA276" s="65"/>
      <c r="AB276" s="65"/>
    </row>
    <row r="277" spans="1:28" s="8" customFormat="1" ht="12.75" hidden="1" customHeight="1" thickBot="1" x14ac:dyDescent="0.25">
      <c r="A277" s="12" t="s">
        <v>1090</v>
      </c>
      <c r="B277" s="417"/>
      <c r="C277" s="417"/>
      <c r="D277" s="417"/>
      <c r="E277" s="603" t="s">
        <v>1617</v>
      </c>
      <c r="F277" s="646" t="str">
        <f>IF(ISBLANK(F63),"",F63)</f>
        <v/>
      </c>
      <c r="G277" s="641" t="str">
        <f>IF($F277="","",INDEX(EUwideConstants!E$230:E$258,MATCH($F277,AnnexIActivities,0)))</f>
        <v/>
      </c>
      <c r="H277" s="642" t="str">
        <f>IF($F277="","",INDEX(EUwideConstants!F$230:F$258,MATCH($F277,AnnexIActivities,0)))</f>
        <v/>
      </c>
      <c r="I277" s="642" t="str">
        <f>IF($F277="","",INDEX(EUwideConstants!G$230:G$258,MATCH($F277,AnnexIActivities,0)))</f>
        <v/>
      </c>
      <c r="J277" s="642" t="str">
        <f>IF($F277="","",INDEX(EUwideConstants!H$230:H$258,MATCH($F277,AnnexIActivities,0)))</f>
        <v/>
      </c>
      <c r="K277" s="642" t="str">
        <f>IF($F277="","",INDEX(EUwideConstants!I$230:I$258,MATCH($F277,AnnexIActivities,0)))</f>
        <v/>
      </c>
      <c r="L277" s="642" t="str">
        <f>IF($F277="","",INDEX(EUwideConstants!J$230:J$258,MATCH($F277,AnnexIActivities,0)))</f>
        <v/>
      </c>
      <c r="M277" s="643" t="str">
        <f>IF($F277="","",INDEX(EUwideConstants!K$230:K$258,MATCH($F277,AnnexIActivities,0)))</f>
        <v/>
      </c>
      <c r="N277" s="11"/>
      <c r="O277" s="11"/>
      <c r="P277" s="65"/>
      <c r="Q277" s="65"/>
      <c r="R277" s="65"/>
      <c r="S277" s="65"/>
      <c r="T277" s="65"/>
      <c r="U277" s="65"/>
      <c r="V277" s="65"/>
      <c r="W277" s="65"/>
      <c r="X277" s="65"/>
      <c r="Y277" s="65"/>
      <c r="Z277" s="65"/>
      <c r="AA277" s="65"/>
      <c r="AB277" s="65"/>
    </row>
    <row r="278" spans="1:28" s="8" customFormat="1" ht="12.75" hidden="1" customHeight="1" thickBot="1" x14ac:dyDescent="0.25">
      <c r="A278" s="12" t="s">
        <v>1090</v>
      </c>
      <c r="B278" s="417"/>
      <c r="C278" s="417"/>
      <c r="D278" s="417"/>
      <c r="E278" s="11"/>
      <c r="F278" s="185"/>
      <c r="G278" s="11"/>
      <c r="H278" s="11"/>
      <c r="I278" s="11"/>
      <c r="J278" s="11"/>
      <c r="K278" s="11"/>
      <c r="L278" s="11"/>
      <c r="M278" s="11"/>
      <c r="N278" s="11"/>
      <c r="O278" s="11"/>
      <c r="P278" s="65"/>
      <c r="Q278" s="65"/>
      <c r="R278" s="65"/>
      <c r="S278" s="65"/>
      <c r="T278" s="65"/>
      <c r="U278" s="65"/>
      <c r="V278" s="65"/>
      <c r="W278" s="65"/>
      <c r="X278" s="65"/>
      <c r="Y278" s="65"/>
      <c r="Z278" s="65"/>
      <c r="AA278" s="65"/>
      <c r="AB278" s="65"/>
    </row>
    <row r="279" spans="1:28" s="8" customFormat="1" ht="12.75" hidden="1" customHeight="1" thickBot="1" x14ac:dyDescent="0.25">
      <c r="A279" s="12" t="s">
        <v>1090</v>
      </c>
      <c r="B279" s="417"/>
      <c r="C279" s="417"/>
      <c r="D279" s="417"/>
      <c r="E279" s="11"/>
      <c r="F279" s="418"/>
      <c r="G279" s="419"/>
      <c r="H279" s="419"/>
      <c r="I279" s="419" t="s">
        <v>1530</v>
      </c>
      <c r="J279" s="419"/>
      <c r="K279" s="419" t="s">
        <v>805</v>
      </c>
      <c r="L279" s="419"/>
      <c r="M279" s="420"/>
      <c r="N279" s="11"/>
      <c r="O279" s="11"/>
      <c r="P279" s="65"/>
      <c r="Q279" s="65"/>
      <c r="R279" s="65"/>
      <c r="S279" s="65"/>
      <c r="T279" s="65"/>
      <c r="U279" s="65"/>
      <c r="V279" s="65"/>
      <c r="W279" s="65"/>
      <c r="X279" s="65"/>
      <c r="Y279" s="65"/>
      <c r="Z279" s="65"/>
      <c r="AA279" s="65"/>
      <c r="AB279" s="65"/>
    </row>
    <row r="280" spans="1:28" s="8" customFormat="1" ht="12.75" hidden="1" customHeight="1" x14ac:dyDescent="0.2">
      <c r="A280" s="12" t="s">
        <v>1090</v>
      </c>
      <c r="B280" s="417"/>
      <c r="C280" s="417"/>
      <c r="D280" s="417"/>
      <c r="E280" s="11"/>
      <c r="F280" s="421">
        <v>1</v>
      </c>
      <c r="G280" s="422" t="str">
        <f>INDEX(EUConst_TierActivityListNames,F280)</f>
        <v>Combustion: Commercial standard fuels</v>
      </c>
      <c r="H280" s="422">
        <f t="shared" ref="H280:H288" si="26">F280</f>
        <v>1</v>
      </c>
      <c r="I280" s="18" t="str">
        <f>IF(ISERROR(INDEX($G$280:$G$350,MATCH(F280,$H$280:$H$350,0))),"",INDEX($G$280:$G$350,MATCH(F280,$H$280:$H$350,0)))</f>
        <v>Combustion: Commercial standard fuels</v>
      </c>
      <c r="J280" s="422"/>
      <c r="K280" s="422"/>
      <c r="L280" s="422"/>
      <c r="M280" s="423"/>
      <c r="N280" s="11"/>
      <c r="O280" s="11"/>
      <c r="P280" s="65"/>
      <c r="Q280" s="65"/>
      <c r="R280" s="65"/>
      <c r="S280" s="65"/>
      <c r="T280" s="65"/>
      <c r="U280" s="65"/>
      <c r="V280" s="65"/>
      <c r="W280" s="65"/>
      <c r="X280" s="65"/>
      <c r="Y280" s="65"/>
      <c r="Z280" s="65"/>
      <c r="AA280" s="65"/>
      <c r="AB280" s="65"/>
    </row>
    <row r="281" spans="1:28" s="8" customFormat="1" ht="12.75" hidden="1" customHeight="1" x14ac:dyDescent="0.2">
      <c r="A281" s="12" t="s">
        <v>1090</v>
      </c>
      <c r="B281" s="417"/>
      <c r="C281" s="417"/>
      <c r="D281" s="417"/>
      <c r="E281" s="11"/>
      <c r="F281" s="424">
        <f>F280+1</f>
        <v>2</v>
      </c>
      <c r="G281" s="425" t="str">
        <f t="shared" ref="G281:G339" si="27">INDEX(EUConst_TierActivityListNames,F281)</f>
        <v>Combustion: Other gaseous &amp; liquid fuels</v>
      </c>
      <c r="H281" s="425">
        <f t="shared" si="26"/>
        <v>2</v>
      </c>
      <c r="I281" s="19" t="str">
        <f t="shared" ref="I281:I344" si="28">IF(ISERROR(INDEX($G$280:$G$350,MATCH(F281,$H$280:$H$350,0))),"",INDEX($G$280:$G$350,MATCH(F281,$H$280:$H$350,0)))</f>
        <v>Combustion: Other gaseous &amp; liquid fuels</v>
      </c>
      <c r="J281" s="425"/>
      <c r="K281" s="425"/>
      <c r="L281" s="425"/>
      <c r="M281" s="426"/>
      <c r="N281" s="11"/>
      <c r="O281" s="11"/>
      <c r="P281" s="65"/>
      <c r="Q281" s="65"/>
      <c r="R281" s="65"/>
      <c r="S281" s="65"/>
      <c r="T281" s="65"/>
      <c r="U281" s="65"/>
      <c r="V281" s="65"/>
      <c r="W281" s="65"/>
      <c r="X281" s="65"/>
      <c r="Y281" s="65"/>
      <c r="Z281" s="65"/>
      <c r="AA281" s="65"/>
      <c r="AB281" s="65"/>
    </row>
    <row r="282" spans="1:28" s="8" customFormat="1" ht="12.75" hidden="1" customHeight="1" x14ac:dyDescent="0.2">
      <c r="A282" s="12" t="s">
        <v>1090</v>
      </c>
      <c r="B282" s="417"/>
      <c r="C282" s="417"/>
      <c r="D282" s="417"/>
      <c r="E282" s="11"/>
      <c r="F282" s="424">
        <f t="shared" ref="F282:F345" si="29">F281+1</f>
        <v>3</v>
      </c>
      <c r="G282" s="425" t="str">
        <f t="shared" si="27"/>
        <v>Combustion: Solid fuels, excluding waste</v>
      </c>
      <c r="H282" s="425">
        <f t="shared" si="26"/>
        <v>3</v>
      </c>
      <c r="I282" s="19" t="str">
        <f t="shared" si="28"/>
        <v>Combustion: Solid fuels, excluding waste</v>
      </c>
      <c r="J282" s="425"/>
      <c r="K282" s="425"/>
      <c r="L282" s="425"/>
      <c r="M282" s="426"/>
      <c r="N282" s="11"/>
      <c r="O282" s="11"/>
      <c r="P282" s="65"/>
      <c r="Q282" s="65"/>
      <c r="R282" s="65"/>
      <c r="S282" s="65"/>
      <c r="T282" s="65"/>
      <c r="U282" s="65"/>
      <c r="V282" s="65"/>
      <c r="W282" s="65"/>
      <c r="X282" s="65"/>
      <c r="Y282" s="65"/>
      <c r="Z282" s="65"/>
      <c r="AA282" s="65"/>
      <c r="AB282" s="65"/>
    </row>
    <row r="283" spans="1:28" s="8" customFormat="1" ht="12.75" hidden="1" customHeight="1" x14ac:dyDescent="0.2">
      <c r="A283" s="12" t="s">
        <v>1090</v>
      </c>
      <c r="B283" s="417"/>
      <c r="C283" s="417"/>
      <c r="D283" s="417"/>
      <c r="E283" s="11"/>
      <c r="F283" s="424">
        <f t="shared" si="29"/>
        <v>4</v>
      </c>
      <c r="G283" s="425" t="str">
        <f t="shared" si="27"/>
        <v>Combustion: Waste</v>
      </c>
      <c r="H283" s="425">
        <f t="shared" si="26"/>
        <v>4</v>
      </c>
      <c r="I283" s="19" t="str">
        <f t="shared" si="28"/>
        <v>Combustion: Waste</v>
      </c>
      <c r="J283" s="425"/>
      <c r="K283" s="425"/>
      <c r="L283" s="425"/>
      <c r="M283" s="426"/>
      <c r="N283" s="11"/>
      <c r="O283" s="11"/>
      <c r="P283" s="65"/>
      <c r="Q283" s="65"/>
      <c r="R283" s="65"/>
      <c r="S283" s="65"/>
      <c r="T283" s="65"/>
      <c r="U283" s="65"/>
      <c r="V283" s="65"/>
      <c r="W283" s="65"/>
      <c r="X283" s="65"/>
      <c r="Y283" s="65"/>
      <c r="Z283" s="65"/>
      <c r="AA283" s="65"/>
      <c r="AB283" s="65"/>
    </row>
    <row r="284" spans="1:28" s="8" customFormat="1" ht="12.75" hidden="1" customHeight="1" x14ac:dyDescent="0.2">
      <c r="A284" s="12" t="s">
        <v>1090</v>
      </c>
      <c r="B284" s="417"/>
      <c r="C284" s="417"/>
      <c r="D284" s="417"/>
      <c r="E284" s="11"/>
      <c r="F284" s="424">
        <f t="shared" si="29"/>
        <v>5</v>
      </c>
      <c r="G284" s="425" t="str">
        <f t="shared" si="27"/>
        <v>Combustion: Gas Processing Terminals</v>
      </c>
      <c r="H284" s="425">
        <f t="shared" si="26"/>
        <v>5</v>
      </c>
      <c r="I284" s="19" t="str">
        <f t="shared" si="28"/>
        <v>Combustion: Gas Processing Terminals</v>
      </c>
      <c r="J284" s="425"/>
      <c r="K284" s="425"/>
      <c r="L284" s="425"/>
      <c r="M284" s="426"/>
      <c r="N284" s="11"/>
      <c r="O284" s="11"/>
      <c r="P284" s="65"/>
      <c r="Q284" s="65"/>
      <c r="R284" s="65"/>
      <c r="S284" s="65"/>
      <c r="T284" s="65"/>
      <c r="U284" s="65"/>
      <c r="V284" s="65"/>
      <c r="W284" s="65"/>
      <c r="X284" s="65"/>
      <c r="Y284" s="65"/>
      <c r="Z284" s="65"/>
      <c r="AA284" s="65"/>
      <c r="AB284" s="65"/>
    </row>
    <row r="285" spans="1:28" s="8" customFormat="1" ht="12.75" hidden="1" customHeight="1" x14ac:dyDescent="0.2">
      <c r="A285" s="12" t="s">
        <v>1090</v>
      </c>
      <c r="B285" s="417"/>
      <c r="C285" s="417"/>
      <c r="D285" s="417"/>
      <c r="E285" s="11"/>
      <c r="F285" s="424">
        <f t="shared" si="29"/>
        <v>6</v>
      </c>
      <c r="G285" s="425" t="str">
        <f t="shared" si="27"/>
        <v>Combustion: Flares</v>
      </c>
      <c r="H285" s="425">
        <f t="shared" si="26"/>
        <v>6</v>
      </c>
      <c r="I285" s="19" t="str">
        <f t="shared" si="28"/>
        <v>Combustion: Flares</v>
      </c>
      <c r="J285" s="425"/>
      <c r="K285" s="425"/>
      <c r="L285" s="425"/>
      <c r="M285" s="426"/>
      <c r="N285" s="11"/>
      <c r="O285" s="11"/>
      <c r="P285" s="65"/>
      <c r="Q285" s="65"/>
      <c r="R285" s="65"/>
      <c r="S285" s="65"/>
      <c r="T285" s="65"/>
      <c r="U285" s="65"/>
      <c r="V285" s="65"/>
      <c r="W285" s="65"/>
      <c r="X285" s="65"/>
      <c r="Y285" s="65"/>
      <c r="Z285" s="65"/>
      <c r="AA285" s="65"/>
      <c r="AB285" s="65"/>
    </row>
    <row r="286" spans="1:28" s="8" customFormat="1" ht="12.75" hidden="1" customHeight="1" x14ac:dyDescent="0.2">
      <c r="A286" s="12" t="s">
        <v>1090</v>
      </c>
      <c r="B286" s="417"/>
      <c r="C286" s="417"/>
      <c r="D286" s="417"/>
      <c r="E286" s="11"/>
      <c r="F286" s="424">
        <f t="shared" si="29"/>
        <v>7</v>
      </c>
      <c r="G286" s="425" t="str">
        <f t="shared" si="27"/>
        <v>Combustion: Scrubbing (carbonate)</v>
      </c>
      <c r="H286" s="425">
        <f t="shared" si="26"/>
        <v>7</v>
      </c>
      <c r="I286" s="19" t="str">
        <f t="shared" si="28"/>
        <v>Combustion: Scrubbing (carbonate)</v>
      </c>
      <c r="J286" s="425"/>
      <c r="K286" s="425"/>
      <c r="L286" s="425"/>
      <c r="M286" s="426"/>
      <c r="N286" s="11"/>
      <c r="O286" s="11"/>
      <c r="P286" s="65"/>
      <c r="Q286" s="65"/>
      <c r="R286" s="65"/>
      <c r="S286" s="65"/>
      <c r="T286" s="65"/>
      <c r="U286" s="65"/>
      <c r="V286" s="65"/>
      <c r="W286" s="65"/>
      <c r="X286" s="65"/>
      <c r="Y286" s="65"/>
      <c r="Z286" s="65"/>
      <c r="AA286" s="65"/>
      <c r="AB286" s="65"/>
    </row>
    <row r="287" spans="1:28" s="8" customFormat="1" ht="12.75" hidden="1" customHeight="1" x14ac:dyDescent="0.2">
      <c r="A287" s="12" t="s">
        <v>1090</v>
      </c>
      <c r="B287" s="417"/>
      <c r="C287" s="417"/>
      <c r="D287" s="417"/>
      <c r="E287" s="11"/>
      <c r="F287" s="606">
        <f t="shared" si="29"/>
        <v>8</v>
      </c>
      <c r="G287" s="607" t="str">
        <f t="shared" si="27"/>
        <v>Combustion: Scrubbing (gypsum)</v>
      </c>
      <c r="H287" s="607">
        <f t="shared" si="26"/>
        <v>8</v>
      </c>
      <c r="I287" s="608" t="str">
        <f t="shared" si="28"/>
        <v>Combustion: Scrubbing (gypsum)</v>
      </c>
      <c r="J287" s="607"/>
      <c r="K287" s="607"/>
      <c r="L287" s="607"/>
      <c r="M287" s="609"/>
      <c r="N287" s="11"/>
      <c r="O287" s="11"/>
      <c r="P287" s="65"/>
      <c r="Q287" s="65"/>
      <c r="R287" s="65"/>
      <c r="S287" s="65"/>
      <c r="T287" s="65"/>
      <c r="U287" s="65"/>
      <c r="V287" s="65"/>
      <c r="W287" s="65"/>
      <c r="X287" s="65"/>
      <c r="Y287" s="65"/>
      <c r="Z287" s="65"/>
      <c r="AA287" s="65"/>
      <c r="AB287" s="65"/>
    </row>
    <row r="288" spans="1:28" s="8" customFormat="1" ht="12.75" hidden="1" customHeight="1" thickBot="1" x14ac:dyDescent="0.25">
      <c r="A288" s="12" t="s">
        <v>1090</v>
      </c>
      <c r="B288" s="417"/>
      <c r="C288" s="417"/>
      <c r="D288" s="417"/>
      <c r="E288" s="11"/>
      <c r="F288" s="427">
        <f t="shared" si="29"/>
        <v>9</v>
      </c>
      <c r="G288" s="428" t="str">
        <f t="shared" si="27"/>
        <v>Combustion: Scrubbing (urea)</v>
      </c>
      <c r="H288" s="428">
        <f t="shared" si="26"/>
        <v>9</v>
      </c>
      <c r="I288" s="20" t="str">
        <f t="shared" si="28"/>
        <v>Combustion: Scrubbing (urea)</v>
      </c>
      <c r="J288" s="428"/>
      <c r="K288" s="428"/>
      <c r="L288" s="428"/>
      <c r="M288" s="429"/>
      <c r="N288" s="11"/>
      <c r="O288" s="11"/>
      <c r="P288" s="65"/>
      <c r="Q288" s="65"/>
      <c r="R288" s="65"/>
      <c r="S288" s="65"/>
      <c r="T288" s="65"/>
      <c r="U288" s="65"/>
      <c r="V288" s="65"/>
      <c r="W288" s="65"/>
      <c r="X288" s="65"/>
      <c r="Y288" s="65"/>
      <c r="Z288" s="65"/>
      <c r="AA288" s="65"/>
      <c r="AB288" s="65"/>
    </row>
    <row r="289" spans="1:28" s="8" customFormat="1" ht="12.75" hidden="1" customHeight="1" x14ac:dyDescent="0.2">
      <c r="A289" s="12" t="s">
        <v>1090</v>
      </c>
      <c r="B289" s="417"/>
      <c r="C289" s="417"/>
      <c r="D289" s="417"/>
      <c r="E289" s="11"/>
      <c r="F289" s="421">
        <f t="shared" si="29"/>
        <v>10</v>
      </c>
      <c r="G289" s="422" t="str">
        <f>INDEX(EUConst_TierActivityListNames,F289)</f>
        <v>Refineries: Mass balance</v>
      </c>
      <c r="H289" s="422" t="str">
        <f>IF(COUNTIF($G$272:$M$277,G289)&gt;0,MAX(H$288:H288)+1,"")</f>
        <v/>
      </c>
      <c r="I289" s="18" t="str">
        <f t="shared" si="28"/>
        <v/>
      </c>
      <c r="J289" s="422"/>
      <c r="K289" s="422"/>
      <c r="L289" s="422"/>
      <c r="M289" s="423"/>
      <c r="N289" s="11"/>
      <c r="O289" s="11"/>
      <c r="P289" s="65"/>
      <c r="Q289" s="65"/>
      <c r="R289" s="65"/>
      <c r="S289" s="65"/>
      <c r="T289" s="65"/>
      <c r="U289" s="65"/>
      <c r="V289" s="65"/>
      <c r="W289" s="65"/>
      <c r="X289" s="65"/>
      <c r="Y289" s="65"/>
      <c r="Z289" s="65"/>
      <c r="AA289" s="65"/>
      <c r="AB289" s="65"/>
    </row>
    <row r="290" spans="1:28" s="8" customFormat="1" ht="12.75" hidden="1" customHeight="1" x14ac:dyDescent="0.2">
      <c r="A290" s="12" t="s">
        <v>1090</v>
      </c>
      <c r="B290" s="417"/>
      <c r="C290" s="417"/>
      <c r="D290" s="417"/>
      <c r="E290" s="11"/>
      <c r="F290" s="424">
        <f t="shared" si="29"/>
        <v>11</v>
      </c>
      <c r="G290" s="425" t="str">
        <f t="shared" si="27"/>
        <v>Refineries: Catalytic cracker regeneration</v>
      </c>
      <c r="H290" s="425" t="str">
        <f>IF(COUNTIF($G$272:$M$277,G290)&gt;0,MAX(H$288:H289)+1,"")</f>
        <v/>
      </c>
      <c r="I290" s="19" t="str">
        <f t="shared" si="28"/>
        <v/>
      </c>
      <c r="J290" s="425"/>
      <c r="K290" s="425"/>
      <c r="L290" s="425"/>
      <c r="M290" s="426"/>
      <c r="N290" s="11"/>
      <c r="O290" s="11"/>
      <c r="P290" s="65"/>
      <c r="Q290" s="65"/>
      <c r="R290" s="65"/>
      <c r="S290" s="65"/>
      <c r="T290" s="65"/>
      <c r="U290" s="65"/>
      <c r="V290" s="65"/>
      <c r="W290" s="65"/>
      <c r="X290" s="65"/>
      <c r="Y290" s="65"/>
      <c r="Z290" s="65"/>
      <c r="AA290" s="65"/>
      <c r="AB290" s="65"/>
    </row>
    <row r="291" spans="1:28" s="8" customFormat="1" ht="12.75" hidden="1" customHeight="1" x14ac:dyDescent="0.2">
      <c r="A291" s="12" t="s">
        <v>1090</v>
      </c>
      <c r="B291" s="417"/>
      <c r="C291" s="417"/>
      <c r="D291" s="417"/>
      <c r="E291" s="11"/>
      <c r="F291" s="424">
        <f t="shared" si="29"/>
        <v>12</v>
      </c>
      <c r="G291" s="425" t="str">
        <f t="shared" si="27"/>
        <v>Refineries: Hydrogen production</v>
      </c>
      <c r="H291" s="425" t="str">
        <f>IF(COUNTIF($G$272:$M$277,G291)&gt;0,MAX(H$288:H290)+1,"")</f>
        <v/>
      </c>
      <c r="I291" s="19" t="str">
        <f t="shared" si="28"/>
        <v/>
      </c>
      <c r="J291" s="425"/>
      <c r="K291" s="425"/>
      <c r="L291" s="425"/>
      <c r="M291" s="426"/>
      <c r="N291" s="11"/>
      <c r="O291" s="11"/>
      <c r="P291" s="65"/>
      <c r="Q291" s="65"/>
      <c r="R291" s="65"/>
      <c r="S291" s="65"/>
      <c r="T291" s="65"/>
      <c r="U291" s="65"/>
      <c r="V291" s="65"/>
      <c r="W291" s="65"/>
      <c r="X291" s="65"/>
      <c r="Y291" s="65"/>
      <c r="Z291" s="65"/>
      <c r="AA291" s="65"/>
      <c r="AB291" s="65"/>
    </row>
    <row r="292" spans="1:28" s="8" customFormat="1" ht="12.75" hidden="1" customHeight="1" x14ac:dyDescent="0.2">
      <c r="A292" s="12" t="s">
        <v>1090</v>
      </c>
      <c r="B292" s="417"/>
      <c r="C292" s="417"/>
      <c r="D292" s="417"/>
      <c r="E292" s="11"/>
      <c r="F292" s="424">
        <f t="shared" si="29"/>
        <v>13</v>
      </c>
      <c r="G292" s="425" t="str">
        <f t="shared" si="27"/>
        <v>Coke: Fuel as process input</v>
      </c>
      <c r="H292" s="425" t="str">
        <f>IF(COUNTIF($G$272:$M$277,G292)&gt;0,MAX(H$288:H291)+1,"")</f>
        <v/>
      </c>
      <c r="I292" s="19" t="str">
        <f t="shared" si="28"/>
        <v/>
      </c>
      <c r="J292" s="425"/>
      <c r="K292" s="425"/>
      <c r="L292" s="425"/>
      <c r="M292" s="426"/>
      <c r="N292" s="11"/>
      <c r="O292" s="11"/>
      <c r="P292" s="65"/>
      <c r="Q292" s="65"/>
      <c r="R292" s="65"/>
      <c r="S292" s="65"/>
      <c r="T292" s="65"/>
      <c r="U292" s="65"/>
      <c r="V292" s="65"/>
      <c r="W292" s="65"/>
      <c r="X292" s="65"/>
      <c r="Y292" s="65"/>
      <c r="Z292" s="65"/>
      <c r="AA292" s="65"/>
      <c r="AB292" s="65"/>
    </row>
    <row r="293" spans="1:28" s="8" customFormat="1" ht="12.75" hidden="1" customHeight="1" x14ac:dyDescent="0.2">
      <c r="A293" s="12" t="s">
        <v>1090</v>
      </c>
      <c r="B293" s="417"/>
      <c r="C293" s="417"/>
      <c r="D293" s="417"/>
      <c r="E293" s="11"/>
      <c r="F293" s="424">
        <f t="shared" si="29"/>
        <v>14</v>
      </c>
      <c r="G293" s="425" t="str">
        <f t="shared" si="27"/>
        <v>Coke: Process (method A): carbonate only</v>
      </c>
      <c r="H293" s="425" t="str">
        <f>IF(COUNTIF($G$272:$M$277,G293)&gt;0,MAX(H$288:H292)+1,"")</f>
        <v/>
      </c>
      <c r="I293" s="19" t="str">
        <f t="shared" si="28"/>
        <v/>
      </c>
      <c r="J293" s="425"/>
      <c r="K293" s="425"/>
      <c r="L293" s="425"/>
      <c r="M293" s="426"/>
      <c r="N293" s="11"/>
      <c r="O293" s="11"/>
      <c r="P293" s="65"/>
      <c r="Q293" s="65"/>
      <c r="R293" s="65"/>
      <c r="S293" s="65"/>
      <c r="T293" s="65"/>
      <c r="U293" s="65"/>
      <c r="V293" s="65"/>
      <c r="W293" s="65"/>
      <c r="X293" s="65"/>
      <c r="Y293" s="65"/>
      <c r="Z293" s="65"/>
      <c r="AA293" s="65"/>
      <c r="AB293" s="65"/>
    </row>
    <row r="294" spans="1:28" s="8" customFormat="1" ht="12.75" hidden="1" customHeight="1" x14ac:dyDescent="0.2">
      <c r="A294" s="12" t="s">
        <v>1090</v>
      </c>
      <c r="B294" s="417"/>
      <c r="C294" s="417"/>
      <c r="D294" s="417"/>
      <c r="E294" s="11"/>
      <c r="F294" s="424">
        <f t="shared" si="29"/>
        <v>15</v>
      </c>
      <c r="G294" s="425" t="str">
        <f t="shared" si="27"/>
        <v>Coke: Process (method A): mixed (carbonate + non-carbonate)</v>
      </c>
      <c r="H294" s="425" t="str">
        <f>IF(COUNTIF($G$272:$M$277,G294)&gt;0,MAX(H$288:H293)+1,"")</f>
        <v/>
      </c>
      <c r="I294" s="19" t="str">
        <f t="shared" si="28"/>
        <v/>
      </c>
      <c r="J294" s="425"/>
      <c r="K294" s="425"/>
      <c r="L294" s="425"/>
      <c r="M294" s="426"/>
      <c r="N294" s="11"/>
      <c r="O294" s="11"/>
      <c r="P294" s="65"/>
      <c r="Q294" s="65"/>
      <c r="R294" s="65"/>
      <c r="S294" s="65"/>
      <c r="T294" s="65"/>
      <c r="U294" s="65"/>
      <c r="V294" s="65"/>
      <c r="W294" s="65"/>
      <c r="X294" s="65"/>
      <c r="Y294" s="65"/>
      <c r="Z294" s="65"/>
      <c r="AA294" s="65"/>
      <c r="AB294" s="65"/>
    </row>
    <row r="295" spans="1:28" s="8" customFormat="1" ht="12.75" hidden="1" customHeight="1" x14ac:dyDescent="0.2">
      <c r="A295" s="12" t="s">
        <v>1090</v>
      </c>
      <c r="B295" s="417"/>
      <c r="C295" s="417"/>
      <c r="D295" s="417"/>
      <c r="E295" s="11"/>
      <c r="F295" s="424">
        <f t="shared" si="29"/>
        <v>16</v>
      </c>
      <c r="G295" s="425" t="str">
        <f t="shared" si="27"/>
        <v>Coke: Process (method A): non-carbonate</v>
      </c>
      <c r="H295" s="425" t="str">
        <f>IF(COUNTIF($G$272:$M$277,G295)&gt;0,MAX(H$288:H294)+1,"")</f>
        <v/>
      </c>
      <c r="I295" s="19" t="str">
        <f t="shared" si="28"/>
        <v/>
      </c>
      <c r="J295" s="425"/>
      <c r="K295" s="425"/>
      <c r="L295" s="425"/>
      <c r="M295" s="426"/>
      <c r="N295" s="11"/>
      <c r="O295" s="11"/>
      <c r="P295" s="65"/>
      <c r="Q295" s="65"/>
      <c r="R295" s="65"/>
      <c r="S295" s="65"/>
      <c r="T295" s="65"/>
      <c r="U295" s="65"/>
      <c r="V295" s="65"/>
      <c r="W295" s="65"/>
      <c r="X295" s="65"/>
      <c r="Y295" s="65"/>
      <c r="Z295" s="65"/>
      <c r="AA295" s="65"/>
      <c r="AB295" s="65"/>
    </row>
    <row r="296" spans="1:28" s="8" customFormat="1" ht="12.75" hidden="1" customHeight="1" x14ac:dyDescent="0.2">
      <c r="A296" s="12" t="s">
        <v>1090</v>
      </c>
      <c r="B296" s="417"/>
      <c r="C296" s="417"/>
      <c r="D296" s="417"/>
      <c r="E296" s="11"/>
      <c r="F296" s="424">
        <f t="shared" si="29"/>
        <v>17</v>
      </c>
      <c r="G296" s="425" t="str">
        <f t="shared" si="27"/>
        <v>Coke: Process (method B): oxide output</v>
      </c>
      <c r="H296" s="425" t="str">
        <f>IF(COUNTIF($G$272:$M$277,G296)&gt;0,MAX(H$288:H295)+1,"")</f>
        <v/>
      </c>
      <c r="I296" s="19" t="str">
        <f t="shared" si="28"/>
        <v/>
      </c>
      <c r="J296" s="425"/>
      <c r="K296" s="425"/>
      <c r="L296" s="425"/>
      <c r="M296" s="426"/>
      <c r="N296" s="11"/>
      <c r="O296" s="11"/>
      <c r="P296" s="65"/>
      <c r="Q296" s="65"/>
      <c r="R296" s="65"/>
      <c r="S296" s="65"/>
      <c r="T296" s="65"/>
      <c r="U296" s="65"/>
      <c r="V296" s="65"/>
      <c r="W296" s="65"/>
      <c r="X296" s="65"/>
      <c r="Y296" s="65"/>
      <c r="Z296" s="65"/>
      <c r="AA296" s="65"/>
      <c r="AB296" s="65"/>
    </row>
    <row r="297" spans="1:28" s="8" customFormat="1" ht="12.75" hidden="1" customHeight="1" x14ac:dyDescent="0.2">
      <c r="A297" s="12" t="s">
        <v>1090</v>
      </c>
      <c r="B297" s="417"/>
      <c r="C297" s="417"/>
      <c r="D297" s="417"/>
      <c r="E297" s="11"/>
      <c r="F297" s="424">
        <f t="shared" si="29"/>
        <v>18</v>
      </c>
      <c r="G297" s="425" t="str">
        <f t="shared" si="27"/>
        <v>Coke: Mass balance</v>
      </c>
      <c r="H297" s="425" t="str">
        <f>IF(COUNTIF($G$272:$M$277,G297)&gt;0,MAX(H$288:H296)+1,"")</f>
        <v/>
      </c>
      <c r="I297" s="19" t="str">
        <f t="shared" si="28"/>
        <v/>
      </c>
      <c r="J297" s="425"/>
      <c r="K297" s="425"/>
      <c r="L297" s="425"/>
      <c r="M297" s="426"/>
      <c r="N297" s="11"/>
      <c r="O297" s="11"/>
      <c r="P297" s="65"/>
      <c r="Q297" s="65"/>
      <c r="R297" s="65"/>
      <c r="S297" s="65"/>
      <c r="T297" s="65"/>
      <c r="U297" s="65"/>
      <c r="V297" s="65"/>
      <c r="W297" s="65"/>
      <c r="X297" s="65"/>
      <c r="Y297" s="65"/>
      <c r="Z297" s="65"/>
      <c r="AA297" s="65"/>
      <c r="AB297" s="65"/>
    </row>
    <row r="298" spans="1:28" s="8" customFormat="1" ht="12.75" hidden="1" customHeight="1" x14ac:dyDescent="0.2">
      <c r="A298" s="12" t="s">
        <v>1090</v>
      </c>
      <c r="B298" s="417"/>
      <c r="C298" s="417"/>
      <c r="D298" s="417"/>
      <c r="E298" s="11"/>
      <c r="F298" s="424">
        <f t="shared" si="29"/>
        <v>19</v>
      </c>
      <c r="G298" s="425" t="str">
        <f t="shared" si="27"/>
        <v>Metal ore: Process (method A): carbonate only</v>
      </c>
      <c r="H298" s="425" t="str">
        <f>IF(COUNTIF($G$272:$M$277,G298)&gt;0,MAX(H$288:H297)+1,"")</f>
        <v/>
      </c>
      <c r="I298" s="19" t="str">
        <f t="shared" si="28"/>
        <v/>
      </c>
      <c r="J298" s="425"/>
      <c r="K298" s="425"/>
      <c r="L298" s="425"/>
      <c r="M298" s="426"/>
      <c r="N298" s="11"/>
      <c r="O298" s="11"/>
      <c r="P298" s="65"/>
      <c r="Q298" s="65"/>
      <c r="R298" s="65"/>
      <c r="S298" s="65"/>
      <c r="T298" s="65"/>
      <c r="U298" s="65"/>
      <c r="V298" s="65"/>
      <c r="W298" s="65"/>
      <c r="X298" s="65"/>
      <c r="Y298" s="65"/>
      <c r="Z298" s="65"/>
      <c r="AA298" s="65"/>
      <c r="AB298" s="65"/>
    </row>
    <row r="299" spans="1:28" s="8" customFormat="1" ht="12.75" hidden="1" customHeight="1" x14ac:dyDescent="0.2">
      <c r="A299" s="12" t="s">
        <v>1090</v>
      </c>
      <c r="B299" s="417"/>
      <c r="C299" s="417"/>
      <c r="D299" s="417"/>
      <c r="E299" s="11"/>
      <c r="F299" s="424">
        <f t="shared" si="29"/>
        <v>20</v>
      </c>
      <c r="G299" s="425" t="str">
        <f t="shared" si="27"/>
        <v>Metal ore: Process (method A): mixed (carbonate + non-carbonate)</v>
      </c>
      <c r="H299" s="425" t="str">
        <f>IF(COUNTIF($G$272:$M$277,G299)&gt;0,MAX(H$288:H298)+1,"")</f>
        <v/>
      </c>
      <c r="I299" s="19" t="str">
        <f t="shared" si="28"/>
        <v/>
      </c>
      <c r="J299" s="425"/>
      <c r="K299" s="425"/>
      <c r="L299" s="425"/>
      <c r="M299" s="426"/>
      <c r="N299" s="11"/>
      <c r="O299" s="11"/>
      <c r="P299" s="65"/>
      <c r="Q299" s="65"/>
      <c r="R299" s="65"/>
      <c r="S299" s="65"/>
      <c r="T299" s="65"/>
      <c r="U299" s="65"/>
      <c r="V299" s="65"/>
      <c r="W299" s="65"/>
      <c r="X299" s="65"/>
      <c r="Y299" s="65"/>
      <c r="Z299" s="65"/>
      <c r="AA299" s="65"/>
      <c r="AB299" s="65"/>
    </row>
    <row r="300" spans="1:28" s="8" customFormat="1" ht="12.75" hidden="1" customHeight="1" x14ac:dyDescent="0.2">
      <c r="A300" s="12" t="s">
        <v>1090</v>
      </c>
      <c r="B300" s="417"/>
      <c r="C300" s="417"/>
      <c r="D300" s="417"/>
      <c r="E300" s="11"/>
      <c r="F300" s="424">
        <f t="shared" si="29"/>
        <v>21</v>
      </c>
      <c r="G300" s="425" t="str">
        <f t="shared" si="27"/>
        <v>Metal ore: Process (method A): non-carbonate</v>
      </c>
      <c r="H300" s="425" t="str">
        <f>IF(COUNTIF($G$272:$M$277,G300)&gt;0,MAX(H$288:H299)+1,"")</f>
        <v/>
      </c>
      <c r="I300" s="19" t="str">
        <f t="shared" si="28"/>
        <v/>
      </c>
      <c r="J300" s="425"/>
      <c r="K300" s="425"/>
      <c r="L300" s="425"/>
      <c r="M300" s="426"/>
      <c r="N300" s="11"/>
      <c r="O300" s="11"/>
      <c r="P300" s="65"/>
      <c r="Q300" s="65"/>
      <c r="R300" s="65"/>
      <c r="S300" s="65"/>
      <c r="T300" s="65"/>
      <c r="U300" s="65"/>
      <c r="V300" s="65"/>
      <c r="W300" s="65"/>
      <c r="X300" s="65"/>
      <c r="Y300" s="65"/>
      <c r="Z300" s="65"/>
      <c r="AA300" s="65"/>
      <c r="AB300" s="65"/>
    </row>
    <row r="301" spans="1:28" s="8" customFormat="1" ht="12.75" hidden="1" customHeight="1" x14ac:dyDescent="0.2">
      <c r="A301" s="12" t="s">
        <v>1090</v>
      </c>
      <c r="B301" s="417"/>
      <c r="C301" s="417"/>
      <c r="D301" s="417"/>
      <c r="E301" s="11"/>
      <c r="F301" s="424">
        <f t="shared" si="29"/>
        <v>22</v>
      </c>
      <c r="G301" s="425" t="str">
        <f t="shared" si="27"/>
        <v>Metal ore: Process (method B): oxide output</v>
      </c>
      <c r="H301" s="425" t="str">
        <f>IF(COUNTIF($G$272:$M$277,G301)&gt;0,MAX(H$288:H300)+1,"")</f>
        <v/>
      </c>
      <c r="I301" s="19" t="str">
        <f t="shared" si="28"/>
        <v/>
      </c>
      <c r="J301" s="425"/>
      <c r="K301" s="425"/>
      <c r="L301" s="425"/>
      <c r="M301" s="426"/>
      <c r="N301" s="11"/>
      <c r="O301" s="11"/>
      <c r="P301" s="65"/>
      <c r="Q301" s="65"/>
      <c r="R301" s="65"/>
      <c r="S301" s="65"/>
      <c r="T301" s="65"/>
      <c r="U301" s="65"/>
      <c r="V301" s="65"/>
      <c r="W301" s="65"/>
      <c r="X301" s="65"/>
      <c r="Y301" s="65"/>
      <c r="Z301" s="65"/>
      <c r="AA301" s="65"/>
      <c r="AB301" s="65"/>
    </row>
    <row r="302" spans="1:28" s="8" customFormat="1" ht="12.75" hidden="1" customHeight="1" x14ac:dyDescent="0.2">
      <c r="A302" s="12" t="s">
        <v>1090</v>
      </c>
      <c r="B302" s="417"/>
      <c r="C302" s="417"/>
      <c r="D302" s="417"/>
      <c r="E302" s="11"/>
      <c r="F302" s="424">
        <f t="shared" si="29"/>
        <v>23</v>
      </c>
      <c r="G302" s="425" t="str">
        <f t="shared" si="27"/>
        <v>Metal ore: Mass balance</v>
      </c>
      <c r="H302" s="425" t="str">
        <f>IF(COUNTIF($G$272:$M$277,G302)&gt;0,MAX(H$288:H301)+1,"")</f>
        <v/>
      </c>
      <c r="I302" s="19" t="str">
        <f t="shared" si="28"/>
        <v/>
      </c>
      <c r="J302" s="425"/>
      <c r="K302" s="425"/>
      <c r="L302" s="425"/>
      <c r="M302" s="426"/>
      <c r="N302" s="11"/>
      <c r="O302" s="11"/>
      <c r="P302" s="65"/>
      <c r="Q302" s="65"/>
      <c r="R302" s="65"/>
      <c r="S302" s="65"/>
      <c r="T302" s="65"/>
      <c r="U302" s="65"/>
      <c r="V302" s="65"/>
      <c r="W302" s="65"/>
      <c r="X302" s="65"/>
      <c r="Y302" s="65"/>
      <c r="Z302" s="65"/>
      <c r="AA302" s="65"/>
      <c r="AB302" s="65"/>
    </row>
    <row r="303" spans="1:28" s="8" customFormat="1" ht="12.75" hidden="1" customHeight="1" x14ac:dyDescent="0.2">
      <c r="A303" s="12" t="s">
        <v>1090</v>
      </c>
      <c r="B303" s="417"/>
      <c r="C303" s="417"/>
      <c r="D303" s="417"/>
      <c r="E303" s="11"/>
      <c r="F303" s="424">
        <f t="shared" si="29"/>
        <v>24</v>
      </c>
      <c r="G303" s="425" t="str">
        <f t="shared" si="27"/>
        <v>Iron &amp; steel: Fuel as process input</v>
      </c>
      <c r="H303" s="425" t="str">
        <f>IF(COUNTIF($G$272:$M$277,G303)&gt;0,MAX(H$288:H302)+1,"")</f>
        <v/>
      </c>
      <c r="I303" s="19" t="str">
        <f t="shared" si="28"/>
        <v/>
      </c>
      <c r="J303" s="425"/>
      <c r="K303" s="425"/>
      <c r="L303" s="425"/>
      <c r="M303" s="426"/>
      <c r="N303" s="11"/>
      <c r="O303" s="11"/>
      <c r="P303" s="65"/>
      <c r="Q303" s="65"/>
      <c r="R303" s="65"/>
      <c r="S303" s="65"/>
      <c r="T303" s="65"/>
      <c r="U303" s="65"/>
      <c r="V303" s="65"/>
      <c r="W303" s="65"/>
      <c r="X303" s="65"/>
      <c r="Y303" s="65"/>
      <c r="Z303" s="65"/>
      <c r="AA303" s="65"/>
      <c r="AB303" s="65"/>
    </row>
    <row r="304" spans="1:28" s="8" customFormat="1" ht="12.75" hidden="1" customHeight="1" x14ac:dyDescent="0.2">
      <c r="A304" s="12" t="s">
        <v>1090</v>
      </c>
      <c r="B304" s="417"/>
      <c r="C304" s="417"/>
      <c r="D304" s="417"/>
      <c r="E304" s="11"/>
      <c r="F304" s="424">
        <f t="shared" si="29"/>
        <v>25</v>
      </c>
      <c r="G304" s="425" t="str">
        <f t="shared" si="27"/>
        <v>Iron &amp; steel: Process (method A): carbonate only</v>
      </c>
      <c r="H304" s="425" t="str">
        <f>IF(COUNTIF($G$272:$M$277,G304)&gt;0,MAX(H$288:H303)+1,"")</f>
        <v/>
      </c>
      <c r="I304" s="19" t="str">
        <f t="shared" si="28"/>
        <v/>
      </c>
      <c r="J304" s="425"/>
      <c r="K304" s="425"/>
      <c r="L304" s="425"/>
      <c r="M304" s="426"/>
      <c r="N304" s="11"/>
      <c r="O304" s="11"/>
      <c r="P304" s="65"/>
      <c r="Q304" s="65"/>
      <c r="R304" s="65"/>
      <c r="S304" s="65"/>
      <c r="T304" s="65"/>
      <c r="U304" s="65"/>
      <c r="V304" s="65"/>
      <c r="W304" s="65"/>
      <c r="X304" s="65"/>
      <c r="Y304" s="65"/>
      <c r="Z304" s="65"/>
      <c r="AA304" s="65"/>
      <c r="AB304" s="65"/>
    </row>
    <row r="305" spans="1:28" s="8" customFormat="1" ht="12.75" hidden="1" customHeight="1" x14ac:dyDescent="0.2">
      <c r="A305" s="12" t="s">
        <v>1090</v>
      </c>
      <c r="B305" s="417"/>
      <c r="C305" s="417"/>
      <c r="D305" s="417"/>
      <c r="E305" s="11"/>
      <c r="F305" s="424">
        <f t="shared" si="29"/>
        <v>26</v>
      </c>
      <c r="G305" s="425" t="str">
        <f t="shared" si="27"/>
        <v>Iron &amp; steel: Process (method A): mixed (carbonate + non-carbonate)</v>
      </c>
      <c r="H305" s="425" t="str">
        <f>IF(COUNTIF($G$272:$M$277,G305)&gt;0,MAX(H$288:H304)+1,"")</f>
        <v/>
      </c>
      <c r="I305" s="19" t="str">
        <f t="shared" si="28"/>
        <v/>
      </c>
      <c r="J305" s="425"/>
      <c r="K305" s="425"/>
      <c r="L305" s="425"/>
      <c r="M305" s="426"/>
      <c r="N305" s="11"/>
      <c r="O305" s="11"/>
      <c r="P305" s="65"/>
      <c r="Q305" s="65"/>
      <c r="R305" s="65"/>
      <c r="S305" s="65"/>
      <c r="T305" s="65"/>
      <c r="U305" s="65"/>
      <c r="V305" s="65"/>
      <c r="W305" s="65"/>
      <c r="X305" s="65"/>
      <c r="Y305" s="65"/>
      <c r="Z305" s="65"/>
      <c r="AA305" s="65"/>
      <c r="AB305" s="65"/>
    </row>
    <row r="306" spans="1:28" s="8" customFormat="1" ht="12.75" hidden="1" customHeight="1" x14ac:dyDescent="0.2">
      <c r="A306" s="12" t="s">
        <v>1090</v>
      </c>
      <c r="B306" s="417"/>
      <c r="C306" s="417"/>
      <c r="D306" s="417"/>
      <c r="E306" s="11"/>
      <c r="F306" s="424">
        <f t="shared" si="29"/>
        <v>27</v>
      </c>
      <c r="G306" s="425" t="str">
        <f t="shared" si="27"/>
        <v>Iron &amp; steel: Process (method A): non-carbonate</v>
      </c>
      <c r="H306" s="425" t="str">
        <f>IF(COUNTIF($G$272:$M$277,G306)&gt;0,MAX(H$288:H305)+1,"")</f>
        <v/>
      </c>
      <c r="I306" s="19" t="str">
        <f t="shared" si="28"/>
        <v/>
      </c>
      <c r="J306" s="425"/>
      <c r="K306" s="425"/>
      <c r="L306" s="425"/>
      <c r="M306" s="426"/>
      <c r="N306" s="11"/>
      <c r="O306" s="11"/>
      <c r="P306" s="65"/>
      <c r="Q306" s="65"/>
      <c r="R306" s="65"/>
      <c r="S306" s="65"/>
      <c r="T306" s="65"/>
      <c r="U306" s="65"/>
      <c r="V306" s="65"/>
      <c r="W306" s="65"/>
      <c r="X306" s="65"/>
      <c r="Y306" s="65"/>
      <c r="Z306" s="65"/>
      <c r="AA306" s="65"/>
      <c r="AB306" s="65"/>
    </row>
    <row r="307" spans="1:28" s="8" customFormat="1" ht="12.75" hidden="1" customHeight="1" x14ac:dyDescent="0.2">
      <c r="A307" s="12" t="s">
        <v>1090</v>
      </c>
      <c r="B307" s="417"/>
      <c r="C307" s="417"/>
      <c r="D307" s="417"/>
      <c r="E307" s="11"/>
      <c r="F307" s="424">
        <f t="shared" si="29"/>
        <v>28</v>
      </c>
      <c r="G307" s="425" t="str">
        <f t="shared" si="27"/>
        <v>Iron &amp; steel: Process (method B): oxide output</v>
      </c>
      <c r="H307" s="425" t="str">
        <f>IF(COUNTIF($G$272:$M$277,G307)&gt;0,MAX(H$288:H306)+1,"")</f>
        <v/>
      </c>
      <c r="I307" s="19" t="str">
        <f t="shared" si="28"/>
        <v/>
      </c>
      <c r="J307" s="425"/>
      <c r="K307" s="425"/>
      <c r="L307" s="425"/>
      <c r="M307" s="426"/>
      <c r="N307" s="11"/>
      <c r="O307" s="11"/>
      <c r="P307" s="65"/>
      <c r="Q307" s="65"/>
      <c r="R307" s="65"/>
      <c r="S307" s="65"/>
      <c r="T307" s="65"/>
      <c r="U307" s="65"/>
      <c r="V307" s="65"/>
      <c r="W307" s="65"/>
      <c r="X307" s="65"/>
      <c r="Y307" s="65"/>
      <c r="Z307" s="65"/>
      <c r="AA307" s="65"/>
      <c r="AB307" s="65"/>
    </row>
    <row r="308" spans="1:28" s="8" customFormat="1" ht="12.75" hidden="1" customHeight="1" x14ac:dyDescent="0.2">
      <c r="A308" s="12" t="s">
        <v>1090</v>
      </c>
      <c r="B308" s="417"/>
      <c r="C308" s="417"/>
      <c r="D308" s="417"/>
      <c r="E308" s="11"/>
      <c r="F308" s="424">
        <f t="shared" si="29"/>
        <v>29</v>
      </c>
      <c r="G308" s="425" t="str">
        <f t="shared" si="27"/>
        <v>Iron &amp; steel: Mass balance</v>
      </c>
      <c r="H308" s="425" t="str">
        <f>IF(COUNTIF($G$272:$M$277,G308)&gt;0,MAX(H$288:H307)+1,"")</f>
        <v/>
      </c>
      <c r="I308" s="19" t="str">
        <f t="shared" si="28"/>
        <v/>
      </c>
      <c r="J308" s="425"/>
      <c r="K308" s="425"/>
      <c r="L308" s="425"/>
      <c r="M308" s="426"/>
      <c r="N308" s="11"/>
      <c r="O308" s="11"/>
      <c r="P308" s="65"/>
      <c r="Q308" s="65"/>
      <c r="R308" s="65"/>
      <c r="S308" s="65"/>
      <c r="T308" s="65"/>
      <c r="U308" s="65"/>
      <c r="V308" s="65"/>
      <c r="W308" s="65"/>
      <c r="X308" s="65"/>
      <c r="Y308" s="65"/>
      <c r="Z308" s="65"/>
      <c r="AA308" s="65"/>
      <c r="AB308" s="65"/>
    </row>
    <row r="309" spans="1:28" s="8" customFormat="1" ht="12.75" hidden="1" customHeight="1" x14ac:dyDescent="0.2">
      <c r="A309" s="12" t="s">
        <v>1090</v>
      </c>
      <c r="B309" s="417"/>
      <c r="C309" s="417"/>
      <c r="D309" s="417"/>
      <c r="E309" s="11"/>
      <c r="F309" s="424">
        <f t="shared" si="29"/>
        <v>30</v>
      </c>
      <c r="G309" s="425" t="str">
        <f t="shared" si="27"/>
        <v>Cement clinker: Kiln input based (Method A)</v>
      </c>
      <c r="H309" s="425" t="str">
        <f>IF(COUNTIF($G$272:$M$277,G309)&gt;0,MAX(H$288:H308)+1,"")</f>
        <v/>
      </c>
      <c r="I309" s="19" t="str">
        <f t="shared" si="28"/>
        <v/>
      </c>
      <c r="J309" s="425"/>
      <c r="K309" s="425"/>
      <c r="L309" s="425"/>
      <c r="M309" s="426"/>
      <c r="N309" s="11"/>
      <c r="O309" s="11"/>
      <c r="P309" s="65"/>
      <c r="Q309" s="65"/>
      <c r="R309" s="65"/>
      <c r="S309" s="65"/>
      <c r="T309" s="65"/>
      <c r="U309" s="65"/>
      <c r="V309" s="65"/>
      <c r="W309" s="65"/>
      <c r="X309" s="65"/>
      <c r="Y309" s="65"/>
      <c r="Z309" s="65"/>
      <c r="AA309" s="65"/>
      <c r="AB309" s="65"/>
    </row>
    <row r="310" spans="1:28" s="8" customFormat="1" ht="12.75" hidden="1" customHeight="1" x14ac:dyDescent="0.2">
      <c r="A310" s="12" t="s">
        <v>1090</v>
      </c>
      <c r="B310" s="417"/>
      <c r="C310" s="417"/>
      <c r="D310" s="417"/>
      <c r="E310" s="11"/>
      <c r="F310" s="424">
        <f t="shared" si="29"/>
        <v>31</v>
      </c>
      <c r="G310" s="425" t="str">
        <f t="shared" si="27"/>
        <v>Cement clinker: Clinker output (Method B)</v>
      </c>
      <c r="H310" s="425" t="str">
        <f>IF(COUNTIF($G$272:$M$277,G310)&gt;0,MAX(H$288:H309)+1,"")</f>
        <v/>
      </c>
      <c r="I310" s="19" t="str">
        <f t="shared" si="28"/>
        <v/>
      </c>
      <c r="J310" s="425"/>
      <c r="K310" s="425"/>
      <c r="L310" s="425"/>
      <c r="M310" s="426"/>
      <c r="N310" s="11"/>
      <c r="O310" s="11"/>
      <c r="P310" s="65"/>
      <c r="Q310" s="65"/>
      <c r="R310" s="65"/>
      <c r="S310" s="65"/>
      <c r="T310" s="65"/>
      <c r="U310" s="65"/>
      <c r="V310" s="65"/>
      <c r="W310" s="65"/>
      <c r="X310" s="65"/>
      <c r="Y310" s="65"/>
      <c r="Z310" s="65"/>
      <c r="AA310" s="65"/>
      <c r="AB310" s="65"/>
    </row>
    <row r="311" spans="1:28" s="8" customFormat="1" ht="12.75" hidden="1" customHeight="1" x14ac:dyDescent="0.2">
      <c r="A311" s="12" t="s">
        <v>1090</v>
      </c>
      <c r="B311" s="417"/>
      <c r="C311" s="417"/>
      <c r="D311" s="417"/>
      <c r="E311" s="11"/>
      <c r="F311" s="424">
        <f t="shared" si="29"/>
        <v>32</v>
      </c>
      <c r="G311" s="425" t="str">
        <f t="shared" si="27"/>
        <v>Cement clinker: CKD</v>
      </c>
      <c r="H311" s="425" t="str">
        <f>IF(COUNTIF($G$272:$M$277,G311)&gt;0,MAX(H$288:H310)+1,"")</f>
        <v/>
      </c>
      <c r="I311" s="19" t="str">
        <f t="shared" si="28"/>
        <v/>
      </c>
      <c r="J311" s="425"/>
      <c r="K311" s="425"/>
      <c r="L311" s="425"/>
      <c r="M311" s="426"/>
      <c r="N311" s="11"/>
      <c r="O311" s="11"/>
      <c r="P311" s="65"/>
      <c r="Q311" s="65"/>
      <c r="R311" s="65"/>
      <c r="S311" s="65"/>
      <c r="T311" s="65"/>
      <c r="U311" s="65"/>
      <c r="V311" s="65"/>
      <c r="W311" s="65"/>
      <c r="X311" s="65"/>
      <c r="Y311" s="65"/>
      <c r="Z311" s="65"/>
      <c r="AA311" s="65"/>
      <c r="AB311" s="65"/>
    </row>
    <row r="312" spans="1:28" s="8" customFormat="1" ht="12.75" hidden="1" customHeight="1" x14ac:dyDescent="0.2">
      <c r="A312" s="12" t="s">
        <v>1090</v>
      </c>
      <c r="B312" s="417"/>
      <c r="C312" s="417"/>
      <c r="D312" s="417"/>
      <c r="E312" s="11"/>
      <c r="F312" s="424">
        <f t="shared" si="29"/>
        <v>33</v>
      </c>
      <c r="G312" s="425" t="str">
        <f t="shared" si="27"/>
        <v>Cement clinker: Non-carbonate carbon</v>
      </c>
      <c r="H312" s="425" t="str">
        <f>IF(COUNTIF($G$272:$M$277,G312)&gt;0,MAX(H$288:H311)+1,"")</f>
        <v/>
      </c>
      <c r="I312" s="19" t="str">
        <f t="shared" si="28"/>
        <v/>
      </c>
      <c r="J312" s="425"/>
      <c r="K312" s="425"/>
      <c r="L312" s="425"/>
      <c r="M312" s="426"/>
      <c r="N312" s="11"/>
      <c r="O312" s="11"/>
      <c r="P312" s="65"/>
      <c r="Q312" s="65"/>
      <c r="R312" s="65"/>
      <c r="S312" s="65"/>
      <c r="T312" s="65"/>
      <c r="U312" s="65"/>
      <c r="V312" s="65"/>
      <c r="W312" s="65"/>
      <c r="X312" s="65"/>
      <c r="Y312" s="65"/>
      <c r="Z312" s="65"/>
      <c r="AA312" s="65"/>
      <c r="AB312" s="65"/>
    </row>
    <row r="313" spans="1:28" s="8" customFormat="1" ht="12.75" hidden="1" customHeight="1" x14ac:dyDescent="0.2">
      <c r="A313" s="12" t="s">
        <v>1090</v>
      </c>
      <c r="B313" s="417"/>
      <c r="C313" s="417"/>
      <c r="D313" s="417"/>
      <c r="E313" s="11"/>
      <c r="F313" s="424">
        <f t="shared" si="29"/>
        <v>34</v>
      </c>
      <c r="G313" s="425" t="str">
        <f t="shared" si="27"/>
        <v>Lime / dolomite / magnesite: Process (method A): carbonate only</v>
      </c>
      <c r="H313" s="425" t="str">
        <f>IF(COUNTIF($G$272:$M$277,G313)&gt;0,MAX(H$288:H312)+1,"")</f>
        <v/>
      </c>
      <c r="I313" s="19" t="str">
        <f t="shared" si="28"/>
        <v/>
      </c>
      <c r="J313" s="425"/>
      <c r="K313" s="425"/>
      <c r="L313" s="425"/>
      <c r="M313" s="426"/>
      <c r="N313" s="11"/>
      <c r="O313" s="11"/>
      <c r="P313" s="65"/>
      <c r="Q313" s="65"/>
      <c r="R313" s="65"/>
      <c r="S313" s="65"/>
      <c r="T313" s="65"/>
      <c r="U313" s="65"/>
      <c r="V313" s="65"/>
      <c r="W313" s="65"/>
      <c r="X313" s="65"/>
      <c r="Y313" s="65"/>
      <c r="Z313" s="65"/>
      <c r="AA313" s="65"/>
      <c r="AB313" s="65"/>
    </row>
    <row r="314" spans="1:28" s="8" customFormat="1" ht="12.75" hidden="1" customHeight="1" x14ac:dyDescent="0.2">
      <c r="A314" s="12" t="s">
        <v>1090</v>
      </c>
      <c r="B314" s="417"/>
      <c r="C314" s="417"/>
      <c r="D314" s="417"/>
      <c r="E314" s="11"/>
      <c r="F314" s="424">
        <f t="shared" si="29"/>
        <v>35</v>
      </c>
      <c r="G314" s="425" t="str">
        <f t="shared" si="27"/>
        <v>Lime / dolomite / magnesite: Process (method A): mixed (carbonate + non-carbonate)</v>
      </c>
      <c r="H314" s="425" t="str">
        <f>IF(COUNTIF($G$272:$M$277,G314)&gt;0,MAX(H$288:H313)+1,"")</f>
        <v/>
      </c>
      <c r="I314" s="19" t="str">
        <f t="shared" si="28"/>
        <v/>
      </c>
      <c r="J314" s="425"/>
      <c r="K314" s="425"/>
      <c r="L314" s="425"/>
      <c r="M314" s="426"/>
      <c r="N314" s="11"/>
      <c r="O314" s="11"/>
      <c r="P314" s="65"/>
      <c r="Q314" s="65"/>
      <c r="R314" s="65"/>
      <c r="S314" s="65"/>
      <c r="T314" s="65"/>
      <c r="U314" s="65"/>
      <c r="V314" s="65"/>
      <c r="W314" s="65"/>
      <c r="X314" s="65"/>
      <c r="Y314" s="65"/>
      <c r="Z314" s="65"/>
      <c r="AA314" s="65"/>
      <c r="AB314" s="65"/>
    </row>
    <row r="315" spans="1:28" s="8" customFormat="1" ht="12.75" hidden="1" customHeight="1" x14ac:dyDescent="0.2">
      <c r="A315" s="12" t="s">
        <v>1090</v>
      </c>
      <c r="B315" s="417"/>
      <c r="C315" s="417"/>
      <c r="D315" s="417"/>
      <c r="E315" s="11"/>
      <c r="F315" s="424">
        <f t="shared" si="29"/>
        <v>36</v>
      </c>
      <c r="G315" s="425" t="str">
        <f t="shared" si="27"/>
        <v>Lime / dolomite / magnesite: Process (method A): non-carbonate</v>
      </c>
      <c r="H315" s="425" t="str">
        <f>IF(COUNTIF($G$272:$M$277,G315)&gt;0,MAX(H$288:H314)+1,"")</f>
        <v/>
      </c>
      <c r="I315" s="19" t="str">
        <f t="shared" si="28"/>
        <v/>
      </c>
      <c r="J315" s="425"/>
      <c r="K315" s="425"/>
      <c r="L315" s="425"/>
      <c r="M315" s="426"/>
      <c r="N315" s="11"/>
      <c r="O315" s="11"/>
      <c r="P315" s="65"/>
      <c r="Q315" s="65"/>
      <c r="R315" s="65"/>
      <c r="S315" s="65"/>
      <c r="T315" s="65"/>
      <c r="U315" s="65"/>
      <c r="V315" s="65"/>
      <c r="W315" s="65"/>
      <c r="X315" s="65"/>
      <c r="Y315" s="65"/>
      <c r="Z315" s="65"/>
      <c r="AA315" s="65"/>
      <c r="AB315" s="65"/>
    </row>
    <row r="316" spans="1:28" s="8" customFormat="1" ht="12.75" hidden="1" customHeight="1" x14ac:dyDescent="0.2">
      <c r="A316" s="12" t="s">
        <v>1090</v>
      </c>
      <c r="B316" s="417"/>
      <c r="C316" s="417"/>
      <c r="D316" s="417"/>
      <c r="E316" s="11"/>
      <c r="F316" s="424">
        <f t="shared" si="29"/>
        <v>37</v>
      </c>
      <c r="G316" s="425" t="str">
        <f t="shared" si="27"/>
        <v>Lime / dolomite / magnesite: Process (method B): oxide output</v>
      </c>
      <c r="H316" s="425" t="str">
        <f>IF(COUNTIF($G$272:$M$277,G316)&gt;0,MAX(H$288:H315)+1,"")</f>
        <v/>
      </c>
      <c r="I316" s="19" t="str">
        <f t="shared" si="28"/>
        <v/>
      </c>
      <c r="J316" s="425"/>
      <c r="K316" s="425"/>
      <c r="L316" s="425"/>
      <c r="M316" s="426"/>
      <c r="N316" s="11"/>
      <c r="O316" s="11"/>
      <c r="P316" s="65"/>
      <c r="Q316" s="65"/>
      <c r="R316" s="65"/>
      <c r="S316" s="65"/>
      <c r="T316" s="65"/>
      <c r="U316" s="65"/>
      <c r="V316" s="65"/>
      <c r="W316" s="65"/>
      <c r="X316" s="65"/>
      <c r="Y316" s="65"/>
      <c r="Z316" s="65"/>
      <c r="AA316" s="65"/>
      <c r="AB316" s="65"/>
    </row>
    <row r="317" spans="1:28" s="8" customFormat="1" ht="12.75" hidden="1" customHeight="1" x14ac:dyDescent="0.2">
      <c r="A317" s="12" t="s">
        <v>1090</v>
      </c>
      <c r="B317" s="417"/>
      <c r="C317" s="417"/>
      <c r="D317" s="417"/>
      <c r="E317" s="11"/>
      <c r="F317" s="424">
        <f t="shared" si="29"/>
        <v>38</v>
      </c>
      <c r="G317" s="425" t="str">
        <f t="shared" si="27"/>
        <v>Lime / dolomite / magnesite: Kiln dust (Method B)</v>
      </c>
      <c r="H317" s="425" t="str">
        <f>IF(COUNTIF($G$272:$M$277,G317)&gt;0,MAX(H$288:H316)+1,"")</f>
        <v/>
      </c>
      <c r="I317" s="19" t="str">
        <f t="shared" si="28"/>
        <v/>
      </c>
      <c r="J317" s="425"/>
      <c r="K317" s="425"/>
      <c r="L317" s="425"/>
      <c r="M317" s="426"/>
      <c r="N317" s="11"/>
      <c r="O317" s="11"/>
      <c r="P317" s="65"/>
      <c r="Q317" s="65"/>
      <c r="R317" s="65"/>
      <c r="S317" s="65"/>
      <c r="T317" s="65"/>
      <c r="U317" s="65"/>
      <c r="V317" s="65"/>
      <c r="W317" s="65"/>
      <c r="X317" s="65"/>
      <c r="Y317" s="65"/>
      <c r="Z317" s="65"/>
      <c r="AA317" s="65"/>
      <c r="AB317" s="65"/>
    </row>
    <row r="318" spans="1:28" s="8" customFormat="1" ht="12.75" hidden="1" customHeight="1" x14ac:dyDescent="0.2">
      <c r="A318" s="12" t="s">
        <v>1090</v>
      </c>
      <c r="B318" s="417"/>
      <c r="C318" s="417"/>
      <c r="D318" s="417"/>
      <c r="E318" s="11"/>
      <c r="F318" s="424">
        <f t="shared" si="29"/>
        <v>39</v>
      </c>
      <c r="G318" s="425" t="str">
        <f t="shared" si="27"/>
        <v>Glass and mineral wool: Process (method A): carbonate only</v>
      </c>
      <c r="H318" s="425" t="str">
        <f>IF(COUNTIF($G$272:$M$277,G318)&gt;0,MAX(H$288:H317)+1,"")</f>
        <v/>
      </c>
      <c r="I318" s="19" t="str">
        <f t="shared" si="28"/>
        <v/>
      </c>
      <c r="J318" s="425"/>
      <c r="K318" s="425"/>
      <c r="L318" s="425"/>
      <c r="M318" s="426"/>
      <c r="N318" s="11"/>
      <c r="O318" s="11"/>
      <c r="P318" s="65"/>
      <c r="Q318" s="65"/>
      <c r="R318" s="65"/>
      <c r="S318" s="65"/>
      <c r="T318" s="65"/>
      <c r="U318" s="65"/>
      <c r="V318" s="65"/>
      <c r="W318" s="65"/>
      <c r="X318" s="65"/>
      <c r="Y318" s="65"/>
      <c r="Z318" s="65"/>
      <c r="AA318" s="65"/>
      <c r="AB318" s="65"/>
    </row>
    <row r="319" spans="1:28" s="8" customFormat="1" ht="12.75" hidden="1" customHeight="1" x14ac:dyDescent="0.2">
      <c r="A319" s="12" t="s">
        <v>1090</v>
      </c>
      <c r="B319" s="417"/>
      <c r="C319" s="417"/>
      <c r="D319" s="417"/>
      <c r="E319" s="11"/>
      <c r="F319" s="424">
        <f t="shared" si="29"/>
        <v>40</v>
      </c>
      <c r="G319" s="425" t="str">
        <f t="shared" si="27"/>
        <v>Glass and mineral wool: Process (method A): mixed (carbonate + non-carbonate)</v>
      </c>
      <c r="H319" s="425" t="str">
        <f>IF(COUNTIF($G$272:$M$277,G319)&gt;0,MAX(H$288:H318)+1,"")</f>
        <v/>
      </c>
      <c r="I319" s="19" t="str">
        <f t="shared" si="28"/>
        <v/>
      </c>
      <c r="J319" s="425"/>
      <c r="K319" s="425"/>
      <c r="L319" s="425"/>
      <c r="M319" s="426"/>
      <c r="N319" s="11"/>
      <c r="O319" s="11"/>
      <c r="P319" s="65"/>
      <c r="Q319" s="65"/>
      <c r="R319" s="65"/>
      <c r="S319" s="65"/>
      <c r="T319" s="65"/>
      <c r="U319" s="65"/>
      <c r="V319" s="65"/>
      <c r="W319" s="65"/>
      <c r="X319" s="65"/>
      <c r="Y319" s="65"/>
      <c r="Z319" s="65"/>
      <c r="AA319" s="65"/>
      <c r="AB319" s="65"/>
    </row>
    <row r="320" spans="1:28" s="8" customFormat="1" ht="12.75" hidden="1" customHeight="1" x14ac:dyDescent="0.2">
      <c r="A320" s="12" t="s">
        <v>1090</v>
      </c>
      <c r="B320" s="417"/>
      <c r="C320" s="417"/>
      <c r="D320" s="417"/>
      <c r="E320" s="11"/>
      <c r="F320" s="424">
        <f t="shared" si="29"/>
        <v>41</v>
      </c>
      <c r="G320" s="425" t="str">
        <f t="shared" si="27"/>
        <v>Glass and mineral wool: Process (method A): non-carbonate</v>
      </c>
      <c r="H320" s="425" t="str">
        <f>IF(COUNTIF($G$272:$M$277,G320)&gt;0,MAX(H$288:H319)+1,"")</f>
        <v/>
      </c>
      <c r="I320" s="19" t="str">
        <f t="shared" si="28"/>
        <v/>
      </c>
      <c r="J320" s="425"/>
      <c r="K320" s="425"/>
      <c r="L320" s="425"/>
      <c r="M320" s="426"/>
      <c r="N320" s="11"/>
      <c r="O320" s="11"/>
      <c r="P320" s="65"/>
      <c r="Q320" s="65"/>
      <c r="R320" s="65"/>
      <c r="S320" s="65"/>
      <c r="T320" s="65"/>
      <c r="U320" s="65"/>
      <c r="V320" s="65"/>
      <c r="W320" s="65"/>
      <c r="X320" s="65"/>
      <c r="Y320" s="65"/>
      <c r="Z320" s="65"/>
      <c r="AA320" s="65"/>
      <c r="AB320" s="65"/>
    </row>
    <row r="321" spans="1:28" s="8" customFormat="1" ht="12.75" hidden="1" customHeight="1" x14ac:dyDescent="0.2">
      <c r="A321" s="12" t="s">
        <v>1090</v>
      </c>
      <c r="B321" s="417"/>
      <c r="C321" s="417"/>
      <c r="D321" s="417"/>
      <c r="E321" s="11"/>
      <c r="F321" s="424">
        <f t="shared" si="29"/>
        <v>42</v>
      </c>
      <c r="G321" s="425" t="str">
        <f t="shared" si="27"/>
        <v>Ceramics: Process (method A): carbonate only</v>
      </c>
      <c r="H321" s="425" t="str">
        <f>IF(COUNTIF($G$272:$M$277,G321)&gt;0,MAX(H$288:H320)+1,"")</f>
        <v/>
      </c>
      <c r="I321" s="19" t="str">
        <f t="shared" si="28"/>
        <v/>
      </c>
      <c r="J321" s="425"/>
      <c r="K321" s="425"/>
      <c r="L321" s="425"/>
      <c r="M321" s="426"/>
      <c r="N321" s="11"/>
      <c r="O321" s="11"/>
      <c r="P321" s="65"/>
      <c r="Q321" s="65"/>
      <c r="R321" s="65"/>
      <c r="S321" s="65"/>
      <c r="T321" s="65"/>
      <c r="U321" s="65"/>
      <c r="V321" s="65"/>
      <c r="W321" s="65"/>
      <c r="X321" s="65"/>
      <c r="Y321" s="65"/>
      <c r="Z321" s="65"/>
      <c r="AA321" s="65"/>
      <c r="AB321" s="65"/>
    </row>
    <row r="322" spans="1:28" s="8" customFormat="1" ht="12.75" hidden="1" customHeight="1" x14ac:dyDescent="0.2">
      <c r="A322" s="12" t="s">
        <v>1090</v>
      </c>
      <c r="B322" s="417"/>
      <c r="C322" s="417"/>
      <c r="D322" s="417"/>
      <c r="E322" s="11"/>
      <c r="F322" s="424">
        <f t="shared" si="29"/>
        <v>43</v>
      </c>
      <c r="G322" s="425" t="str">
        <f t="shared" si="27"/>
        <v>Ceramics: Process (method A): mixed (carbonate + non-carbonate)</v>
      </c>
      <c r="H322" s="425" t="str">
        <f>IF(COUNTIF($G$272:$M$277,G322)&gt;0,MAX(H$288:H321)+1,"")</f>
        <v/>
      </c>
      <c r="I322" s="19" t="str">
        <f t="shared" si="28"/>
        <v/>
      </c>
      <c r="J322" s="425"/>
      <c r="K322" s="425"/>
      <c r="L322" s="425"/>
      <c r="M322" s="426"/>
      <c r="N322" s="11"/>
      <c r="O322" s="11"/>
      <c r="P322" s="65"/>
      <c r="Q322" s="65"/>
      <c r="R322" s="65"/>
      <c r="S322" s="65"/>
      <c r="T322" s="65"/>
      <c r="U322" s="65"/>
      <c r="V322" s="65"/>
      <c r="W322" s="65"/>
      <c r="X322" s="65"/>
      <c r="Y322" s="65"/>
      <c r="Z322" s="65"/>
      <c r="AA322" s="65"/>
      <c r="AB322" s="65"/>
    </row>
    <row r="323" spans="1:28" s="8" customFormat="1" ht="12.75" hidden="1" customHeight="1" x14ac:dyDescent="0.2">
      <c r="A323" s="12" t="s">
        <v>1090</v>
      </c>
      <c r="B323" s="417"/>
      <c r="C323" s="417"/>
      <c r="D323" s="417"/>
      <c r="E323" s="11"/>
      <c r="F323" s="424">
        <f t="shared" si="29"/>
        <v>44</v>
      </c>
      <c r="G323" s="425" t="str">
        <f t="shared" si="27"/>
        <v>Ceramics: Process (method A): non-carbonate</v>
      </c>
      <c r="H323" s="425" t="str">
        <f>IF(COUNTIF($G$272:$M$277,G323)&gt;0,MAX(H$288:H322)+1,"")</f>
        <v/>
      </c>
      <c r="I323" s="19" t="str">
        <f t="shared" si="28"/>
        <v/>
      </c>
      <c r="J323" s="425"/>
      <c r="K323" s="425"/>
      <c r="L323" s="425"/>
      <c r="M323" s="426"/>
      <c r="N323" s="11"/>
      <c r="O323" s="11"/>
      <c r="P323" s="65"/>
      <c r="Q323" s="65"/>
      <c r="R323" s="65"/>
      <c r="S323" s="65"/>
      <c r="T323" s="65"/>
      <c r="U323" s="65"/>
      <c r="V323" s="65"/>
      <c r="W323" s="65"/>
      <c r="X323" s="65"/>
      <c r="Y323" s="65"/>
      <c r="Z323" s="65"/>
      <c r="AA323" s="65"/>
      <c r="AB323" s="65"/>
    </row>
    <row r="324" spans="1:28" s="8" customFormat="1" ht="12.75" hidden="1" customHeight="1" x14ac:dyDescent="0.2">
      <c r="A324" s="12" t="s">
        <v>1090</v>
      </c>
      <c r="B324" s="417"/>
      <c r="C324" s="417"/>
      <c r="D324" s="417"/>
      <c r="E324" s="417"/>
      <c r="F324" s="424">
        <f t="shared" si="29"/>
        <v>45</v>
      </c>
      <c r="G324" s="425" t="str">
        <f t="shared" si="27"/>
        <v>Ceramics: Process (method B): oxide output</v>
      </c>
      <c r="H324" s="425" t="str">
        <f>IF(COUNTIF($G$272:$M$277,G324)&gt;0,MAX(H$288:H323)+1,"")</f>
        <v/>
      </c>
      <c r="I324" s="19" t="str">
        <f t="shared" si="28"/>
        <v/>
      </c>
      <c r="J324" s="425"/>
      <c r="K324" s="425"/>
      <c r="L324" s="425"/>
      <c r="M324" s="426"/>
      <c r="N324" s="417"/>
      <c r="O324" s="417"/>
      <c r="P324" s="65"/>
      <c r="Q324" s="65"/>
      <c r="R324" s="65"/>
      <c r="S324" s="65"/>
      <c r="T324" s="65"/>
      <c r="U324" s="65"/>
      <c r="V324" s="65"/>
      <c r="W324" s="65"/>
      <c r="X324" s="65"/>
      <c r="Y324" s="65"/>
      <c r="Z324" s="65"/>
      <c r="AA324" s="65"/>
      <c r="AB324" s="65"/>
    </row>
    <row r="325" spans="1:28" s="8" customFormat="1" ht="12.75" hidden="1" customHeight="1" x14ac:dyDescent="0.2">
      <c r="A325" s="12" t="s">
        <v>1090</v>
      </c>
      <c r="B325" s="417"/>
      <c r="C325" s="417"/>
      <c r="D325" s="417"/>
      <c r="E325" s="417"/>
      <c r="F325" s="424">
        <f t="shared" si="29"/>
        <v>46</v>
      </c>
      <c r="G325" s="425" t="str">
        <f t="shared" si="27"/>
        <v>Ceramics: Scrubbing</v>
      </c>
      <c r="H325" s="425" t="str">
        <f>IF(COUNTIF($G$272:$M$277,G325)&gt;0,MAX(H$288:H324)+1,"")</f>
        <v/>
      </c>
      <c r="I325" s="19" t="str">
        <f t="shared" si="28"/>
        <v/>
      </c>
      <c r="J325" s="425"/>
      <c r="K325" s="425"/>
      <c r="L325" s="425"/>
      <c r="M325" s="426"/>
      <c r="N325" s="417"/>
      <c r="O325" s="417"/>
      <c r="P325" s="65"/>
      <c r="Q325" s="65"/>
      <c r="R325" s="65"/>
      <c r="S325" s="65"/>
      <c r="T325" s="65"/>
      <c r="U325" s="65"/>
      <c r="V325" s="65"/>
      <c r="W325" s="65"/>
      <c r="X325" s="65"/>
      <c r="Y325" s="65"/>
      <c r="Z325" s="65"/>
      <c r="AA325" s="65"/>
      <c r="AB325" s="65"/>
    </row>
    <row r="326" spans="1:28" hidden="1" x14ac:dyDescent="0.2">
      <c r="A326" s="12" t="s">
        <v>1090</v>
      </c>
      <c r="F326" s="424">
        <f t="shared" si="29"/>
        <v>47</v>
      </c>
      <c r="G326" s="425" t="str">
        <f t="shared" si="27"/>
        <v>Pulp &amp; paper: Make up chemicals</v>
      </c>
      <c r="H326" s="425" t="str">
        <f>IF(COUNTIF($G$272:$M$277,G326)&gt;0,MAX(H$288:H325)+1,"")</f>
        <v/>
      </c>
      <c r="I326" s="19" t="str">
        <f t="shared" si="28"/>
        <v/>
      </c>
      <c r="J326" s="425"/>
      <c r="K326" s="425"/>
      <c r="L326" s="425"/>
      <c r="M326" s="426"/>
    </row>
    <row r="327" spans="1:28" hidden="1" x14ac:dyDescent="0.2">
      <c r="A327" s="12" t="s">
        <v>1090</v>
      </c>
      <c r="F327" s="424">
        <f t="shared" si="29"/>
        <v>48</v>
      </c>
      <c r="G327" s="425" t="str">
        <f t="shared" si="27"/>
        <v>Carbon black: Mass balance methodology</v>
      </c>
      <c r="H327" s="425" t="str">
        <f>IF(COUNTIF($G$272:$M$277,G327)&gt;0,MAX(H$288:H326)+1,"")</f>
        <v/>
      </c>
      <c r="I327" s="19" t="str">
        <f t="shared" si="28"/>
        <v/>
      </c>
      <c r="J327" s="425"/>
      <c r="K327" s="425"/>
      <c r="L327" s="425"/>
      <c r="M327" s="426"/>
    </row>
    <row r="328" spans="1:28" hidden="1" x14ac:dyDescent="0.2">
      <c r="A328" s="12" t="s">
        <v>1090</v>
      </c>
      <c r="F328" s="424">
        <f t="shared" si="29"/>
        <v>49</v>
      </c>
      <c r="G328" s="425" t="str">
        <f t="shared" si="27"/>
        <v>Ammonia: Fuel as process input</v>
      </c>
      <c r="H328" s="425" t="str">
        <f>IF(COUNTIF($G$272:$M$277,G328)&gt;0,MAX(H$288:H327)+1,"")</f>
        <v/>
      </c>
      <c r="I328" s="19" t="str">
        <f t="shared" si="28"/>
        <v/>
      </c>
      <c r="J328" s="425"/>
      <c r="K328" s="425"/>
      <c r="L328" s="425"/>
      <c r="M328" s="426"/>
    </row>
    <row r="329" spans="1:28" hidden="1" x14ac:dyDescent="0.2">
      <c r="A329" s="12" t="s">
        <v>1090</v>
      </c>
      <c r="F329" s="424">
        <f t="shared" si="29"/>
        <v>50</v>
      </c>
      <c r="G329" s="425" t="str">
        <f t="shared" si="27"/>
        <v>Hydrogen and synthesis gas: Fuel as process input</v>
      </c>
      <c r="H329" s="425" t="str">
        <f>IF(COUNTIF($G$272:$M$277,G329)&gt;0,MAX(H$288:H328)+1,"")</f>
        <v/>
      </c>
      <c r="I329" s="19" t="str">
        <f t="shared" si="28"/>
        <v/>
      </c>
      <c r="J329" s="425"/>
      <c r="K329" s="425"/>
      <c r="L329" s="425"/>
      <c r="M329" s="426"/>
    </row>
    <row r="330" spans="1:28" hidden="1" x14ac:dyDescent="0.2">
      <c r="A330" s="12" t="s">
        <v>1090</v>
      </c>
      <c r="F330" s="424">
        <f t="shared" si="29"/>
        <v>51</v>
      </c>
      <c r="G330" s="425" t="str">
        <f t="shared" si="27"/>
        <v>Hydrogen and synthesis gas: Mass balance methodology</v>
      </c>
      <c r="H330" s="425" t="str">
        <f>IF(COUNTIF($G$272:$M$277,G330)&gt;0,MAX(H$288:H329)+1,"")</f>
        <v/>
      </c>
      <c r="I330" s="19" t="str">
        <f t="shared" si="28"/>
        <v/>
      </c>
      <c r="J330" s="425"/>
      <c r="K330" s="425"/>
      <c r="L330" s="425"/>
      <c r="M330" s="426"/>
    </row>
    <row r="331" spans="1:28" hidden="1" x14ac:dyDescent="0.2">
      <c r="A331" s="12" t="s">
        <v>1090</v>
      </c>
      <c r="F331" s="424">
        <f t="shared" si="29"/>
        <v>52</v>
      </c>
      <c r="G331" s="425" t="str">
        <f t="shared" si="27"/>
        <v>Bulk organic chemicals: Mass balance methodology</v>
      </c>
      <c r="H331" s="425" t="str">
        <f>IF(COUNTIF($G$272:$M$277,G331)&gt;0,MAX(H$288:H330)+1,"")</f>
        <v/>
      </c>
      <c r="I331" s="19" t="str">
        <f t="shared" si="28"/>
        <v/>
      </c>
      <c r="J331" s="425"/>
      <c r="K331" s="425"/>
      <c r="L331" s="425"/>
      <c r="M331" s="426"/>
    </row>
    <row r="332" spans="1:28" hidden="1" x14ac:dyDescent="0.2">
      <c r="A332" s="12" t="s">
        <v>1090</v>
      </c>
      <c r="F332" s="424">
        <f t="shared" si="29"/>
        <v>53</v>
      </c>
      <c r="G332" s="425" t="str">
        <f t="shared" si="27"/>
        <v>(Non) ferrous, sec. aluminium: Process (method A): carbonate only</v>
      </c>
      <c r="H332" s="425" t="str">
        <f>IF(COUNTIF($G$272:$M$277,G332)&gt;0,MAX(H$288:H331)+1,"")</f>
        <v/>
      </c>
      <c r="I332" s="19" t="str">
        <f t="shared" si="28"/>
        <v/>
      </c>
      <c r="J332" s="425"/>
      <c r="K332" s="425"/>
      <c r="L332" s="425"/>
      <c r="M332" s="426"/>
    </row>
    <row r="333" spans="1:28" hidden="1" x14ac:dyDescent="0.2">
      <c r="A333" s="12" t="s">
        <v>1090</v>
      </c>
      <c r="F333" s="424">
        <f t="shared" si="29"/>
        <v>54</v>
      </c>
      <c r="G333" s="425" t="str">
        <f t="shared" si="27"/>
        <v>(Non) ferrous, sec. aluminium: Process (method A): mixed (carbonate + non-carbonate)</v>
      </c>
      <c r="H333" s="425" t="str">
        <f>IF(COUNTIF($G$272:$M$277,G333)&gt;0,MAX(H$288:H332)+1,"")</f>
        <v/>
      </c>
      <c r="I333" s="19" t="str">
        <f t="shared" si="28"/>
        <v/>
      </c>
      <c r="J333" s="425"/>
      <c r="K333" s="425"/>
      <c r="L333" s="425"/>
      <c r="M333" s="426"/>
    </row>
    <row r="334" spans="1:28" hidden="1" x14ac:dyDescent="0.2">
      <c r="A334" s="12" t="s">
        <v>1090</v>
      </c>
      <c r="F334" s="424">
        <f t="shared" si="29"/>
        <v>55</v>
      </c>
      <c r="G334" s="425" t="str">
        <f t="shared" si="27"/>
        <v>(Non) ferrous, sec. aluminium: Process (method A): non-carbonate</v>
      </c>
      <c r="H334" s="425" t="str">
        <f>IF(COUNTIF($G$272:$M$277,G334)&gt;0,MAX(H$288:H333)+1,"")</f>
        <v/>
      </c>
      <c r="I334" s="19" t="str">
        <f t="shared" si="28"/>
        <v/>
      </c>
      <c r="J334" s="425"/>
      <c r="K334" s="425"/>
      <c r="L334" s="425"/>
      <c r="M334" s="426"/>
    </row>
    <row r="335" spans="1:28" hidden="1" x14ac:dyDescent="0.2">
      <c r="A335" s="12" t="s">
        <v>1090</v>
      </c>
      <c r="F335" s="424">
        <f t="shared" si="29"/>
        <v>56</v>
      </c>
      <c r="G335" s="425" t="str">
        <f t="shared" si="27"/>
        <v>(Non) ferrous, sec. aluminium: Process (method B): oxide output</v>
      </c>
      <c r="H335" s="425" t="str">
        <f>IF(COUNTIF($G$272:$M$277,G335)&gt;0,MAX(H$288:H334)+1,"")</f>
        <v/>
      </c>
      <c r="I335" s="19" t="str">
        <f t="shared" si="28"/>
        <v/>
      </c>
      <c r="J335" s="425"/>
      <c r="K335" s="425"/>
      <c r="L335" s="425"/>
      <c r="M335" s="426"/>
    </row>
    <row r="336" spans="1:28" hidden="1" x14ac:dyDescent="0.2">
      <c r="A336" s="12" t="s">
        <v>1090</v>
      </c>
      <c r="F336" s="424">
        <f t="shared" si="29"/>
        <v>57</v>
      </c>
      <c r="G336" s="425" t="str">
        <f t="shared" si="27"/>
        <v>(Non) ferrous, sec. aluminium: Mass balance methodology</v>
      </c>
      <c r="H336" s="425" t="str">
        <f>IF(COUNTIF($G$272:$M$277,G336)&gt;0,MAX(H$288:H335)+1,"")</f>
        <v/>
      </c>
      <c r="I336" s="19" t="str">
        <f t="shared" si="28"/>
        <v/>
      </c>
      <c r="J336" s="425"/>
      <c r="K336" s="425"/>
      <c r="L336" s="425"/>
      <c r="M336" s="426"/>
    </row>
    <row r="337" spans="1:13" hidden="1" x14ac:dyDescent="0.2">
      <c r="A337" s="12" t="s">
        <v>1090</v>
      </c>
      <c r="F337" s="424">
        <f t="shared" si="29"/>
        <v>58</v>
      </c>
      <c r="G337" s="425" t="str">
        <f t="shared" si="27"/>
        <v>Soda ash / sodium bicarbonate: Mass balance methodology</v>
      </c>
      <c r="H337" s="425" t="str">
        <f>IF(COUNTIF($G$272:$M$277,G337)&gt;0,MAX(H$288:H336)+1,"")</f>
        <v/>
      </c>
      <c r="I337" s="19" t="str">
        <f t="shared" si="28"/>
        <v/>
      </c>
      <c r="J337" s="425"/>
      <c r="K337" s="425"/>
      <c r="L337" s="425"/>
      <c r="M337" s="426"/>
    </row>
    <row r="338" spans="1:13" hidden="1" x14ac:dyDescent="0.2">
      <c r="A338" s="12" t="s">
        <v>1090</v>
      </c>
      <c r="F338" s="424">
        <f t="shared" si="29"/>
        <v>59</v>
      </c>
      <c r="G338" s="425" t="str">
        <f t="shared" si="27"/>
        <v>Primary aluminium: Mass balance methodology</v>
      </c>
      <c r="H338" s="425" t="str">
        <f>IF(COUNTIF($G$272:$M$277,G338)&gt;0,MAX(H$288:H337)+1,"")</f>
        <v/>
      </c>
      <c r="I338" s="19" t="str">
        <f t="shared" si="28"/>
        <v/>
      </c>
      <c r="J338" s="425"/>
      <c r="K338" s="425"/>
      <c r="L338" s="425"/>
      <c r="M338" s="426"/>
    </row>
    <row r="339" spans="1:13" hidden="1" x14ac:dyDescent="0.2">
      <c r="A339" s="12" t="s">
        <v>1090</v>
      </c>
      <c r="F339" s="424">
        <f t="shared" si="29"/>
        <v>60</v>
      </c>
      <c r="G339" s="425" t="str">
        <f t="shared" si="27"/>
        <v>Primary aluminium: PFC emissions (slope method)</v>
      </c>
      <c r="H339" s="425" t="str">
        <f>IF(COUNTIF($G$272:$M$277,G339)&gt;0,MAX(H$288:H338)+1,"")</f>
        <v/>
      </c>
      <c r="I339" s="19" t="str">
        <f t="shared" si="28"/>
        <v/>
      </c>
      <c r="J339" s="425"/>
      <c r="K339" s="425"/>
      <c r="L339" s="425"/>
      <c r="M339" s="426"/>
    </row>
    <row r="340" spans="1:13" hidden="1" x14ac:dyDescent="0.2">
      <c r="A340" s="12" t="s">
        <v>1090</v>
      </c>
      <c r="F340" s="606">
        <f t="shared" si="29"/>
        <v>61</v>
      </c>
      <c r="G340" s="607" t="str">
        <f t="shared" ref="G340:G348" si="30">INDEX(EUConst_TierActivityListNames,F340)</f>
        <v>Primary aluminium: PFC emissions (overvoltage method)</v>
      </c>
      <c r="H340" s="607" t="str">
        <f>IF(COUNTIF($G$272:$M$277,G340)&gt;0,MAX(H$288:H339)+1,"")</f>
        <v/>
      </c>
      <c r="I340" s="608" t="str">
        <f t="shared" si="28"/>
        <v/>
      </c>
      <c r="J340" s="607"/>
      <c r="K340" s="607"/>
      <c r="L340" s="607"/>
      <c r="M340" s="609"/>
    </row>
    <row r="341" spans="1:13" hidden="1" x14ac:dyDescent="0.2">
      <c r="A341" s="12" t="s">
        <v>1090</v>
      </c>
      <c r="F341" s="606">
        <f t="shared" si="29"/>
        <v>62</v>
      </c>
      <c r="G341" s="607" t="str">
        <f t="shared" si="30"/>
        <v>CCS: Capture: CO2 transferred</v>
      </c>
      <c r="H341" s="607" t="str">
        <f>IF(COUNTIF($G$272:$M$277,G341)&gt;0,MAX(H$288:H340)+1,"")</f>
        <v/>
      </c>
      <c r="I341" s="608" t="str">
        <f t="shared" si="28"/>
        <v/>
      </c>
      <c r="J341" s="607"/>
      <c r="K341" s="607"/>
      <c r="L341" s="607"/>
      <c r="M341" s="609"/>
    </row>
    <row r="342" spans="1:13" hidden="1" x14ac:dyDescent="0.2">
      <c r="A342" s="12" t="s">
        <v>1090</v>
      </c>
      <c r="F342" s="606">
        <f t="shared" si="29"/>
        <v>63</v>
      </c>
      <c r="G342" s="607" t="str">
        <f t="shared" si="30"/>
        <v>CCS: Transport: CO2 transferred</v>
      </c>
      <c r="H342" s="607" t="str">
        <f>IF(COUNTIF($G$272:$M$277,G342)&gt;0,MAX(H$288:H341)+1,"")</f>
        <v/>
      </c>
      <c r="I342" s="608" t="str">
        <f t="shared" si="28"/>
        <v/>
      </c>
      <c r="J342" s="607"/>
      <c r="K342" s="607"/>
      <c r="L342" s="607"/>
      <c r="M342" s="609"/>
    </row>
    <row r="343" spans="1:13" hidden="1" x14ac:dyDescent="0.2">
      <c r="A343" s="12" t="s">
        <v>1090</v>
      </c>
      <c r="F343" s="606">
        <f t="shared" si="29"/>
        <v>64</v>
      </c>
      <c r="G343" s="607" t="str">
        <f t="shared" si="30"/>
        <v>CCS: Transport: CO2 vented</v>
      </c>
      <c r="H343" s="607" t="str">
        <f>IF(COUNTIF($G$272:$M$277,G343)&gt;0,MAX(H$288:H342)+1,"")</f>
        <v/>
      </c>
      <c r="I343" s="608" t="str">
        <f t="shared" si="28"/>
        <v/>
      </c>
      <c r="J343" s="607"/>
      <c r="K343" s="607"/>
      <c r="L343" s="607"/>
      <c r="M343" s="609"/>
    </row>
    <row r="344" spans="1:13" hidden="1" x14ac:dyDescent="0.2">
      <c r="A344" s="12" t="s">
        <v>1090</v>
      </c>
      <c r="F344" s="606">
        <f t="shared" si="29"/>
        <v>65</v>
      </c>
      <c r="G344" s="607" t="str">
        <f t="shared" si="30"/>
        <v>CCS: Transport: CO2 leaked</v>
      </c>
      <c r="H344" s="607" t="str">
        <f>IF(COUNTIF($G$272:$M$277,G344)&gt;0,MAX(H$288:H343)+1,"")</f>
        <v/>
      </c>
      <c r="I344" s="608" t="str">
        <f t="shared" si="28"/>
        <v/>
      </c>
      <c r="J344" s="607"/>
      <c r="K344" s="607"/>
      <c r="L344" s="607"/>
      <c r="M344" s="609"/>
    </row>
    <row r="345" spans="1:13" hidden="1" x14ac:dyDescent="0.2">
      <c r="A345" s="12" t="s">
        <v>1090</v>
      </c>
      <c r="F345" s="606">
        <f t="shared" si="29"/>
        <v>66</v>
      </c>
      <c r="G345" s="607" t="str">
        <f t="shared" si="30"/>
        <v>CCS: Transport: CO2 fugitive</v>
      </c>
      <c r="H345" s="607" t="str">
        <f>IF(COUNTIF($G$272:$M$277,G345)&gt;0,MAX(H$288:H344)+1,"")</f>
        <v/>
      </c>
      <c r="I345" s="608" t="str">
        <f t="shared" ref="I345:I350" si="31">IF(ISERROR(INDEX($G$280:$G$350,MATCH(F345,$H$280:$H$350,0))),"",INDEX($G$280:$G$350,MATCH(F345,$H$280:$H$350,0)))</f>
        <v/>
      </c>
      <c r="J345" s="607"/>
      <c r="K345" s="607"/>
      <c r="L345" s="607"/>
      <c r="M345" s="609"/>
    </row>
    <row r="346" spans="1:13" hidden="1" x14ac:dyDescent="0.2">
      <c r="A346" s="12" t="s">
        <v>1090</v>
      </c>
      <c r="F346" s="606">
        <f>F345+1</f>
        <v>67</v>
      </c>
      <c r="G346" s="607" t="str">
        <f t="shared" si="30"/>
        <v>CCS: Storage: CO2 transferred</v>
      </c>
      <c r="H346" s="607" t="str">
        <f>IF(COUNTIF($G$272:$M$277,G346)&gt;0,MAX(H$288:H345)+1,"")</f>
        <v/>
      </c>
      <c r="I346" s="608" t="str">
        <f t="shared" si="31"/>
        <v/>
      </c>
      <c r="J346" s="607"/>
      <c r="K346" s="607"/>
      <c r="L346" s="607"/>
      <c r="M346" s="609"/>
    </row>
    <row r="347" spans="1:13" hidden="1" x14ac:dyDescent="0.2">
      <c r="A347" s="12" t="s">
        <v>1090</v>
      </c>
      <c r="F347" s="606">
        <f>F346+1</f>
        <v>68</v>
      </c>
      <c r="G347" s="607" t="str">
        <f t="shared" si="30"/>
        <v>CCS: Storage: CO2 vented</v>
      </c>
      <c r="H347" s="607" t="str">
        <f>IF(COUNTIF($G$272:$M$277,G347)&gt;0,MAX(H$288:H346)+1,"")</f>
        <v/>
      </c>
      <c r="I347" s="608" t="str">
        <f t="shared" si="31"/>
        <v/>
      </c>
      <c r="J347" s="607"/>
      <c r="K347" s="607"/>
      <c r="L347" s="607"/>
      <c r="M347" s="609"/>
    </row>
    <row r="348" spans="1:13" hidden="1" x14ac:dyDescent="0.2">
      <c r="A348" s="12" t="s">
        <v>1090</v>
      </c>
      <c r="F348" s="606">
        <f>F347+1</f>
        <v>69</v>
      </c>
      <c r="G348" s="607" t="str">
        <f t="shared" si="30"/>
        <v>CCS: Storage: CO2 leaked</v>
      </c>
      <c r="H348" s="607" t="str">
        <f>IF(COUNTIF($G$272:$M$277,G348)&gt;0,MAX(H$288:H347)+1,"")</f>
        <v/>
      </c>
      <c r="I348" s="608" t="str">
        <f t="shared" si="31"/>
        <v/>
      </c>
      <c r="J348" s="607"/>
      <c r="K348" s="607"/>
      <c r="L348" s="607"/>
      <c r="M348" s="609"/>
    </row>
    <row r="349" spans="1:13" ht="13.5" hidden="1" thickBot="1" x14ac:dyDescent="0.25">
      <c r="A349" s="12" t="s">
        <v>1090</v>
      </c>
      <c r="F349" s="427">
        <f>F348+1</f>
        <v>70</v>
      </c>
      <c r="G349" s="428" t="str">
        <f>INDEX(EUConst_TierActivityListNames,F349)</f>
        <v>CCS: Storage: CO2 fugitive</v>
      </c>
      <c r="H349" s="428" t="str">
        <f>IF(COUNTIF($G$272:$M$277,G349)&gt;0,MAX(H$288:H348)+1,"")</f>
        <v/>
      </c>
      <c r="I349" s="20" t="str">
        <f t="shared" si="31"/>
        <v/>
      </c>
      <c r="J349" s="428"/>
      <c r="K349" s="428"/>
      <c r="L349" s="428"/>
      <c r="M349" s="429"/>
    </row>
    <row r="350" spans="1:13" ht="13.5" hidden="1" thickBot="1" x14ac:dyDescent="0.25">
      <c r="A350" s="12" t="s">
        <v>1090</v>
      </c>
      <c r="E350" s="685" t="s">
        <v>1796</v>
      </c>
      <c r="F350" s="427">
        <f>F349+1</f>
        <v>71</v>
      </c>
      <c r="G350" s="428" t="str">
        <f>IF(CNTR_InstHasCCU=TRUE,EUwideConstants!$Q$769,"")</f>
        <v/>
      </c>
      <c r="H350" s="428" t="str">
        <f>IF(G350&lt;&gt;"",MAX(H$288:H349)+1,"")</f>
        <v/>
      </c>
      <c r="I350" s="20" t="str">
        <f t="shared" si="31"/>
        <v/>
      </c>
      <c r="J350" s="428"/>
      <c r="K350" s="428"/>
      <c r="L350" s="428"/>
      <c r="M350" s="429"/>
    </row>
    <row r="351" spans="1:13" hidden="1" x14ac:dyDescent="0.2">
      <c r="A351" s="12" t="s">
        <v>1090</v>
      </c>
    </row>
  </sheetData>
  <sheetProtection sheet="1" objects="1" scenarios="1" formatCells="0" formatColumns="0" formatRows="0"/>
  <mergeCells count="275">
    <mergeCell ref="E2:F2"/>
    <mergeCell ref="G2:H2"/>
    <mergeCell ref="I4:J4"/>
    <mergeCell ref="E3:F3"/>
    <mergeCell ref="C6:N6"/>
    <mergeCell ref="K2:L2"/>
    <mergeCell ref="M2:N2"/>
    <mergeCell ref="B2:D4"/>
    <mergeCell ref="K3:L3"/>
    <mergeCell ref="I2:J2"/>
    <mergeCell ref="G4:H4"/>
    <mergeCell ref="I3:J3"/>
    <mergeCell ref="G3:H3"/>
    <mergeCell ref="E4:F4"/>
    <mergeCell ref="M3:N3"/>
    <mergeCell ref="M4:N4"/>
    <mergeCell ref="K4:L4"/>
    <mergeCell ref="E28:N28"/>
    <mergeCell ref="E34:N34"/>
    <mergeCell ref="E36:N36"/>
    <mergeCell ref="D8:N8"/>
    <mergeCell ref="E14:N14"/>
    <mergeCell ref="D11:N11"/>
    <mergeCell ref="E32:N32"/>
    <mergeCell ref="E13:N13"/>
    <mergeCell ref="E19:N19"/>
    <mergeCell ref="E29:N29"/>
    <mergeCell ref="D10:N10"/>
    <mergeCell ref="E17:N17"/>
    <mergeCell ref="E18:N18"/>
    <mergeCell ref="F58:J58"/>
    <mergeCell ref="E40:N40"/>
    <mergeCell ref="E39:N39"/>
    <mergeCell ref="J100:N100"/>
    <mergeCell ref="E78:N78"/>
    <mergeCell ref="E65:J65"/>
    <mergeCell ref="E92:N92"/>
    <mergeCell ref="E51:N51"/>
    <mergeCell ref="E27:N27"/>
    <mergeCell ref="E24:N24"/>
    <mergeCell ref="E33:N33"/>
    <mergeCell ref="E35:N35"/>
    <mergeCell ref="E26:N26"/>
    <mergeCell ref="E20:N20"/>
    <mergeCell ref="E21:N21"/>
    <mergeCell ref="E22:N22"/>
    <mergeCell ref="E23:N23"/>
    <mergeCell ref="E45:N45"/>
    <mergeCell ref="E31:N31"/>
    <mergeCell ref="K38:N38"/>
    <mergeCell ref="E38:J38"/>
    <mergeCell ref="F46:N46"/>
    <mergeCell ref="E74:N74"/>
    <mergeCell ref="F47:N47"/>
    <mergeCell ref="E48:N48"/>
    <mergeCell ref="E50:N50"/>
    <mergeCell ref="F55:J55"/>
    <mergeCell ref="F56:J56"/>
    <mergeCell ref="F57:J57"/>
    <mergeCell ref="E49:N49"/>
    <mergeCell ref="F59:J59"/>
    <mergeCell ref="F77:N77"/>
    <mergeCell ref="J97:N97"/>
    <mergeCell ref="E66:N66"/>
    <mergeCell ref="E102:H102"/>
    <mergeCell ref="J99:N99"/>
    <mergeCell ref="E79:N79"/>
    <mergeCell ref="F60:J60"/>
    <mergeCell ref="F61:J61"/>
    <mergeCell ref="E84:N84"/>
    <mergeCell ref="J73:N73"/>
    <mergeCell ref="E83:N83"/>
    <mergeCell ref="E80:N80"/>
    <mergeCell ref="F63:J63"/>
    <mergeCell ref="E71:H71"/>
    <mergeCell ref="E68:N68"/>
    <mergeCell ref="F115:M115"/>
    <mergeCell ref="E135:N135"/>
    <mergeCell ref="F138:K138"/>
    <mergeCell ref="F125:M125"/>
    <mergeCell ref="F112:M112"/>
    <mergeCell ref="E101:H101"/>
    <mergeCell ref="J101:N101"/>
    <mergeCell ref="F116:M116"/>
    <mergeCell ref="F114:M114"/>
    <mergeCell ref="E109:N109"/>
    <mergeCell ref="E136:N136"/>
    <mergeCell ref="E108:N108"/>
    <mergeCell ref="E107:N107"/>
    <mergeCell ref="E104:N104"/>
    <mergeCell ref="G128:K130"/>
    <mergeCell ref="F113:M113"/>
    <mergeCell ref="F119:M119"/>
    <mergeCell ref="E268:I268"/>
    <mergeCell ref="F196:H196"/>
    <mergeCell ref="F175:J175"/>
    <mergeCell ref="I202:K202"/>
    <mergeCell ref="F195:H195"/>
    <mergeCell ref="E166:N166"/>
    <mergeCell ref="F191:H191"/>
    <mergeCell ref="F176:J176"/>
    <mergeCell ref="K183:N183"/>
    <mergeCell ref="G178:K180"/>
    <mergeCell ref="L182:N182"/>
    <mergeCell ref="E182:K182"/>
    <mergeCell ref="F266:L266"/>
    <mergeCell ref="E185:N185"/>
    <mergeCell ref="I201:K201"/>
    <mergeCell ref="F194:H194"/>
    <mergeCell ref="F193:H193"/>
    <mergeCell ref="E186:N186"/>
    <mergeCell ref="I200:K200"/>
    <mergeCell ref="E212:N212"/>
    <mergeCell ref="E187:N187"/>
    <mergeCell ref="E96:H96"/>
    <mergeCell ref="F121:M121"/>
    <mergeCell ref="E42:N42"/>
    <mergeCell ref="E44:N44"/>
    <mergeCell ref="E134:N134"/>
    <mergeCell ref="F126:M126"/>
    <mergeCell ref="E99:H99"/>
    <mergeCell ref="F123:M123"/>
    <mergeCell ref="F54:J54"/>
    <mergeCell ref="E91:N91"/>
    <mergeCell ref="E93:N93"/>
    <mergeCell ref="F76:N76"/>
    <mergeCell ref="J96:N96"/>
    <mergeCell ref="E82:K82"/>
    <mergeCell ref="F122:M122"/>
    <mergeCell ref="F120:M120"/>
    <mergeCell ref="F118:M118"/>
    <mergeCell ref="E97:H97"/>
    <mergeCell ref="J98:N98"/>
    <mergeCell ref="E98:H98"/>
    <mergeCell ref="E100:H100"/>
    <mergeCell ref="F117:M117"/>
    <mergeCell ref="E110:N110"/>
    <mergeCell ref="J102:N102"/>
    <mergeCell ref="F150:K150"/>
    <mergeCell ref="F139:K139"/>
    <mergeCell ref="F145:K145"/>
    <mergeCell ref="E162:N162"/>
    <mergeCell ref="F141:K141"/>
    <mergeCell ref="F140:K140"/>
    <mergeCell ref="F143:K143"/>
    <mergeCell ref="F148:K148"/>
    <mergeCell ref="F124:M124"/>
    <mergeCell ref="F142:K142"/>
    <mergeCell ref="F151:K151"/>
    <mergeCell ref="F149:K149"/>
    <mergeCell ref="E163:N163"/>
    <mergeCell ref="F169:J169"/>
    <mergeCell ref="G153:K155"/>
    <mergeCell ref="F170:J170"/>
    <mergeCell ref="F172:J172"/>
    <mergeCell ref="E161:N161"/>
    <mergeCell ref="L157:N157"/>
    <mergeCell ref="E167:N167"/>
    <mergeCell ref="F173:J173"/>
    <mergeCell ref="K158:N158"/>
    <mergeCell ref="E164:N164"/>
    <mergeCell ref="E165:N165"/>
    <mergeCell ref="E160:N160"/>
    <mergeCell ref="F171:J171"/>
    <mergeCell ref="F203:H203"/>
    <mergeCell ref="F202:H202"/>
    <mergeCell ref="E211:N211"/>
    <mergeCell ref="G262:K264"/>
    <mergeCell ref="L253:N253"/>
    <mergeCell ref="I260:K260"/>
    <mergeCell ref="L259:N259"/>
    <mergeCell ref="L257:N257"/>
    <mergeCell ref="L256:N256"/>
    <mergeCell ref="G206:K208"/>
    <mergeCell ref="F234:K234"/>
    <mergeCell ref="F226:K226"/>
    <mergeCell ref="E184:N184"/>
    <mergeCell ref="I257:K257"/>
    <mergeCell ref="I256:K256"/>
    <mergeCell ref="I253:K253"/>
    <mergeCell ref="F254:H254"/>
    <mergeCell ref="E188:N188"/>
    <mergeCell ref="F249:H249"/>
    <mergeCell ref="F174:J174"/>
    <mergeCell ref="E189:N189"/>
    <mergeCell ref="I191:K191"/>
    <mergeCell ref="L260:N260"/>
    <mergeCell ref="F257:H257"/>
    <mergeCell ref="F260:H260"/>
    <mergeCell ref="F258:H258"/>
    <mergeCell ref="F256:H256"/>
    <mergeCell ref="I258:K258"/>
    <mergeCell ref="I259:K259"/>
    <mergeCell ref="F259:H259"/>
    <mergeCell ref="L258:N258"/>
    <mergeCell ref="F253:H253"/>
    <mergeCell ref="L255:N255"/>
    <mergeCell ref="L254:N254"/>
    <mergeCell ref="I254:K254"/>
    <mergeCell ref="I255:K255"/>
    <mergeCell ref="F255:H255"/>
    <mergeCell ref="F231:K231"/>
    <mergeCell ref="F224:K224"/>
    <mergeCell ref="L250:N250"/>
    <mergeCell ref="F252:H252"/>
    <mergeCell ref="L252:N252"/>
    <mergeCell ref="I250:K250"/>
    <mergeCell ref="F250:H250"/>
    <mergeCell ref="F251:H251"/>
    <mergeCell ref="L249:N249"/>
    <mergeCell ref="L251:N251"/>
    <mergeCell ref="I249:K249"/>
    <mergeCell ref="K240:N240"/>
    <mergeCell ref="F235:K235"/>
    <mergeCell ref="I198:K198"/>
    <mergeCell ref="I252:K252"/>
    <mergeCell ref="E219:N219"/>
    <mergeCell ref="F216:N216"/>
    <mergeCell ref="E221:N221"/>
    <mergeCell ref="E218:N218"/>
    <mergeCell ref="F217:N217"/>
    <mergeCell ref="E220:N220"/>
    <mergeCell ref="F232:K232"/>
    <mergeCell ref="E244:N244"/>
    <mergeCell ref="K238:N238"/>
    <mergeCell ref="I251:K251"/>
    <mergeCell ref="F228:K228"/>
    <mergeCell ref="F215:N215"/>
    <mergeCell ref="E246:N246"/>
    <mergeCell ref="E247:N247"/>
    <mergeCell ref="E245:N245"/>
    <mergeCell ref="K242:N242"/>
    <mergeCell ref="F229:K229"/>
    <mergeCell ref="F233:K233"/>
    <mergeCell ref="F227:K227"/>
    <mergeCell ref="I203:K203"/>
    <mergeCell ref="I193:K193"/>
    <mergeCell ref="I196:K196"/>
    <mergeCell ref="I194:K194"/>
    <mergeCell ref="F236:K236"/>
    <mergeCell ref="F199:H199"/>
    <mergeCell ref="E214:N214"/>
    <mergeCell ref="E213:N213"/>
    <mergeCell ref="I199:K199"/>
    <mergeCell ref="F198:H198"/>
    <mergeCell ref="F201:H201"/>
    <mergeCell ref="F225:K225"/>
    <mergeCell ref="F230:K230"/>
    <mergeCell ref="F223:K223"/>
    <mergeCell ref="F204:H204"/>
    <mergeCell ref="I204:K204"/>
    <mergeCell ref="I195:K195"/>
    <mergeCell ref="F200:H200"/>
    <mergeCell ref="I197:K197"/>
    <mergeCell ref="F197:H197"/>
    <mergeCell ref="E15:N15"/>
    <mergeCell ref="E85:N85"/>
    <mergeCell ref="E86:N86"/>
    <mergeCell ref="E75:N75"/>
    <mergeCell ref="F62:J62"/>
    <mergeCell ref="F192:H192"/>
    <mergeCell ref="I192:K192"/>
    <mergeCell ref="E157:K157"/>
    <mergeCell ref="F147:K147"/>
    <mergeCell ref="F144:K144"/>
    <mergeCell ref="F146:K146"/>
    <mergeCell ref="E43:N43"/>
    <mergeCell ref="E25:N25"/>
    <mergeCell ref="E30:N30"/>
    <mergeCell ref="F53:J53"/>
    <mergeCell ref="E70:H70"/>
    <mergeCell ref="E67:N67"/>
    <mergeCell ref="E133:N133"/>
    <mergeCell ref="E94:N94"/>
    <mergeCell ref="D88:N88"/>
  </mergeCells>
  <phoneticPr fontId="6" type="noConversion"/>
  <conditionalFormatting sqref="K171:N176 F171:I176">
    <cfRule type="expression" dxfId="209" priority="45" stopIfTrue="1">
      <formula>$AB171</formula>
    </cfRule>
  </conditionalFormatting>
  <conditionalFormatting sqref="E226:N236">
    <cfRule type="expression" dxfId="208" priority="43" stopIfTrue="1">
      <formula>$AB226</formula>
    </cfRule>
  </conditionalFormatting>
  <conditionalFormatting sqref="F194:N204">
    <cfRule type="expression" dxfId="207" priority="48" stopIfTrue="1">
      <formula>$AB194=TRUE</formula>
    </cfRule>
  </conditionalFormatting>
  <conditionalFormatting sqref="J73:N73">
    <cfRule type="containsText" dxfId="206" priority="4" stopIfTrue="1" operator="containsText" text="!">
      <formula>NOT(ISERROR(SEARCH("!",J73)))</formula>
    </cfRule>
  </conditionalFormatting>
  <conditionalFormatting sqref="F141:N151">
    <cfRule type="expression" dxfId="205" priority="3" stopIfTrue="1">
      <formula>$AB141=TRUE</formula>
    </cfRule>
  </conditionalFormatting>
  <conditionalFormatting sqref="E84:N86">
    <cfRule type="expression" dxfId="204" priority="2" stopIfTrue="1">
      <formula>$AB$84=TRUE</formula>
    </cfRule>
  </conditionalFormatting>
  <conditionalFormatting sqref="I73">
    <cfRule type="expression" dxfId="203" priority="1" stopIfTrue="1">
      <formula>$AB$73</formula>
    </cfRule>
  </conditionalFormatting>
  <dataValidations count="10">
    <dataValidation type="list" allowBlank="1" showInputMessage="1" showErrorMessage="1" sqref="K170:K176 N192:N204" xr:uid="{00000000-0002-0000-0400-000000000000}">
      <formula1>CNTR_EmissionPointsListEPx</formula1>
    </dataValidation>
    <dataValidation type="list" allowBlank="1" showInputMessage="1" showErrorMessage="1" sqref="N113:N126 L141:L151 L192:L204" xr:uid="{00000000-0002-0000-0400-000001000000}">
      <formula1>CNTR_ActivityListAx</formula1>
    </dataValidation>
    <dataValidation type="list" allowBlank="1" showInputMessage="1" showErrorMessage="1" sqref="M141:M151 M192:M204" xr:uid="{00000000-0002-0000-0400-000002000000}">
      <formula1>CNTR_SourceStreamListSx</formula1>
    </dataValidation>
    <dataValidation type="list" allowBlank="1" showInputMessage="1" showErrorMessage="1" sqref="I192:K193" xr:uid="{00000000-0002-0000-0400-000003000000}">
      <formula1>INDIRECT("$i$" &amp; ROW($I$280) &amp; ":$i$" &amp; ROW($I$280)-1+MAX($H$280:$H$323))</formula1>
    </dataValidation>
    <dataValidation type="list" allowBlank="1" showInputMessage="1" showErrorMessage="1" sqref="N141:N151" xr:uid="{00000000-0002-0000-0400-000004000000}">
      <formula1>SpecifiedEmissions2</formula1>
    </dataValidation>
    <dataValidation type="list" allowBlank="1" showInputMessage="1" showErrorMessage="1" sqref="L82 I73 I96:I102" xr:uid="{00000000-0002-0000-0400-000005000000}">
      <formula1>EUconst_TrueFalse</formula1>
    </dataValidation>
    <dataValidation type="list" allowBlank="1" showInputMessage="1" showErrorMessage="1" sqref="N226:N236" xr:uid="{00000000-0002-0000-0400-000006000000}">
      <formula1>SourceCategory</formula1>
    </dataValidation>
    <dataValidation type="list" allowBlank="1" showInputMessage="1" showErrorMessage="1" sqref="N170:N176" xr:uid="{00000000-0002-0000-0400-000007000000}">
      <formula1>EUconst_CEMSType</formula1>
    </dataValidation>
    <dataValidation type="list" allowBlank="1" showInputMessage="1" showErrorMessage="1" sqref="F54:F63" xr:uid="{00000000-0002-0000-0400-000008000000}">
      <formula1>AnnexIActivities</formula1>
    </dataValidation>
    <dataValidation type="list" allowBlank="1" showInputMessage="1" showErrorMessage="1" sqref="I194:K204" xr:uid="{00000000-0002-0000-0400-000009000000}">
      <formula1>INDIRECT("$i$" &amp; ROW($I$280) &amp; ":$i$" &amp; ROW($I$280)-1+MAX($H$280:$H$350))</formula1>
    </dataValidation>
  </dataValidations>
  <hyperlinks>
    <hyperlink ref="E49" r:id="rId1" xr:uid="{00000000-0004-0000-0400-000000000000}"/>
    <hyperlink ref="E3:F3" location="JUMP_C_Top" display="Top of sheet" xr:uid="{00000000-0004-0000-0400-000001000000}"/>
    <hyperlink ref="G2:H2" location="JUMP_a_Content" display="Table of contents" xr:uid="{00000000-0004-0000-0400-000002000000}"/>
    <hyperlink ref="E4:F4" location="JUMP_C_Bottom" display="End of sheet" xr:uid="{00000000-0004-0000-0400-000003000000}"/>
    <hyperlink ref="F266:L266" location="JUMP_D_Top" display="JUMP_D_Top" xr:uid="{00000000-0004-0000-0400-000004000000}"/>
    <hyperlink ref="K2:L2" location="JUMP_D_Top" display="Next sheet" xr:uid="{00000000-0004-0000-0400-000005000000}"/>
    <hyperlink ref="I2:J2" location="JUMP_B_Top" display="Previous sheet" xr:uid="{00000000-0004-0000-0400-000006000000}"/>
    <hyperlink ref="G3:H3" location="JUMP_C_5" display="Installation Activities" xr:uid="{00000000-0004-0000-0400-000007000000}"/>
    <hyperlink ref="I3:J3" location="JUMP_C_6a" display="Monitoring approaches" xr:uid="{00000000-0004-0000-0400-000008000000}"/>
    <hyperlink ref="K3:L3" location="JUMP_C_6b" display="Emission sources&amp;points" xr:uid="{00000000-0004-0000-0400-000009000000}"/>
    <hyperlink ref="G4:H4" location="JUMP_6d" display="Measurement points" xr:uid="{00000000-0004-0000-0400-00000A000000}"/>
    <hyperlink ref="I4:J4" location="JUMP_C_6e" display="Source streams" xr:uid="{00000000-0004-0000-0400-00000B000000}"/>
    <hyperlink ref="K4:L4" location="JUMP_C_6g" display="Activities excluded" xr:uid="{00000000-0004-0000-0400-00000C000000}"/>
    <hyperlink ref="E49:N49" r:id="rId2" display="https://ec.europa.eu/clima/sites/clima/files/ets/docs/guidance_interpretation_en.pdf" xr:uid="{00000000-0004-0000-0400-00000D000000}"/>
  </hyperlinks>
  <pageMargins left="0.78740157480314965" right="0.78740157480314965" top="0.78740157480314965" bottom="0.78740157480314965" header="0.39370078740157483" footer="0.39370078740157483"/>
  <pageSetup paperSize="9" scale="61" fitToHeight="20" orientation="portrait" r:id="rId3"/>
  <headerFooter alignWithMargins="0">
    <oddHeader>&amp;L&amp;F, &amp;A&amp;R&amp;D, &amp;T</oddHeader>
    <oddFooter>&amp;C&amp;P / &amp;N</oddFooter>
  </headerFooter>
  <rowBreaks count="2" manualBreakCount="2">
    <brk id="63" min="1" max="13" man="1"/>
    <brk id="240" min="1" max="13"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indexed="11"/>
    <pageSetUpPr fitToPage="1"/>
  </sheetPr>
  <dimension ref="A1:W318"/>
  <sheetViews>
    <sheetView topLeftCell="B1" zoomScaleNormal="100" workbookViewId="0">
      <pane ySplit="4" topLeftCell="A5" activePane="bottomLeft" state="frozen"/>
      <selection activeCell="B2" sqref="B2"/>
      <selection pane="bottomLeft" activeCell="B2" sqref="B2:D4"/>
    </sheetView>
  </sheetViews>
  <sheetFormatPr defaultColWidth="9.140625" defaultRowHeight="12.75" x14ac:dyDescent="0.2"/>
  <cols>
    <col min="1" max="1" width="2.7109375" style="316" hidden="1" customWidth="1"/>
    <col min="2" max="2" width="2.7109375" style="316" customWidth="1"/>
    <col min="3" max="4" width="4.7109375" style="316" customWidth="1"/>
    <col min="5" max="14" width="12.7109375" style="316" customWidth="1"/>
    <col min="15" max="15" width="4.7109375" style="316" customWidth="1"/>
    <col min="16" max="16" width="24.5703125" style="316" hidden="1" customWidth="1"/>
    <col min="17" max="23" width="12.7109375" style="316" hidden="1" customWidth="1"/>
    <col min="24" max="16384" width="9.140625" style="316"/>
  </cols>
  <sheetData>
    <row r="1" spans="1:23" ht="13.5" hidden="1" thickBot="1" x14ac:dyDescent="0.25">
      <c r="A1" s="17" t="s">
        <v>1090</v>
      </c>
      <c r="B1" s="72"/>
      <c r="C1" s="72"/>
      <c r="D1" s="74"/>
      <c r="E1" s="72"/>
      <c r="F1" s="72"/>
      <c r="G1" s="75"/>
      <c r="H1" s="75"/>
      <c r="I1" s="72"/>
      <c r="J1" s="72"/>
      <c r="K1" s="72"/>
      <c r="L1" s="72"/>
      <c r="M1" s="72"/>
      <c r="N1" s="72"/>
      <c r="O1" s="72"/>
      <c r="P1" s="17" t="s">
        <v>1090</v>
      </c>
      <c r="Q1" s="17" t="s">
        <v>1090</v>
      </c>
      <c r="R1" s="17" t="s">
        <v>1090</v>
      </c>
      <c r="S1" s="17" t="s">
        <v>1090</v>
      </c>
      <c r="T1" s="17" t="s">
        <v>1090</v>
      </c>
      <c r="U1" s="17" t="s">
        <v>1090</v>
      </c>
      <c r="V1" s="17" t="s">
        <v>1090</v>
      </c>
      <c r="W1" s="17" t="s">
        <v>1090</v>
      </c>
    </row>
    <row r="2" spans="1:23" ht="13.5" thickBot="1" x14ac:dyDescent="0.25">
      <c r="A2" s="17"/>
      <c r="B2" s="803" t="str">
        <f>Translations!$B$329</f>
        <v>D.
Calculation Approach</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c r="P2" s="17"/>
      <c r="Q2" s="72"/>
      <c r="R2" s="72"/>
      <c r="S2" s="72"/>
      <c r="T2" s="72"/>
      <c r="U2" s="72"/>
      <c r="V2" s="72"/>
      <c r="W2" s="72"/>
    </row>
    <row r="3" spans="1:23" x14ac:dyDescent="0.2">
      <c r="A3" s="17"/>
      <c r="B3" s="806"/>
      <c r="C3" s="807"/>
      <c r="D3" s="808"/>
      <c r="E3" s="776" t="str">
        <f>Translations!$B$63</f>
        <v>Top of sheet</v>
      </c>
      <c r="F3" s="776"/>
      <c r="G3" s="776" t="str">
        <f>Translations!$B$274</f>
        <v>Description</v>
      </c>
      <c r="H3" s="776"/>
      <c r="I3" s="776" t="str">
        <f>Translations!$B$330</f>
        <v>Measuring Instruments</v>
      </c>
      <c r="J3" s="776"/>
      <c r="K3" s="776" t="str">
        <f>Translations!$B$331</f>
        <v>Information Sources</v>
      </c>
      <c r="L3" s="776"/>
      <c r="M3" s="777"/>
      <c r="N3" s="778"/>
      <c r="O3" s="7"/>
      <c r="P3" s="17"/>
      <c r="Q3" s="72"/>
      <c r="R3" s="72"/>
      <c r="S3" s="72"/>
      <c r="T3" s="72"/>
      <c r="U3" s="72"/>
      <c r="V3" s="72"/>
      <c r="W3" s="72"/>
    </row>
    <row r="4" spans="1:23" ht="13.5" thickBot="1" x14ac:dyDescent="0.25">
      <c r="A4" s="17"/>
      <c r="B4" s="809"/>
      <c r="C4" s="810"/>
      <c r="D4" s="811"/>
      <c r="E4" s="776" t="str">
        <f>Translations!$B$64</f>
        <v>End of sheet</v>
      </c>
      <c r="F4" s="776"/>
      <c r="G4" s="776" t="str">
        <f>Translations!$B$332</f>
        <v>Laboratories</v>
      </c>
      <c r="H4" s="776"/>
      <c r="I4" s="776" t="str">
        <f>Translations!$B$333</f>
        <v>Procedures</v>
      </c>
      <c r="J4" s="776"/>
      <c r="K4" s="776"/>
      <c r="L4" s="776"/>
      <c r="M4" s="777"/>
      <c r="N4" s="778"/>
      <c r="O4" s="7"/>
      <c r="P4" s="17"/>
      <c r="Q4" s="72"/>
      <c r="R4" s="72"/>
      <c r="S4" s="72"/>
      <c r="T4" s="72"/>
      <c r="U4" s="72"/>
      <c r="V4" s="72"/>
      <c r="W4" s="72"/>
    </row>
    <row r="5" spans="1:23" ht="12.75" customHeight="1" thickBot="1" x14ac:dyDescent="0.25">
      <c r="A5" s="72"/>
      <c r="B5" s="8"/>
      <c r="C5" s="9"/>
      <c r="D5" s="10"/>
      <c r="E5" s="8"/>
      <c r="F5" s="10"/>
      <c r="G5" s="10"/>
      <c r="H5" s="10"/>
      <c r="I5" s="8"/>
      <c r="J5" s="8"/>
      <c r="K5" s="8"/>
      <c r="L5" s="8"/>
      <c r="M5" s="7"/>
      <c r="N5" s="7"/>
      <c r="O5" s="7"/>
      <c r="P5" s="17"/>
      <c r="Q5" s="72"/>
      <c r="R5" s="72"/>
      <c r="S5" s="72"/>
      <c r="T5" s="72"/>
      <c r="U5" s="72"/>
      <c r="V5" s="72"/>
      <c r="W5" s="72"/>
    </row>
    <row r="6" spans="1:23" ht="25.5" customHeight="1" thickBot="1" x14ac:dyDescent="0.25">
      <c r="A6" s="76"/>
      <c r="B6" s="414"/>
      <c r="C6" s="812" t="str">
        <f>Translations!$B$16</f>
        <v>D. Calculation Based Approaches</v>
      </c>
      <c r="D6" s="812"/>
      <c r="E6" s="812"/>
      <c r="F6" s="812"/>
      <c r="G6" s="812"/>
      <c r="H6" s="812"/>
      <c r="I6" s="812"/>
      <c r="J6" s="812"/>
      <c r="K6" s="812"/>
      <c r="L6" s="1000" t="str">
        <f>IF(OR(CNTR_InstHasCalculation=TRUE,CNTR_InstHasPFC=TRUE),EUconst_Relevant,IF(COUNTA(CNTR_ListRelevantSections)&gt;0,EUconst_NotRelevant,EUconst_Relevant))</f>
        <v>relevant</v>
      </c>
      <c r="M6" s="1001"/>
      <c r="N6" s="1002"/>
      <c r="O6" s="34"/>
      <c r="P6" s="76"/>
      <c r="Q6" s="76"/>
      <c r="R6" s="76"/>
      <c r="S6" s="76"/>
      <c r="T6" s="76"/>
      <c r="U6" s="76"/>
      <c r="V6" s="76"/>
      <c r="W6" s="76"/>
    </row>
    <row r="7" spans="1:23" ht="5.0999999999999996" customHeight="1" x14ac:dyDescent="0.2">
      <c r="A7" s="76"/>
      <c r="B7" s="414"/>
      <c r="C7" s="414"/>
      <c r="D7" s="414"/>
      <c r="E7" s="98"/>
      <c r="F7" s="414"/>
      <c r="G7" s="414"/>
      <c r="H7" s="414"/>
      <c r="I7" s="414"/>
      <c r="J7" s="414"/>
      <c r="K7" s="414"/>
      <c r="L7" s="414"/>
      <c r="M7" s="414"/>
      <c r="N7" s="414"/>
      <c r="O7" s="34"/>
      <c r="P7" s="76"/>
      <c r="Q7" s="76"/>
      <c r="R7" s="76"/>
      <c r="S7" s="76"/>
      <c r="T7" s="76"/>
      <c r="U7" s="76"/>
      <c r="V7" s="76"/>
      <c r="W7" s="76"/>
    </row>
    <row r="8" spans="1:23" x14ac:dyDescent="0.2">
      <c r="A8" s="72"/>
      <c r="B8" s="417"/>
      <c r="C8" s="417"/>
      <c r="D8" s="417"/>
      <c r="E8" s="417"/>
      <c r="F8" s="417"/>
      <c r="G8" s="417"/>
      <c r="H8" s="417"/>
      <c r="I8" s="417"/>
      <c r="J8" s="417"/>
      <c r="K8" s="918" t="str">
        <f>IF(L6=EUconst_NotRelevant,HYPERLINK("#JUMP_E_Top",EUconst_MsgNextSheet),HYPERLINK("",EUconst_MsgEnterThisSection))</f>
        <v>Please enter data in this section</v>
      </c>
      <c r="L8" s="918"/>
      <c r="M8" s="918"/>
      <c r="N8" s="918"/>
      <c r="O8" s="8"/>
      <c r="P8" s="72"/>
      <c r="Q8" s="72"/>
      <c r="R8" s="72"/>
      <c r="S8" s="72"/>
      <c r="T8" s="72"/>
      <c r="U8" s="72"/>
      <c r="V8" s="72"/>
      <c r="W8" s="72"/>
    </row>
    <row r="9" spans="1:23" ht="5.0999999999999996" customHeight="1" x14ac:dyDescent="0.2">
      <c r="A9" s="72"/>
      <c r="B9" s="417"/>
      <c r="C9" s="417"/>
      <c r="D9" s="417"/>
      <c r="E9" s="417"/>
      <c r="F9" s="417"/>
      <c r="G9" s="417"/>
      <c r="H9" s="417"/>
      <c r="I9" s="417"/>
      <c r="J9" s="417"/>
      <c r="K9" s="417"/>
      <c r="L9" s="417"/>
      <c r="M9" s="417"/>
      <c r="N9" s="417"/>
      <c r="O9" s="8"/>
      <c r="P9" s="72"/>
      <c r="Q9" s="72"/>
      <c r="R9" s="72"/>
      <c r="S9" s="72"/>
      <c r="T9" s="72"/>
      <c r="U9" s="72"/>
      <c r="V9" s="72"/>
      <c r="W9" s="72"/>
    </row>
    <row r="10" spans="1:23" ht="18.75" customHeight="1" x14ac:dyDescent="0.2">
      <c r="A10" s="76"/>
      <c r="B10" s="414"/>
      <c r="C10" s="53">
        <v>7</v>
      </c>
      <c r="D10" s="884" t="str">
        <f>Translations!$B$17</f>
        <v>Calculation: Details which are needed for further input in the next sheet</v>
      </c>
      <c r="E10" s="884"/>
      <c r="F10" s="884"/>
      <c r="G10" s="884"/>
      <c r="H10" s="884"/>
      <c r="I10" s="884"/>
      <c r="J10" s="884"/>
      <c r="K10" s="884"/>
      <c r="L10" s="884"/>
      <c r="M10" s="884"/>
      <c r="N10" s="884"/>
      <c r="O10" s="414"/>
      <c r="P10" s="72"/>
      <c r="Q10" s="72"/>
      <c r="R10" s="72"/>
      <c r="S10" s="72"/>
      <c r="T10" s="72"/>
      <c r="U10" s="72"/>
      <c r="V10" s="72"/>
      <c r="W10" s="72"/>
    </row>
    <row r="11" spans="1:23" x14ac:dyDescent="0.2">
      <c r="A11" s="72"/>
      <c r="B11" s="417"/>
      <c r="C11" s="417"/>
      <c r="D11" s="417"/>
      <c r="E11" s="417"/>
      <c r="F11" s="417"/>
      <c r="G11" s="417"/>
      <c r="H11" s="417"/>
      <c r="I11" s="417"/>
      <c r="J11" s="417"/>
      <c r="K11" s="417"/>
      <c r="L11" s="417"/>
      <c r="M11" s="417"/>
      <c r="N11" s="417"/>
      <c r="O11" s="8"/>
      <c r="P11" s="72"/>
      <c r="Q11" s="72"/>
      <c r="R11" s="72"/>
      <c r="S11" s="72"/>
      <c r="T11" s="72"/>
      <c r="U11" s="72"/>
      <c r="V11" s="72"/>
      <c r="W11" s="72"/>
    </row>
    <row r="12" spans="1:23" ht="25.5" customHeight="1" x14ac:dyDescent="0.2">
      <c r="A12" s="72"/>
      <c r="B12" s="417"/>
      <c r="C12" s="430"/>
      <c r="D12" s="1003" t="str">
        <f>Translations!$B$334</f>
        <v>Please use this sheet for providing information necessary for calculation based approaches. The information entered here is used as reference for the detailed inputs in the following sheet (E_SourceStreams).</v>
      </c>
      <c r="E12" s="767"/>
      <c r="F12" s="767"/>
      <c r="G12" s="767"/>
      <c r="H12" s="767"/>
      <c r="I12" s="767"/>
      <c r="J12" s="767"/>
      <c r="K12" s="767"/>
      <c r="L12" s="767"/>
      <c r="M12" s="767"/>
      <c r="N12" s="767"/>
      <c r="O12" s="322"/>
      <c r="P12" s="72"/>
      <c r="Q12" s="72"/>
      <c r="R12" s="72"/>
      <c r="S12" s="72"/>
      <c r="T12" s="72"/>
      <c r="U12" s="72"/>
      <c r="V12" s="72"/>
      <c r="W12" s="72"/>
    </row>
    <row r="13" spans="1:23" ht="38.25" customHeight="1" x14ac:dyDescent="0.2">
      <c r="A13" s="72"/>
      <c r="B13" s="417"/>
      <c r="C13" s="430"/>
      <c r="D13" s="1003" t="str">
        <f>Translations!$B$335</f>
        <v>In particular, the list of measuring instruments is required for the monitoring of activity data, the list of information sources is required for default values for calculation factors in accordance with Article 31, and the analytical methods will be referenced in case analyses are required for calculation factors.</v>
      </c>
      <c r="E13" s="767"/>
      <c r="F13" s="767"/>
      <c r="G13" s="767"/>
      <c r="H13" s="767"/>
      <c r="I13" s="767"/>
      <c r="J13" s="767"/>
      <c r="K13" s="767"/>
      <c r="L13" s="767"/>
      <c r="M13" s="767"/>
      <c r="N13" s="767"/>
      <c r="O13" s="322"/>
      <c r="P13" s="72"/>
      <c r="Q13" s="72"/>
      <c r="R13" s="72"/>
      <c r="S13" s="72"/>
      <c r="T13" s="72"/>
      <c r="U13" s="72"/>
      <c r="V13" s="72"/>
      <c r="W13" s="72"/>
    </row>
    <row r="14" spans="1:23" ht="12.75" customHeight="1" x14ac:dyDescent="0.2">
      <c r="A14" s="72"/>
      <c r="B14" s="417"/>
      <c r="C14" s="430"/>
      <c r="D14" s="14"/>
      <c r="E14" s="322"/>
      <c r="F14" s="322"/>
      <c r="G14" s="322"/>
      <c r="H14" s="322"/>
      <c r="I14" s="322"/>
      <c r="J14" s="322"/>
      <c r="K14" s="322"/>
      <c r="L14" s="322"/>
      <c r="M14" s="322"/>
      <c r="N14" s="417"/>
      <c r="O14" s="322"/>
      <c r="P14" s="72"/>
      <c r="Q14" s="72"/>
      <c r="R14" s="72"/>
      <c r="S14" s="72"/>
      <c r="T14" s="72"/>
      <c r="U14" s="72"/>
      <c r="V14" s="72"/>
      <c r="W14" s="72"/>
    </row>
    <row r="15" spans="1:23" ht="16.5" customHeight="1" x14ac:dyDescent="0.2">
      <c r="A15" s="76"/>
      <c r="B15" s="414"/>
      <c r="C15" s="414"/>
      <c r="D15" s="98" t="s">
        <v>1018</v>
      </c>
      <c r="E15" s="990" t="str">
        <f>Translations!$B$336</f>
        <v>Description of the calculation based approach for monitoring CO2 emissions at your installation, if applicable:</v>
      </c>
      <c r="F15" s="991"/>
      <c r="G15" s="991"/>
      <c r="H15" s="991"/>
      <c r="I15" s="991"/>
      <c r="J15" s="991"/>
      <c r="K15" s="991"/>
      <c r="L15" s="991"/>
      <c r="M15" s="991"/>
      <c r="N15" s="991"/>
      <c r="O15" s="322"/>
      <c r="P15" s="108"/>
      <c r="Q15" s="108"/>
      <c r="R15" s="117"/>
      <c r="S15" s="76"/>
      <c r="T15" s="76"/>
      <c r="U15" s="76"/>
      <c r="V15" s="76"/>
      <c r="W15" s="76"/>
    </row>
    <row r="16" spans="1:23" ht="12.75" customHeight="1" x14ac:dyDescent="0.2">
      <c r="A16" s="72"/>
      <c r="B16" s="417"/>
      <c r="C16" s="417"/>
      <c r="D16" s="337"/>
      <c r="E16" s="898" t="str">
        <f>Translations!$B$337</f>
        <v>Please provide a concise description of the calculation approach, including formulae, used to determine your annual CO2 emissions in the text box below.</v>
      </c>
      <c r="F16" s="898"/>
      <c r="G16" s="898"/>
      <c r="H16" s="898"/>
      <c r="I16" s="898"/>
      <c r="J16" s="898"/>
      <c r="K16" s="898"/>
      <c r="L16" s="898"/>
      <c r="M16" s="898"/>
      <c r="N16" s="898"/>
      <c r="O16" s="322"/>
      <c r="P16" s="72"/>
      <c r="Q16" s="72"/>
      <c r="R16" s="72"/>
      <c r="S16" s="72"/>
      <c r="T16" s="72"/>
      <c r="U16" s="72"/>
      <c r="V16" s="72"/>
      <c r="W16" s="72"/>
    </row>
    <row r="17" spans="1:23" ht="25.5" customHeight="1" x14ac:dyDescent="0.2">
      <c r="A17" s="72"/>
      <c r="B17" s="417"/>
      <c r="C17" s="417"/>
      <c r="D17" s="337"/>
      <c r="E17" s="869" t="str">
        <f>Translations!$B$338</f>
        <v>If the description is too complex, e.g. complex formulas are applied, you may provide the description in a separate document using a file format acceptable for the CA. In this case please reference this file here, by using the file name and date.</v>
      </c>
      <c r="F17" s="869"/>
      <c r="G17" s="869"/>
      <c r="H17" s="869"/>
      <c r="I17" s="869"/>
      <c r="J17" s="869"/>
      <c r="K17" s="869"/>
      <c r="L17" s="869"/>
      <c r="M17" s="869"/>
      <c r="N17" s="869"/>
      <c r="O17" s="322"/>
      <c r="P17" s="72"/>
      <c r="Q17" s="72"/>
      <c r="R17" s="72"/>
      <c r="S17" s="72"/>
      <c r="T17" s="72"/>
      <c r="U17" s="72"/>
      <c r="V17" s="72"/>
      <c r="W17" s="72"/>
    </row>
    <row r="18" spans="1:23" ht="25.5" customHeight="1" x14ac:dyDescent="0.2">
      <c r="A18" s="72"/>
      <c r="B18" s="417"/>
      <c r="C18" s="417"/>
      <c r="D18" s="337"/>
      <c r="E18" s="869" t="str">
        <f>Translations!$B$339</f>
        <v>This description should provide the linking information which is needed to understand, how the information given in other parts of this template are used together for calculating the emissions. It may be as short as the given example.</v>
      </c>
      <c r="F18" s="869"/>
      <c r="G18" s="869"/>
      <c r="H18" s="869"/>
      <c r="I18" s="869"/>
      <c r="J18" s="869"/>
      <c r="K18" s="869"/>
      <c r="L18" s="869"/>
      <c r="M18" s="869"/>
      <c r="N18" s="869"/>
      <c r="O18" s="322"/>
      <c r="P18" s="72"/>
      <c r="Q18" s="72"/>
      <c r="R18" s="72"/>
      <c r="S18" s="72"/>
      <c r="T18" s="72"/>
      <c r="U18" s="72"/>
      <c r="V18" s="72"/>
      <c r="W18" s="72"/>
    </row>
    <row r="19" spans="1:23" ht="25.5" customHeight="1" x14ac:dyDescent="0.2">
      <c r="A19" s="72"/>
      <c r="B19" s="417"/>
      <c r="C19" s="417"/>
      <c r="D19" s="337"/>
      <c r="E19" s="869" t="str">
        <f>Translations!$B$1166</f>
        <v>Where process emissions are relevant, please clearly describe whether the calculation includes inorganic carbon (carbonates), organic carbon, or both, pursuant to section of 4 of Annex II of the MRR.</v>
      </c>
      <c r="F19" s="869"/>
      <c r="G19" s="869"/>
      <c r="H19" s="869"/>
      <c r="I19" s="869"/>
      <c r="J19" s="869"/>
      <c r="K19" s="869"/>
      <c r="L19" s="869"/>
      <c r="M19" s="869"/>
      <c r="N19" s="869"/>
      <c r="O19" s="322"/>
      <c r="P19" s="72"/>
      <c r="Q19" s="72"/>
      <c r="R19" s="72"/>
      <c r="S19" s="72"/>
      <c r="T19" s="72"/>
      <c r="U19" s="72"/>
      <c r="V19" s="72"/>
      <c r="W19" s="72" t="s">
        <v>281</v>
      </c>
    </row>
    <row r="20" spans="1:23" ht="5.0999999999999996" customHeight="1" x14ac:dyDescent="0.2">
      <c r="A20" s="72"/>
      <c r="B20" s="417"/>
      <c r="C20" s="417"/>
      <c r="D20" s="417"/>
      <c r="E20" s="431"/>
      <c r="F20" s="431"/>
      <c r="G20" s="431"/>
      <c r="H20" s="431"/>
      <c r="I20" s="431"/>
      <c r="J20" s="431"/>
      <c r="K20" s="431"/>
      <c r="L20" s="431"/>
      <c r="M20" s="417"/>
      <c r="N20" s="417"/>
      <c r="O20" s="322"/>
      <c r="P20" s="72"/>
      <c r="Q20" s="72"/>
      <c r="R20" s="72"/>
      <c r="S20" s="72"/>
      <c r="T20" s="72"/>
      <c r="U20" s="72"/>
      <c r="V20" s="72"/>
      <c r="W20" s="72"/>
    </row>
    <row r="21" spans="1:23" s="112" customFormat="1" ht="12.75" customHeight="1" x14ac:dyDescent="0.2">
      <c r="A21" s="12" t="s">
        <v>1373</v>
      </c>
      <c r="B21" s="8"/>
      <c r="C21" s="8"/>
      <c r="D21" s="8"/>
      <c r="E21" s="952" t="str">
        <f>Translations!$B$340</f>
        <v>In principle, the calculation approach used at this installation is done according to the following sequence:</v>
      </c>
      <c r="F21" s="989"/>
      <c r="G21" s="989"/>
      <c r="H21" s="989"/>
      <c r="I21" s="989"/>
      <c r="J21" s="989"/>
      <c r="K21" s="989"/>
      <c r="L21" s="989"/>
      <c r="M21" s="989"/>
      <c r="N21" s="953"/>
      <c r="O21" s="322"/>
      <c r="P21" s="109"/>
      <c r="Q21" s="109"/>
      <c r="R21" s="72"/>
      <c r="S21" s="72"/>
      <c r="T21" s="72"/>
      <c r="U21" s="72"/>
      <c r="V21" s="72"/>
      <c r="W21" s="255"/>
    </row>
    <row r="22" spans="1:23" s="112" customFormat="1" ht="25.5" customHeight="1" x14ac:dyDescent="0.2">
      <c r="A22" s="12" t="s">
        <v>1373</v>
      </c>
      <c r="B22" s="8"/>
      <c r="C22" s="8"/>
      <c r="D22" s="8"/>
      <c r="E22" s="986" t="str">
        <f>Translations!$B$341</f>
        <v>a) for each source stream, where default values for calculation factors are used (natural gas, heavy fuel oil, and all minor source streams), the activity data is first summed up, then the calculation formula according to Article 24(1) is used.</v>
      </c>
      <c r="F22" s="987"/>
      <c r="G22" s="987"/>
      <c r="H22" s="987"/>
      <c r="I22" s="987"/>
      <c r="J22" s="987"/>
      <c r="K22" s="987"/>
      <c r="L22" s="987"/>
      <c r="M22" s="987"/>
      <c r="N22" s="988"/>
      <c r="O22" s="322"/>
      <c r="P22" s="109"/>
      <c r="Q22" s="109"/>
      <c r="R22" s="72"/>
      <c r="S22" s="72"/>
      <c r="T22" s="72"/>
      <c r="U22" s="72"/>
      <c r="V22" s="72"/>
      <c r="W22" s="72"/>
    </row>
    <row r="23" spans="1:23" s="112" customFormat="1" ht="38.25" customHeight="1" x14ac:dyDescent="0.2">
      <c r="A23" s="12" t="s">
        <v>1373</v>
      </c>
      <c r="B23" s="8"/>
      <c r="C23" s="8"/>
      <c r="D23" s="8"/>
      <c r="E23" s="986" t="str">
        <f>Translations!$B$342</f>
        <v>b) for each source stream, where analyses results are used for calculation factors (coal, raw meal), the activity data and calculation factors of each batch, to which the analyses relate, are first used for the calculation formula according to Article 24(1). The resulting emissions for each batch are then summed up to the annual emissions value of the source stream.</v>
      </c>
      <c r="F23" s="1004"/>
      <c r="G23" s="1004"/>
      <c r="H23" s="1004"/>
      <c r="I23" s="1004"/>
      <c r="J23" s="1004"/>
      <c r="K23" s="1004"/>
      <c r="L23" s="1004"/>
      <c r="M23" s="1004"/>
      <c r="N23" s="1005"/>
      <c r="O23" s="322"/>
      <c r="P23" s="109"/>
      <c r="Q23" s="109"/>
      <c r="R23" s="72"/>
      <c r="S23" s="72"/>
      <c r="T23" s="72"/>
      <c r="U23" s="72"/>
      <c r="V23" s="72"/>
      <c r="W23" s="72"/>
    </row>
    <row r="24" spans="1:23" s="112" customFormat="1" ht="12.75" customHeight="1" x14ac:dyDescent="0.2">
      <c r="A24" s="12" t="s">
        <v>1373</v>
      </c>
      <c r="B24" s="8"/>
      <c r="C24" s="8"/>
      <c r="D24" s="8"/>
      <c r="E24" s="986" t="str">
        <f>Translations!$B$343</f>
        <v>c) In cases b), weighted average calculation factors are determined for reporting.</v>
      </c>
      <c r="F24" s="987"/>
      <c r="G24" s="987"/>
      <c r="H24" s="987"/>
      <c r="I24" s="987"/>
      <c r="J24" s="987"/>
      <c r="K24" s="987"/>
      <c r="L24" s="987"/>
      <c r="M24" s="987"/>
      <c r="N24" s="988"/>
      <c r="O24" s="322"/>
      <c r="P24" s="109"/>
      <c r="Q24" s="109"/>
      <c r="R24" s="72"/>
      <c r="S24" s="72"/>
      <c r="T24" s="72"/>
      <c r="U24" s="72"/>
      <c r="V24" s="72"/>
      <c r="W24" s="72"/>
    </row>
    <row r="25" spans="1:23" s="112" customFormat="1" ht="12.75" customHeight="1" x14ac:dyDescent="0.2">
      <c r="A25" s="12" t="s">
        <v>1373</v>
      </c>
      <c r="B25" s="8"/>
      <c r="C25" s="8"/>
      <c r="D25" s="8"/>
      <c r="E25" s="986" t="str">
        <f>Translations!$B$344</f>
        <v>d) the emissions of all source streams are added up to give the annual emissions of the installation.</v>
      </c>
      <c r="F25" s="987"/>
      <c r="G25" s="987"/>
      <c r="H25" s="987"/>
      <c r="I25" s="987"/>
      <c r="J25" s="987"/>
      <c r="K25" s="987"/>
      <c r="L25" s="987"/>
      <c r="M25" s="987"/>
      <c r="N25" s="988"/>
      <c r="O25" s="322"/>
      <c r="P25" s="109"/>
      <c r="Q25" s="109"/>
      <c r="R25" s="72"/>
      <c r="S25" s="72"/>
      <c r="T25" s="72"/>
      <c r="U25" s="72"/>
      <c r="V25" s="72"/>
      <c r="W25" s="72"/>
    </row>
    <row r="26" spans="1:23" s="112" customFormat="1" ht="12.75" customHeight="1" x14ac:dyDescent="0.2">
      <c r="A26" s="12" t="s">
        <v>1373</v>
      </c>
      <c r="B26" s="8"/>
      <c r="C26" s="8"/>
      <c r="D26" s="8"/>
      <c r="E26" s="986" t="str">
        <f>Translations!$B$345</f>
        <v>For solid fuels, batch metering in accordance with Article 27(2) is used. All other source streams are monitored using continual metering.</v>
      </c>
      <c r="F26" s="987"/>
      <c r="G26" s="987"/>
      <c r="H26" s="987"/>
      <c r="I26" s="987"/>
      <c r="J26" s="987"/>
      <c r="K26" s="987"/>
      <c r="L26" s="987"/>
      <c r="M26" s="987"/>
      <c r="N26" s="988"/>
      <c r="O26" s="322"/>
      <c r="P26" s="109"/>
      <c r="Q26" s="109"/>
      <c r="R26" s="72"/>
      <c r="S26" s="72"/>
      <c r="T26" s="72"/>
      <c r="U26" s="72"/>
      <c r="V26" s="72"/>
      <c r="W26" s="72"/>
    </row>
    <row r="27" spans="1:23" s="112" customFormat="1" ht="12.75" customHeight="1" x14ac:dyDescent="0.2">
      <c r="A27" s="12" t="s">
        <v>1373</v>
      </c>
      <c r="B27" s="8"/>
      <c r="C27" s="8"/>
      <c r="D27" s="8"/>
      <c r="E27" s="986" t="str">
        <f>Translations!$B$346</f>
        <v>All details on source streams (determination of activity data, determination of calculation factors) are outlined in other sections of this monitoring plan.</v>
      </c>
      <c r="F27" s="987"/>
      <c r="G27" s="987"/>
      <c r="H27" s="987"/>
      <c r="I27" s="987"/>
      <c r="J27" s="987"/>
      <c r="K27" s="987"/>
      <c r="L27" s="987"/>
      <c r="M27" s="987"/>
      <c r="N27" s="988"/>
      <c r="O27" s="322"/>
      <c r="P27" s="109"/>
      <c r="Q27" s="109"/>
      <c r="R27" s="72"/>
      <c r="S27" s="72"/>
      <c r="T27" s="72"/>
      <c r="U27" s="72"/>
      <c r="V27" s="72"/>
      <c r="W27" s="72"/>
    </row>
    <row r="28" spans="1:23" ht="12.75" customHeight="1" x14ac:dyDescent="0.2">
      <c r="A28" s="72"/>
      <c r="B28" s="417"/>
      <c r="C28" s="417"/>
      <c r="D28" s="417"/>
      <c r="E28" s="980"/>
      <c r="F28" s="981"/>
      <c r="G28" s="981"/>
      <c r="H28" s="981"/>
      <c r="I28" s="981"/>
      <c r="J28" s="981"/>
      <c r="K28" s="981"/>
      <c r="L28" s="981"/>
      <c r="M28" s="981"/>
      <c r="N28" s="982"/>
      <c r="O28" s="322"/>
      <c r="P28" s="109"/>
      <c r="Q28" s="109"/>
      <c r="R28" s="72"/>
      <c r="S28" s="72"/>
      <c r="T28" s="72"/>
      <c r="U28" s="72"/>
      <c r="V28" s="72"/>
      <c r="W28" s="255" t="b">
        <f>IF(L6=EUconst_NotRelevant,TRUE,FALSE)</f>
        <v>0</v>
      </c>
    </row>
    <row r="29" spans="1:23" ht="12.75" customHeight="1" x14ac:dyDescent="0.2">
      <c r="A29" s="72"/>
      <c r="B29" s="417"/>
      <c r="C29" s="417"/>
      <c r="D29" s="417"/>
      <c r="E29" s="983"/>
      <c r="F29" s="984"/>
      <c r="G29" s="984"/>
      <c r="H29" s="984"/>
      <c r="I29" s="984"/>
      <c r="J29" s="984"/>
      <c r="K29" s="984"/>
      <c r="L29" s="984"/>
      <c r="M29" s="984"/>
      <c r="N29" s="985"/>
      <c r="O29" s="322"/>
      <c r="P29" s="109"/>
      <c r="Q29" s="109"/>
      <c r="R29" s="72"/>
      <c r="S29" s="72"/>
      <c r="T29" s="72"/>
      <c r="U29" s="72"/>
      <c r="V29" s="72"/>
      <c r="W29" s="72"/>
    </row>
    <row r="30" spans="1:23" ht="12.75" customHeight="1" x14ac:dyDescent="0.2">
      <c r="A30" s="72"/>
      <c r="B30" s="417"/>
      <c r="C30" s="417"/>
      <c r="D30" s="417"/>
      <c r="E30" s="983"/>
      <c r="F30" s="984"/>
      <c r="G30" s="984"/>
      <c r="H30" s="984"/>
      <c r="I30" s="984"/>
      <c r="J30" s="984"/>
      <c r="K30" s="984"/>
      <c r="L30" s="984"/>
      <c r="M30" s="984"/>
      <c r="N30" s="985"/>
      <c r="O30" s="322"/>
      <c r="P30" s="109"/>
      <c r="Q30" s="109"/>
      <c r="R30" s="72"/>
      <c r="S30" s="72"/>
      <c r="T30" s="72"/>
      <c r="U30" s="72"/>
      <c r="V30" s="72"/>
      <c r="W30" s="72"/>
    </row>
    <row r="31" spans="1:23" ht="12.75" customHeight="1" x14ac:dyDescent="0.2">
      <c r="A31" s="72"/>
      <c r="B31" s="417"/>
      <c r="C31" s="417"/>
      <c r="D31" s="417"/>
      <c r="E31" s="983"/>
      <c r="F31" s="984"/>
      <c r="G31" s="984"/>
      <c r="H31" s="984"/>
      <c r="I31" s="984"/>
      <c r="J31" s="984"/>
      <c r="K31" s="984"/>
      <c r="L31" s="984"/>
      <c r="M31" s="984"/>
      <c r="N31" s="985"/>
      <c r="O31" s="322"/>
      <c r="P31" s="109"/>
      <c r="Q31" s="109"/>
      <c r="R31" s="72"/>
      <c r="S31" s="72"/>
      <c r="T31" s="72"/>
      <c r="U31" s="72"/>
      <c r="V31" s="72"/>
      <c r="W31" s="72"/>
    </row>
    <row r="32" spans="1:23" ht="12.75" customHeight="1" x14ac:dyDescent="0.2">
      <c r="A32" s="72"/>
      <c r="B32" s="417"/>
      <c r="C32" s="417"/>
      <c r="D32" s="417"/>
      <c r="E32" s="983"/>
      <c r="F32" s="984"/>
      <c r="G32" s="984"/>
      <c r="H32" s="984"/>
      <c r="I32" s="984"/>
      <c r="J32" s="984"/>
      <c r="K32" s="984"/>
      <c r="L32" s="984"/>
      <c r="M32" s="984"/>
      <c r="N32" s="985"/>
      <c r="O32" s="322"/>
      <c r="P32" s="109"/>
      <c r="Q32" s="109"/>
      <c r="R32" s="72"/>
      <c r="S32" s="72"/>
      <c r="T32" s="72"/>
      <c r="U32" s="72"/>
      <c r="V32" s="72"/>
      <c r="W32" s="72"/>
    </row>
    <row r="33" spans="1:23" ht="12.75" customHeight="1" x14ac:dyDescent="0.2">
      <c r="A33" s="72"/>
      <c r="B33" s="417"/>
      <c r="C33" s="417"/>
      <c r="D33" s="417"/>
      <c r="E33" s="983"/>
      <c r="F33" s="984"/>
      <c r="G33" s="984"/>
      <c r="H33" s="984"/>
      <c r="I33" s="984"/>
      <c r="J33" s="984"/>
      <c r="K33" s="984"/>
      <c r="L33" s="984"/>
      <c r="M33" s="984"/>
      <c r="N33" s="985"/>
      <c r="O33" s="322"/>
      <c r="P33" s="109"/>
      <c r="Q33" s="109"/>
      <c r="R33" s="72"/>
      <c r="S33" s="72"/>
      <c r="T33" s="72"/>
      <c r="U33" s="72"/>
      <c r="V33" s="72"/>
      <c r="W33" s="72"/>
    </row>
    <row r="34" spans="1:23" ht="12.75" customHeight="1" x14ac:dyDescent="0.2">
      <c r="A34" s="72"/>
      <c r="B34" s="417"/>
      <c r="C34" s="417"/>
      <c r="D34" s="417"/>
      <c r="E34" s="983"/>
      <c r="F34" s="984"/>
      <c r="G34" s="984"/>
      <c r="H34" s="984"/>
      <c r="I34" s="984"/>
      <c r="J34" s="984"/>
      <c r="K34" s="984"/>
      <c r="L34" s="984"/>
      <c r="M34" s="984"/>
      <c r="N34" s="985"/>
      <c r="O34" s="322"/>
      <c r="P34" s="109"/>
      <c r="Q34" s="109"/>
      <c r="R34" s="72"/>
      <c r="S34" s="72"/>
      <c r="T34" s="72"/>
      <c r="U34" s="72"/>
      <c r="V34" s="72"/>
      <c r="W34" s="72"/>
    </row>
    <row r="35" spans="1:23" ht="12.75" customHeight="1" x14ac:dyDescent="0.2">
      <c r="A35" s="72"/>
      <c r="B35" s="417"/>
      <c r="C35" s="417"/>
      <c r="D35" s="417"/>
      <c r="E35" s="983"/>
      <c r="F35" s="984"/>
      <c r="G35" s="984"/>
      <c r="H35" s="984"/>
      <c r="I35" s="984"/>
      <c r="J35" s="984"/>
      <c r="K35" s="984"/>
      <c r="L35" s="984"/>
      <c r="M35" s="984"/>
      <c r="N35" s="985"/>
      <c r="O35" s="322"/>
      <c r="P35" s="109"/>
      <c r="Q35" s="109"/>
      <c r="R35" s="72"/>
      <c r="S35" s="72"/>
      <c r="T35" s="72"/>
      <c r="U35" s="72"/>
      <c r="V35" s="72"/>
      <c r="W35" s="72"/>
    </row>
    <row r="36" spans="1:23" ht="12.75" customHeight="1" x14ac:dyDescent="0.2">
      <c r="A36" s="72"/>
      <c r="B36" s="417"/>
      <c r="C36" s="417"/>
      <c r="D36" s="417"/>
      <c r="E36" s="983"/>
      <c r="F36" s="984"/>
      <c r="G36" s="984"/>
      <c r="H36" s="984"/>
      <c r="I36" s="984"/>
      <c r="J36" s="984"/>
      <c r="K36" s="984"/>
      <c r="L36" s="984"/>
      <c r="M36" s="984"/>
      <c r="N36" s="985"/>
      <c r="O36" s="322"/>
      <c r="P36" s="109"/>
      <c r="Q36" s="109"/>
      <c r="R36" s="72"/>
      <c r="S36" s="72"/>
      <c r="T36" s="72"/>
      <c r="U36" s="72"/>
      <c r="V36" s="72"/>
      <c r="W36" s="72"/>
    </row>
    <row r="37" spans="1:23" ht="12.75" customHeight="1" x14ac:dyDescent="0.2">
      <c r="A37" s="72"/>
      <c r="B37" s="417"/>
      <c r="C37" s="417"/>
      <c r="D37" s="417"/>
      <c r="E37" s="983"/>
      <c r="F37" s="984"/>
      <c r="G37" s="984"/>
      <c r="H37" s="984"/>
      <c r="I37" s="984"/>
      <c r="J37" s="984"/>
      <c r="K37" s="984"/>
      <c r="L37" s="984"/>
      <c r="M37" s="984"/>
      <c r="N37" s="985"/>
      <c r="O37" s="322"/>
      <c r="P37" s="109"/>
      <c r="Q37" s="109"/>
      <c r="R37" s="72"/>
      <c r="S37" s="72"/>
      <c r="T37" s="72"/>
      <c r="U37" s="72"/>
      <c r="V37" s="72"/>
      <c r="W37" s="72"/>
    </row>
    <row r="38" spans="1:23" ht="12.75" customHeight="1" x14ac:dyDescent="0.2">
      <c r="A38" s="72"/>
      <c r="B38" s="417"/>
      <c r="C38" s="417"/>
      <c r="D38" s="417"/>
      <c r="E38" s="983"/>
      <c r="F38" s="984"/>
      <c r="G38" s="984"/>
      <c r="H38" s="984"/>
      <c r="I38" s="984"/>
      <c r="J38" s="984"/>
      <c r="K38" s="984"/>
      <c r="L38" s="984"/>
      <c r="M38" s="984"/>
      <c r="N38" s="985"/>
      <c r="O38" s="322"/>
      <c r="P38" s="109"/>
      <c r="Q38" s="109"/>
      <c r="R38" s="72"/>
      <c r="S38" s="72"/>
      <c r="T38" s="72"/>
      <c r="U38" s="72"/>
      <c r="V38" s="72"/>
      <c r="W38" s="72"/>
    </row>
    <row r="39" spans="1:23" ht="12.75" customHeight="1" x14ac:dyDescent="0.2">
      <c r="A39" s="72"/>
      <c r="B39" s="417"/>
      <c r="C39" s="417"/>
      <c r="D39" s="417"/>
      <c r="E39" s="983"/>
      <c r="F39" s="984"/>
      <c r="G39" s="984"/>
      <c r="H39" s="984"/>
      <c r="I39" s="984"/>
      <c r="J39" s="984"/>
      <c r="K39" s="984"/>
      <c r="L39" s="984"/>
      <c r="M39" s="984"/>
      <c r="N39" s="985"/>
      <c r="O39" s="322"/>
      <c r="P39" s="109"/>
      <c r="Q39" s="109"/>
      <c r="R39" s="72"/>
      <c r="S39" s="72"/>
      <c r="T39" s="72"/>
      <c r="U39" s="72"/>
      <c r="V39" s="72"/>
      <c r="W39" s="72"/>
    </row>
    <row r="40" spans="1:23" ht="12.75" customHeight="1" x14ac:dyDescent="0.2">
      <c r="A40" s="72"/>
      <c r="B40" s="417"/>
      <c r="C40" s="417"/>
      <c r="D40" s="417"/>
      <c r="E40" s="983"/>
      <c r="F40" s="984"/>
      <c r="G40" s="984"/>
      <c r="H40" s="984"/>
      <c r="I40" s="984"/>
      <c r="J40" s="984"/>
      <c r="K40" s="984"/>
      <c r="L40" s="984"/>
      <c r="M40" s="984"/>
      <c r="N40" s="985"/>
      <c r="O40" s="322"/>
      <c r="P40" s="109"/>
      <c r="Q40" s="109"/>
      <c r="R40" s="72"/>
      <c r="S40" s="72"/>
      <c r="T40" s="72"/>
      <c r="U40" s="72"/>
      <c r="V40" s="72"/>
      <c r="W40" s="72"/>
    </row>
    <row r="41" spans="1:23" ht="12.75" customHeight="1" x14ac:dyDescent="0.2">
      <c r="A41" s="72"/>
      <c r="B41" s="417"/>
      <c r="C41" s="417"/>
      <c r="D41" s="417"/>
      <c r="E41" s="983"/>
      <c r="F41" s="984"/>
      <c r="G41" s="984"/>
      <c r="H41" s="984"/>
      <c r="I41" s="984"/>
      <c r="J41" s="984"/>
      <c r="K41" s="984"/>
      <c r="L41" s="984"/>
      <c r="M41" s="984"/>
      <c r="N41" s="985"/>
      <c r="O41" s="322"/>
      <c r="P41" s="109"/>
      <c r="Q41" s="109"/>
      <c r="R41" s="72"/>
      <c r="S41" s="72"/>
      <c r="T41" s="72"/>
      <c r="U41" s="72"/>
      <c r="V41" s="72"/>
      <c r="W41" s="72"/>
    </row>
    <row r="42" spans="1:23" ht="12.75" customHeight="1" x14ac:dyDescent="0.2">
      <c r="A42" s="72"/>
      <c r="B42" s="417"/>
      <c r="C42" s="417"/>
      <c r="D42" s="417"/>
      <c r="E42" s="983"/>
      <c r="F42" s="984"/>
      <c r="G42" s="984"/>
      <c r="H42" s="984"/>
      <c r="I42" s="984"/>
      <c r="J42" s="984"/>
      <c r="K42" s="984"/>
      <c r="L42" s="984"/>
      <c r="M42" s="984"/>
      <c r="N42" s="985"/>
      <c r="O42" s="322"/>
      <c r="P42" s="109"/>
      <c r="Q42" s="109"/>
      <c r="R42" s="72"/>
      <c r="S42" s="72"/>
      <c r="T42" s="72"/>
      <c r="U42" s="72"/>
      <c r="V42" s="72"/>
      <c r="W42" s="72"/>
    </row>
    <row r="43" spans="1:23" ht="12.75" customHeight="1" x14ac:dyDescent="0.2">
      <c r="A43" s="72"/>
      <c r="B43" s="417"/>
      <c r="C43" s="417"/>
      <c r="D43" s="417"/>
      <c r="E43" s="983"/>
      <c r="F43" s="984"/>
      <c r="G43" s="984"/>
      <c r="H43" s="984"/>
      <c r="I43" s="984"/>
      <c r="J43" s="984"/>
      <c r="K43" s="984"/>
      <c r="L43" s="984"/>
      <c r="M43" s="984"/>
      <c r="N43" s="985"/>
      <c r="O43" s="322"/>
      <c r="P43" s="109"/>
      <c r="Q43" s="109"/>
      <c r="R43" s="72"/>
      <c r="S43" s="72"/>
      <c r="T43" s="72"/>
      <c r="U43" s="72"/>
      <c r="V43" s="72"/>
      <c r="W43" s="72"/>
    </row>
    <row r="44" spans="1:23" ht="12.75" customHeight="1" x14ac:dyDescent="0.2">
      <c r="A44" s="72"/>
      <c r="B44" s="417"/>
      <c r="C44" s="417"/>
      <c r="D44" s="417"/>
      <c r="E44" s="983"/>
      <c r="F44" s="984"/>
      <c r="G44" s="984"/>
      <c r="H44" s="984"/>
      <c r="I44" s="984"/>
      <c r="J44" s="984"/>
      <c r="K44" s="984"/>
      <c r="L44" s="984"/>
      <c r="M44" s="984"/>
      <c r="N44" s="985"/>
      <c r="O44" s="322"/>
      <c r="P44" s="109"/>
      <c r="Q44" s="109"/>
      <c r="R44" s="72"/>
      <c r="S44" s="72"/>
      <c r="T44" s="72"/>
      <c r="U44" s="72"/>
      <c r="V44" s="72"/>
      <c r="W44" s="72"/>
    </row>
    <row r="45" spans="1:23" ht="12.75" customHeight="1" x14ac:dyDescent="0.2">
      <c r="A45" s="72"/>
      <c r="B45" s="417"/>
      <c r="C45" s="417"/>
      <c r="D45" s="417"/>
      <c r="E45" s="983"/>
      <c r="F45" s="984"/>
      <c r="G45" s="984"/>
      <c r="H45" s="984"/>
      <c r="I45" s="984"/>
      <c r="J45" s="984"/>
      <c r="K45" s="984"/>
      <c r="L45" s="984"/>
      <c r="M45" s="984"/>
      <c r="N45" s="985"/>
      <c r="O45" s="322"/>
      <c r="P45" s="109"/>
      <c r="Q45" s="109"/>
      <c r="R45" s="72"/>
      <c r="S45" s="72"/>
      <c r="T45" s="72"/>
      <c r="U45" s="72"/>
      <c r="V45" s="72"/>
      <c r="W45" s="72"/>
    </row>
    <row r="46" spans="1:23" ht="12.75" customHeight="1" x14ac:dyDescent="0.2">
      <c r="A46" s="72"/>
      <c r="B46" s="417"/>
      <c r="C46" s="417"/>
      <c r="D46" s="417"/>
      <c r="E46" s="983"/>
      <c r="F46" s="984"/>
      <c r="G46" s="984"/>
      <c r="H46" s="984"/>
      <c r="I46" s="984"/>
      <c r="J46" s="984"/>
      <c r="K46" s="984"/>
      <c r="L46" s="984"/>
      <c r="M46" s="984"/>
      <c r="N46" s="985"/>
      <c r="O46" s="322"/>
      <c r="P46" s="109"/>
      <c r="Q46" s="109"/>
      <c r="R46" s="72"/>
      <c r="S46" s="72"/>
      <c r="T46" s="72"/>
      <c r="U46" s="72"/>
      <c r="V46" s="72"/>
      <c r="W46" s="72"/>
    </row>
    <row r="47" spans="1:23" ht="12.75" customHeight="1" x14ac:dyDescent="0.2">
      <c r="A47" s="72"/>
      <c r="B47" s="417"/>
      <c r="C47" s="417"/>
      <c r="D47" s="417"/>
      <c r="E47" s="997"/>
      <c r="F47" s="998"/>
      <c r="G47" s="998"/>
      <c r="H47" s="998"/>
      <c r="I47" s="998"/>
      <c r="J47" s="998"/>
      <c r="K47" s="998"/>
      <c r="L47" s="998"/>
      <c r="M47" s="998"/>
      <c r="N47" s="999"/>
      <c r="O47" s="322"/>
      <c r="P47" s="109"/>
      <c r="Q47" s="109"/>
      <c r="R47" s="72"/>
      <c r="S47" s="72"/>
      <c r="T47" s="72"/>
      <c r="U47" s="72"/>
      <c r="V47" s="72"/>
      <c r="W47" s="72"/>
    </row>
    <row r="48" spans="1:23" ht="12.75" customHeight="1" x14ac:dyDescent="0.2">
      <c r="A48" s="72"/>
      <c r="B48" s="417"/>
      <c r="C48" s="417"/>
      <c r="D48" s="417"/>
      <c r="E48" s="417"/>
      <c r="F48" s="417"/>
      <c r="G48" s="417"/>
      <c r="H48" s="417"/>
      <c r="I48" s="417"/>
      <c r="J48" s="417"/>
      <c r="K48" s="417"/>
      <c r="L48" s="417"/>
      <c r="M48" s="417"/>
      <c r="N48" s="417"/>
      <c r="O48" s="322"/>
      <c r="P48" s="72"/>
      <c r="Q48" s="72"/>
      <c r="R48" s="72"/>
      <c r="S48" s="72"/>
      <c r="T48" s="72"/>
      <c r="U48" s="72"/>
      <c r="V48" s="72"/>
      <c r="W48" s="72"/>
    </row>
    <row r="49" spans="1:23" ht="12.75" customHeight="1" x14ac:dyDescent="0.2">
      <c r="A49" s="72"/>
      <c r="B49" s="417"/>
      <c r="C49" s="417"/>
      <c r="D49" s="14" t="s">
        <v>1020</v>
      </c>
      <c r="E49" s="717" t="str">
        <f>Translations!$B$347</f>
        <v>Specification and location of measurement systems for determining the activity data for source streams:</v>
      </c>
      <c r="F49" s="732"/>
      <c r="G49" s="732"/>
      <c r="H49" s="732"/>
      <c r="I49" s="732"/>
      <c r="J49" s="732"/>
      <c r="K49" s="732"/>
      <c r="L49" s="732"/>
      <c r="M49" s="732"/>
      <c r="N49" s="732"/>
      <c r="O49" s="322"/>
      <c r="P49" s="110"/>
      <c r="Q49" s="110"/>
      <c r="R49" s="72"/>
      <c r="S49" s="72"/>
      <c r="T49" s="72"/>
      <c r="U49" s="72"/>
      <c r="V49" s="72"/>
      <c r="W49" s="72"/>
    </row>
    <row r="50" spans="1:23" ht="12.75" customHeight="1" x14ac:dyDescent="0.2">
      <c r="A50" s="72"/>
      <c r="B50" s="417"/>
      <c r="C50" s="417"/>
      <c r="D50" s="14"/>
      <c r="E50" s="869" t="str">
        <f>Translations!$B$348</f>
        <v>Please describe the specification and location of the measurement systems to be used for each source stream where emissions are determined by calculation.</v>
      </c>
      <c r="F50" s="996"/>
      <c r="G50" s="996"/>
      <c r="H50" s="996"/>
      <c r="I50" s="996"/>
      <c r="J50" s="996"/>
      <c r="K50" s="996"/>
      <c r="L50" s="996"/>
      <c r="M50" s="996"/>
      <c r="N50" s="996"/>
      <c r="O50" s="322"/>
      <c r="P50" s="110"/>
      <c r="Q50" s="110"/>
      <c r="R50" s="72"/>
      <c r="S50" s="72"/>
      <c r="T50" s="72"/>
      <c r="U50" s="72"/>
      <c r="V50" s="72"/>
      <c r="W50" s="72"/>
    </row>
    <row r="51" spans="1:23" ht="12.75" customHeight="1" x14ac:dyDescent="0.2">
      <c r="A51" s="72"/>
      <c r="B51" s="417"/>
      <c r="C51" s="417"/>
      <c r="D51" s="14"/>
      <c r="E51" s="869" t="str">
        <f>Translations!$B$349</f>
        <v>Under "Location" you should specify where the meter is found in the installation, and how it is identified in the process flow chart.</v>
      </c>
      <c r="F51" s="996"/>
      <c r="G51" s="996"/>
      <c r="H51" s="996"/>
      <c r="I51" s="996"/>
      <c r="J51" s="996"/>
      <c r="K51" s="996"/>
      <c r="L51" s="996"/>
      <c r="M51" s="996"/>
      <c r="N51" s="996"/>
      <c r="O51" s="322"/>
      <c r="P51" s="110"/>
      <c r="Q51" s="110"/>
      <c r="R51" s="72"/>
      <c r="S51" s="72"/>
      <c r="T51" s="72"/>
      <c r="U51" s="72"/>
      <c r="V51" s="72"/>
      <c r="W51" s="72"/>
    </row>
    <row r="52" spans="1:23" ht="25.5" customHeight="1" x14ac:dyDescent="0.2">
      <c r="A52" s="72"/>
      <c r="B52" s="417"/>
      <c r="C52" s="417"/>
      <c r="D52" s="417"/>
      <c r="E52" s="869" t="str">
        <f>Translations!$B$350</f>
        <v>For each measuring instrument please enter the specified uncertainty, including the range this uncertainty is related to, as given in the manufacturer's specification. In some cases an uncertainty may be specified for two different ranges. In that case please enter both of them.</v>
      </c>
      <c r="F52" s="996"/>
      <c r="G52" s="996"/>
      <c r="H52" s="996"/>
      <c r="I52" s="996"/>
      <c r="J52" s="996"/>
      <c r="K52" s="996"/>
      <c r="L52" s="996"/>
      <c r="M52" s="996"/>
      <c r="N52" s="996"/>
      <c r="O52" s="322"/>
      <c r="P52" s="111"/>
      <c r="Q52" s="111"/>
      <c r="R52" s="97"/>
      <c r="S52" s="91"/>
      <c r="T52" s="72"/>
      <c r="U52" s="72"/>
      <c r="V52" s="72"/>
      <c r="W52" s="72"/>
    </row>
    <row r="53" spans="1:23" ht="12.75" customHeight="1" x14ac:dyDescent="0.2">
      <c r="A53" s="72"/>
      <c r="B53" s="417"/>
      <c r="C53" s="417"/>
      <c r="D53" s="417"/>
      <c r="E53" s="869" t="str">
        <f>Translations!$B$351</f>
        <v>The typical use range refers to the range the relevant measuring instrument is usually used in your installation.</v>
      </c>
      <c r="F53" s="996"/>
      <c r="G53" s="996"/>
      <c r="H53" s="996"/>
      <c r="I53" s="996"/>
      <c r="J53" s="996"/>
      <c r="K53" s="996"/>
      <c r="L53" s="996"/>
      <c r="M53" s="996"/>
      <c r="N53" s="996"/>
      <c r="O53" s="322"/>
      <c r="P53" s="72"/>
      <c r="Q53" s="72"/>
      <c r="R53" s="72"/>
      <c r="S53" s="72"/>
      <c r="T53" s="72"/>
      <c r="U53" s="72"/>
      <c r="V53" s="72"/>
      <c r="W53" s="72"/>
    </row>
    <row r="54" spans="1:23" ht="38.25" customHeight="1" x14ac:dyDescent="0.2">
      <c r="A54" s="72"/>
      <c r="B54" s="417"/>
      <c r="C54" s="417"/>
      <c r="D54" s="417"/>
      <c r="E54" s="869" t="str">
        <f>Translations!$B$352</f>
        <v>A description should be provided for all measurement devices which are relevant for emissions monitoring, including sub-meters and meters used to deduct quantities which are used outside the installation boundaries. Measurement devices used for continuous emissions measurement (CEMS) are to be specified in sheet F_MeasurementBasedApproaches, section 9.c.</v>
      </c>
      <c r="F54" s="996"/>
      <c r="G54" s="996"/>
      <c r="H54" s="996"/>
      <c r="I54" s="996"/>
      <c r="J54" s="996"/>
      <c r="K54" s="996"/>
      <c r="L54" s="996"/>
      <c r="M54" s="996"/>
      <c r="N54" s="996"/>
      <c r="O54" s="322"/>
      <c r="P54" s="72"/>
      <c r="Q54" s="72"/>
      <c r="R54" s="72"/>
      <c r="S54" s="72"/>
      <c r="T54" s="72"/>
      <c r="U54" s="72"/>
      <c r="V54" s="72"/>
      <c r="W54" s="72"/>
    </row>
    <row r="55" spans="1:23" ht="12.75" customHeight="1" x14ac:dyDescent="0.2">
      <c r="A55" s="72"/>
      <c r="B55" s="417"/>
      <c r="C55" s="417"/>
      <c r="D55" s="417"/>
      <c r="E55" s="869" t="str">
        <f>Translations!$B$353</f>
        <v>"Type of measuring instrument": Please select the appropriate type from the drop-down list, or enter a more appropriate type.</v>
      </c>
      <c r="F55" s="996"/>
      <c r="G55" s="996"/>
      <c r="H55" s="996"/>
      <c r="I55" s="996"/>
      <c r="J55" s="996"/>
      <c r="K55" s="996"/>
      <c r="L55" s="996"/>
      <c r="M55" s="996"/>
      <c r="N55" s="996"/>
      <c r="O55" s="322"/>
      <c r="P55" s="72"/>
      <c r="Q55" s="72"/>
      <c r="R55" s="72"/>
      <c r="S55" s="72"/>
      <c r="T55" s="72"/>
      <c r="U55" s="72"/>
      <c r="V55" s="72"/>
      <c r="W55" s="72"/>
    </row>
    <row r="56" spans="1:23" ht="25.5" customHeight="1" x14ac:dyDescent="0.2">
      <c r="A56" s="72"/>
      <c r="B56" s="417"/>
      <c r="C56" s="430"/>
      <c r="D56" s="14"/>
      <c r="E56" s="827" t="str">
        <f>Translations!$B$354</f>
        <v>The list of instruments entered here will be available as a drop-down list for each source stream in sheet E_SourceStreams (point b), where the relevant measuring instruments used are to be referenced.</v>
      </c>
      <c r="F56" s="732"/>
      <c r="G56" s="732"/>
      <c r="H56" s="732"/>
      <c r="I56" s="732"/>
      <c r="J56" s="732"/>
      <c r="K56" s="732"/>
      <c r="L56" s="732"/>
      <c r="M56" s="732"/>
      <c r="N56" s="732"/>
      <c r="O56" s="322"/>
      <c r="P56" s="72"/>
      <c r="Q56" s="72"/>
      <c r="R56" s="72"/>
      <c r="S56" s="72"/>
      <c r="T56" s="72"/>
      <c r="U56" s="72"/>
      <c r="V56" s="72"/>
      <c r="W56" s="72"/>
    </row>
    <row r="57" spans="1:23" ht="25.5" customHeight="1" x14ac:dyDescent="0.2">
      <c r="A57" s="72"/>
      <c r="B57" s="417"/>
      <c r="C57" s="430"/>
      <c r="D57" s="14"/>
      <c r="E57" s="827" t="str">
        <f>Translations!$B$355</f>
        <v>In case of gas flow meters please refer to Nm³/h if the p/T compensation is implemented into the instrument and relate to m³ in operating state if the p/T compensation is done by a separate instrument. In the latter case please also list those separate instruments.</v>
      </c>
      <c r="F57" s="732"/>
      <c r="G57" s="732"/>
      <c r="H57" s="732"/>
      <c r="I57" s="732"/>
      <c r="J57" s="732"/>
      <c r="K57" s="732"/>
      <c r="L57" s="732"/>
      <c r="M57" s="732"/>
      <c r="N57" s="732"/>
      <c r="O57" s="322"/>
      <c r="P57" s="72"/>
      <c r="Q57" s="72"/>
      <c r="R57" s="72"/>
      <c r="S57" s="72"/>
      <c r="T57" s="72"/>
      <c r="U57" s="72"/>
      <c r="V57" s="72"/>
      <c r="W57" s="72"/>
    </row>
    <row r="58" spans="1:23" ht="38.25" customHeight="1" x14ac:dyDescent="0.2">
      <c r="A58" s="72"/>
      <c r="B58" s="417"/>
      <c r="C58" s="430"/>
      <c r="D58" s="14"/>
      <c r="E58" s="827" t="str">
        <f>Translations!$B$356</f>
        <v>All instruments used must be clearly identifiable using a unique ID (such as the serial number of the instrument). However, exchange of instruments (e.g. necessary as consequence of a damage) will not constitute a significant change of the monitoring plan within the meaning of Article 15(3). The unique identification should therefore be documented separately from the monitoring plan. Please make sure that you establish an appropriate written procedure for this purpose.</v>
      </c>
      <c r="F58" s="732"/>
      <c r="G58" s="732"/>
      <c r="H58" s="732"/>
      <c r="I58" s="732"/>
      <c r="J58" s="732"/>
      <c r="K58" s="732"/>
      <c r="L58" s="732"/>
      <c r="M58" s="732"/>
      <c r="N58" s="732"/>
      <c r="O58" s="322"/>
      <c r="P58" s="72"/>
      <c r="Q58" s="72"/>
      <c r="R58" s="72"/>
      <c r="S58" s="72"/>
      <c r="T58" s="72"/>
      <c r="U58" s="72"/>
      <c r="V58" s="72"/>
      <c r="W58" s="72"/>
    </row>
    <row r="59" spans="1:23" ht="12.75" customHeight="1" x14ac:dyDescent="0.2">
      <c r="A59" s="72"/>
      <c r="B59" s="417"/>
      <c r="C59" s="430"/>
      <c r="D59" s="14"/>
      <c r="E59" s="798" t="str">
        <f>Translations!$B$135</f>
        <v>For showing/hiding examples, press the "Examples" button in the navigation area.</v>
      </c>
      <c r="F59" s="917"/>
      <c r="G59" s="917"/>
      <c r="H59" s="917"/>
      <c r="I59" s="917"/>
      <c r="J59" s="917"/>
      <c r="K59" s="917"/>
      <c r="L59" s="917"/>
      <c r="M59" s="917"/>
      <c r="N59" s="917"/>
      <c r="O59" s="322"/>
      <c r="P59" s="72"/>
      <c r="Q59" s="72"/>
      <c r="R59" s="72"/>
      <c r="S59" s="72"/>
      <c r="T59" s="72"/>
      <c r="U59" s="72"/>
      <c r="V59" s="72"/>
      <c r="W59" s="72"/>
    </row>
    <row r="60" spans="1:23" ht="12" customHeight="1" x14ac:dyDescent="0.2">
      <c r="A60" s="72"/>
      <c r="B60" s="417"/>
      <c r="C60" s="417"/>
      <c r="D60" s="417"/>
      <c r="E60" s="322"/>
      <c r="F60" s="322"/>
      <c r="G60" s="322"/>
      <c r="H60" s="322"/>
      <c r="I60" s="322"/>
      <c r="J60" s="322"/>
      <c r="K60" s="417"/>
      <c r="L60" s="417"/>
      <c r="M60" s="417"/>
      <c r="N60" s="417"/>
      <c r="O60" s="322"/>
      <c r="P60" s="72"/>
      <c r="Q60" s="72"/>
      <c r="R60" s="72"/>
      <c r="S60" s="72"/>
      <c r="T60" s="72"/>
      <c r="U60" s="72"/>
      <c r="V60" s="72"/>
      <c r="W60" s="72"/>
    </row>
    <row r="61" spans="1:23" ht="25.5" customHeight="1" x14ac:dyDescent="0.2">
      <c r="A61" s="72"/>
      <c r="B61" s="417"/>
      <c r="E61" s="966" t="str">
        <f>Translations!$B$357</f>
        <v>Ref</v>
      </c>
      <c r="F61" s="968" t="str">
        <f>Translations!$B$358</f>
        <v>Type of measuring instrument</v>
      </c>
      <c r="G61" s="969"/>
      <c r="H61" s="966" t="str">
        <f>Translations!$B$359</f>
        <v>location (internal ID)</v>
      </c>
      <c r="I61" s="963" t="str">
        <f>Translations!$B$360</f>
        <v>Measurement range</v>
      </c>
      <c r="J61" s="964"/>
      <c r="K61" s="965"/>
      <c r="L61" s="966" t="str">
        <f>Translations!$B$361</f>
        <v>Specified
uncertainty
(+/-%)</v>
      </c>
      <c r="M61" s="963" t="str">
        <f>Translations!$B$362</f>
        <v>Typical use range</v>
      </c>
      <c r="N61" s="965"/>
      <c r="O61" s="322"/>
      <c r="P61" s="72"/>
      <c r="Q61" s="72"/>
      <c r="R61" s="72"/>
      <c r="S61" s="72"/>
      <c r="T61" s="72"/>
      <c r="U61" s="72"/>
      <c r="V61" s="72"/>
      <c r="W61" s="72"/>
    </row>
    <row r="62" spans="1:23" ht="12.75" customHeight="1" x14ac:dyDescent="0.2">
      <c r="A62" s="72"/>
      <c r="B62" s="417"/>
      <c r="E62" s="967"/>
      <c r="F62" s="970"/>
      <c r="G62" s="971"/>
      <c r="H62" s="967"/>
      <c r="I62" s="118" t="str">
        <f>Translations!$B$363</f>
        <v>unit</v>
      </c>
      <c r="J62" s="118" t="str">
        <f>Translations!$B$364</f>
        <v>lower end</v>
      </c>
      <c r="K62" s="118" t="str">
        <f>Translations!$B$365</f>
        <v>upper end</v>
      </c>
      <c r="L62" s="967"/>
      <c r="M62" s="118" t="str">
        <f>Translations!$B$364</f>
        <v>lower end</v>
      </c>
      <c r="N62" s="118" t="str">
        <f>Translations!$B$365</f>
        <v>upper end</v>
      </c>
      <c r="O62" s="322"/>
      <c r="P62" s="72"/>
      <c r="Q62" s="72"/>
      <c r="R62" s="72"/>
      <c r="S62" s="91" t="s">
        <v>1231</v>
      </c>
      <c r="T62" s="91" t="s">
        <v>1231</v>
      </c>
      <c r="U62" s="91" t="s">
        <v>1231</v>
      </c>
      <c r="V62" s="119" t="s">
        <v>1231</v>
      </c>
      <c r="W62" s="72"/>
    </row>
    <row r="63" spans="1:23" ht="12.75" customHeight="1" x14ac:dyDescent="0.2">
      <c r="A63" s="17" t="s">
        <v>1373</v>
      </c>
      <c r="B63" s="417"/>
      <c r="E63" s="658" t="s">
        <v>289</v>
      </c>
      <c r="F63" s="659" t="str">
        <f>Translations!$B$366</f>
        <v>Rotary meter</v>
      </c>
      <c r="G63" s="660"/>
      <c r="H63" s="658" t="s">
        <v>796</v>
      </c>
      <c r="I63" s="658" t="s">
        <v>795</v>
      </c>
      <c r="J63" s="388">
        <v>0</v>
      </c>
      <c r="K63" s="388">
        <v>250</v>
      </c>
      <c r="L63" s="232">
        <v>3</v>
      </c>
      <c r="M63" s="994">
        <v>500</v>
      </c>
      <c r="N63" s="994">
        <v>750</v>
      </c>
      <c r="O63" s="322"/>
      <c r="P63" s="72"/>
      <c r="Q63" s="72"/>
      <c r="R63" s="72"/>
      <c r="S63" s="91"/>
      <c r="T63" s="91"/>
      <c r="U63" s="91"/>
      <c r="V63" s="119"/>
      <c r="W63" s="72"/>
    </row>
    <row r="64" spans="1:23" ht="12.75" customHeight="1" x14ac:dyDescent="0.2">
      <c r="A64" s="17" t="s">
        <v>1373</v>
      </c>
      <c r="B64" s="417"/>
      <c r="E64" s="661"/>
      <c r="F64" s="662"/>
      <c r="G64" s="663"/>
      <c r="H64" s="661"/>
      <c r="I64" s="661"/>
      <c r="J64" s="389">
        <v>250</v>
      </c>
      <c r="K64" s="389">
        <v>1000</v>
      </c>
      <c r="L64" s="233">
        <v>1.5</v>
      </c>
      <c r="M64" s="995"/>
      <c r="N64" s="995"/>
      <c r="O64" s="322"/>
      <c r="P64" s="72"/>
      <c r="Q64" s="72"/>
      <c r="R64" s="72"/>
      <c r="S64" s="91"/>
      <c r="T64" s="91"/>
      <c r="U64" s="91"/>
      <c r="V64" s="119"/>
      <c r="W64" s="72"/>
    </row>
    <row r="65" spans="1:23" ht="12.75" customHeight="1" x14ac:dyDescent="0.2">
      <c r="A65" s="17" t="s">
        <v>1373</v>
      </c>
      <c r="B65" s="417"/>
      <c r="E65" s="658" t="s">
        <v>290</v>
      </c>
      <c r="F65" s="659" t="str">
        <f>Translations!$B$367</f>
        <v>Weigh bridge</v>
      </c>
      <c r="G65" s="660"/>
      <c r="H65" s="658" t="s">
        <v>292</v>
      </c>
      <c r="I65" s="658" t="s">
        <v>291</v>
      </c>
      <c r="J65" s="388">
        <v>3000</v>
      </c>
      <c r="K65" s="388">
        <v>40000</v>
      </c>
      <c r="L65" s="232">
        <v>0.6</v>
      </c>
      <c r="M65" s="994">
        <v>7500</v>
      </c>
      <c r="N65" s="994">
        <v>40000</v>
      </c>
      <c r="O65" s="322"/>
      <c r="P65" s="72"/>
      <c r="Q65" s="72"/>
      <c r="R65" s="72"/>
      <c r="S65" s="91"/>
      <c r="T65" s="91"/>
      <c r="U65" s="91"/>
      <c r="V65" s="119"/>
      <c r="W65" s="72"/>
    </row>
    <row r="66" spans="1:23" ht="12.75" customHeight="1" thickBot="1" x14ac:dyDescent="0.25">
      <c r="A66" s="17" t="s">
        <v>1373</v>
      </c>
      <c r="B66" s="417"/>
      <c r="E66" s="661"/>
      <c r="F66" s="662"/>
      <c r="G66" s="663"/>
      <c r="H66" s="661"/>
      <c r="I66" s="661"/>
      <c r="J66" s="389"/>
      <c r="K66" s="389"/>
      <c r="L66" s="233"/>
      <c r="M66" s="995"/>
      <c r="N66" s="995"/>
      <c r="O66" s="322"/>
      <c r="P66" s="72"/>
      <c r="Q66" s="72"/>
      <c r="R66" s="72"/>
      <c r="S66" s="91"/>
      <c r="T66" s="91"/>
      <c r="U66" s="91"/>
      <c r="V66" s="119"/>
      <c r="W66" s="72"/>
    </row>
    <row r="67" spans="1:23" ht="12.75" customHeight="1" x14ac:dyDescent="0.2">
      <c r="A67" s="72"/>
      <c r="B67" s="417"/>
      <c r="E67" s="664" t="s">
        <v>1313</v>
      </c>
      <c r="F67" s="973"/>
      <c r="G67" s="974"/>
      <c r="H67" s="992"/>
      <c r="I67" s="992"/>
      <c r="J67" s="202"/>
      <c r="K67" s="202"/>
      <c r="L67" s="202"/>
      <c r="M67" s="992"/>
      <c r="N67" s="992"/>
      <c r="O67" s="322"/>
      <c r="P67" s="72"/>
      <c r="Q67" s="72"/>
      <c r="R67" s="72">
        <v>1</v>
      </c>
      <c r="S67" s="1010">
        <v>1</v>
      </c>
      <c r="T67" s="1009" t="str">
        <f>IF(ISBLANK(F67),"",MAX(T$66:T66)+1)</f>
        <v/>
      </c>
      <c r="U67" s="1009" t="str">
        <f>IF(ISBLANK(F67),"",E67 &amp; ": " &amp;F67)</f>
        <v/>
      </c>
      <c r="V67" s="93" t="str">
        <f t="shared" ref="V67:V88" si="0">IF(COUNTIF($T$67:$T$88,R67)=1,INDEX($U$67:$U$88,MATCH(R67,$T$67:$T$88,0)),EUconst_NA)</f>
        <v>n.a.</v>
      </c>
      <c r="W67" s="72"/>
    </row>
    <row r="68" spans="1:23" ht="12.75" customHeight="1" x14ac:dyDescent="0.2">
      <c r="A68" s="72"/>
      <c r="B68" s="417"/>
      <c r="E68" s="665"/>
      <c r="F68" s="975"/>
      <c r="G68" s="976"/>
      <c r="H68" s="993"/>
      <c r="I68" s="993"/>
      <c r="J68" s="203"/>
      <c r="K68" s="203"/>
      <c r="L68" s="204"/>
      <c r="M68" s="993"/>
      <c r="N68" s="993"/>
      <c r="O68" s="322"/>
      <c r="P68" s="72"/>
      <c r="Q68" s="72"/>
      <c r="R68" s="72">
        <v>2</v>
      </c>
      <c r="S68" s="1010"/>
      <c r="T68" s="1009"/>
      <c r="U68" s="1009"/>
      <c r="V68" s="94" t="str">
        <f t="shared" si="0"/>
        <v>n.a.</v>
      </c>
      <c r="W68" s="72"/>
    </row>
    <row r="69" spans="1:23" ht="12.75" customHeight="1" x14ac:dyDescent="0.2">
      <c r="A69" s="72"/>
      <c r="B69" s="417"/>
      <c r="E69" s="664" t="s">
        <v>1314</v>
      </c>
      <c r="F69" s="973"/>
      <c r="G69" s="974"/>
      <c r="H69" s="992"/>
      <c r="I69" s="992"/>
      <c r="J69" s="202"/>
      <c r="K69" s="202"/>
      <c r="L69" s="202"/>
      <c r="M69" s="992"/>
      <c r="N69" s="992"/>
      <c r="O69" s="322"/>
      <c r="P69" s="72"/>
      <c r="Q69" s="72"/>
      <c r="R69" s="72">
        <v>3</v>
      </c>
      <c r="S69" s="1010">
        <v>2</v>
      </c>
      <c r="T69" s="1009" t="str">
        <f>IF(ISBLANK(F69),"",MAX(T$66:T68)+1)</f>
        <v/>
      </c>
      <c r="U69" s="1009" t="str">
        <f>IF(ISBLANK(F69),"",E69 &amp; ": " &amp;F69)</f>
        <v/>
      </c>
      <c r="V69" s="94" t="str">
        <f t="shared" si="0"/>
        <v>n.a.</v>
      </c>
      <c r="W69" s="72"/>
    </row>
    <row r="70" spans="1:23" ht="12.75" customHeight="1" x14ac:dyDescent="0.2">
      <c r="A70" s="72"/>
      <c r="B70" s="417"/>
      <c r="E70" s="665"/>
      <c r="F70" s="975"/>
      <c r="G70" s="976"/>
      <c r="H70" s="993"/>
      <c r="I70" s="993"/>
      <c r="J70" s="203"/>
      <c r="K70" s="203"/>
      <c r="L70" s="204"/>
      <c r="M70" s="993"/>
      <c r="N70" s="993"/>
      <c r="O70" s="322"/>
      <c r="P70" s="72"/>
      <c r="Q70" s="72"/>
      <c r="R70" s="72">
        <v>4</v>
      </c>
      <c r="S70" s="1010"/>
      <c r="T70" s="1009"/>
      <c r="U70" s="1009"/>
      <c r="V70" s="94" t="str">
        <f t="shared" si="0"/>
        <v>n.a.</v>
      </c>
      <c r="W70" s="72"/>
    </row>
    <row r="71" spans="1:23" ht="12.75" customHeight="1" x14ac:dyDescent="0.2">
      <c r="A71" s="72"/>
      <c r="B71" s="417"/>
      <c r="E71" s="664" t="s">
        <v>1315</v>
      </c>
      <c r="F71" s="973"/>
      <c r="G71" s="974"/>
      <c r="H71" s="992"/>
      <c r="I71" s="992"/>
      <c r="J71" s="202"/>
      <c r="K71" s="202"/>
      <c r="L71" s="202"/>
      <c r="M71" s="992"/>
      <c r="N71" s="992"/>
      <c r="O71" s="322"/>
      <c r="P71" s="72"/>
      <c r="Q71" s="72"/>
      <c r="R71" s="72">
        <v>5</v>
      </c>
      <c r="S71" s="1010">
        <v>3</v>
      </c>
      <c r="T71" s="1009" t="str">
        <f>IF(ISBLANK(F71),"",MAX(T$66:T70)+1)</f>
        <v/>
      </c>
      <c r="U71" s="1009" t="str">
        <f>IF(ISBLANK(F71),"",E71 &amp; ": " &amp;F71)</f>
        <v/>
      </c>
      <c r="V71" s="94" t="str">
        <f t="shared" si="0"/>
        <v>n.a.</v>
      </c>
      <c r="W71" s="72"/>
    </row>
    <row r="72" spans="1:23" ht="12.75" customHeight="1" x14ac:dyDescent="0.2">
      <c r="A72" s="72"/>
      <c r="B72" s="417"/>
      <c r="E72" s="665"/>
      <c r="F72" s="975"/>
      <c r="G72" s="976"/>
      <c r="H72" s="993"/>
      <c r="I72" s="993"/>
      <c r="J72" s="203"/>
      <c r="K72" s="203"/>
      <c r="L72" s="204"/>
      <c r="M72" s="993"/>
      <c r="N72" s="993"/>
      <c r="O72" s="322"/>
      <c r="P72" s="72"/>
      <c r="Q72" s="72"/>
      <c r="R72" s="72">
        <v>6</v>
      </c>
      <c r="S72" s="1010"/>
      <c r="T72" s="1009"/>
      <c r="U72" s="1009"/>
      <c r="V72" s="94" t="str">
        <f t="shared" si="0"/>
        <v>n.a.</v>
      </c>
      <c r="W72" s="72"/>
    </row>
    <row r="73" spans="1:23" ht="12.75" customHeight="1" x14ac:dyDescent="0.2">
      <c r="A73" s="72"/>
      <c r="B73" s="417"/>
      <c r="E73" s="664" t="s">
        <v>1316</v>
      </c>
      <c r="F73" s="973"/>
      <c r="G73" s="974"/>
      <c r="H73" s="992"/>
      <c r="I73" s="992"/>
      <c r="J73" s="202"/>
      <c r="K73" s="202"/>
      <c r="L73" s="202"/>
      <c r="M73" s="992"/>
      <c r="N73" s="992"/>
      <c r="O73" s="322"/>
      <c r="P73" s="72"/>
      <c r="Q73" s="72"/>
      <c r="R73" s="72">
        <v>7</v>
      </c>
      <c r="S73" s="1010">
        <v>4</v>
      </c>
      <c r="T73" s="1009" t="str">
        <f>IF(ISBLANK(F73),"",MAX(T$66:T72)+1)</f>
        <v/>
      </c>
      <c r="U73" s="1009" t="str">
        <f>IF(ISBLANK(F73),"",E73 &amp; ": " &amp;F73)</f>
        <v/>
      </c>
      <c r="V73" s="94" t="str">
        <f t="shared" si="0"/>
        <v>n.a.</v>
      </c>
      <c r="W73" s="72"/>
    </row>
    <row r="74" spans="1:23" ht="12.75" customHeight="1" x14ac:dyDescent="0.2">
      <c r="A74" s="72"/>
      <c r="B74" s="417"/>
      <c r="E74" s="665"/>
      <c r="F74" s="975"/>
      <c r="G74" s="976"/>
      <c r="H74" s="993"/>
      <c r="I74" s="993"/>
      <c r="J74" s="203"/>
      <c r="K74" s="203"/>
      <c r="L74" s="204"/>
      <c r="M74" s="993"/>
      <c r="N74" s="993"/>
      <c r="O74" s="322"/>
      <c r="P74" s="72"/>
      <c r="Q74" s="72"/>
      <c r="R74" s="72">
        <v>8</v>
      </c>
      <c r="S74" s="1010"/>
      <c r="T74" s="1009"/>
      <c r="U74" s="1009"/>
      <c r="V74" s="94" t="str">
        <f t="shared" si="0"/>
        <v>n.a.</v>
      </c>
      <c r="W74" s="72"/>
    </row>
    <row r="75" spans="1:23" ht="12.75" customHeight="1" x14ac:dyDescent="0.2">
      <c r="A75" s="72"/>
      <c r="B75" s="417"/>
      <c r="E75" s="664" t="s">
        <v>1317</v>
      </c>
      <c r="F75" s="973"/>
      <c r="G75" s="974"/>
      <c r="H75" s="992"/>
      <c r="I75" s="992"/>
      <c r="J75" s="202"/>
      <c r="K75" s="202"/>
      <c r="L75" s="202"/>
      <c r="M75" s="992"/>
      <c r="N75" s="992"/>
      <c r="O75" s="322"/>
      <c r="P75" s="72"/>
      <c r="Q75" s="72"/>
      <c r="R75" s="72">
        <v>9</v>
      </c>
      <c r="S75" s="1010">
        <v>5</v>
      </c>
      <c r="T75" s="1009" t="str">
        <f>IF(ISBLANK(F75),"",MAX(T$66:T74)+1)</f>
        <v/>
      </c>
      <c r="U75" s="1009" t="str">
        <f>IF(ISBLANK(F75),"",E75 &amp; ": " &amp;F75)</f>
        <v/>
      </c>
      <c r="V75" s="94" t="str">
        <f t="shared" si="0"/>
        <v>n.a.</v>
      </c>
      <c r="W75" s="72"/>
    </row>
    <row r="76" spans="1:23" ht="12.75" customHeight="1" x14ac:dyDescent="0.2">
      <c r="A76" s="72"/>
      <c r="B76" s="417"/>
      <c r="E76" s="665"/>
      <c r="F76" s="975"/>
      <c r="G76" s="976"/>
      <c r="H76" s="993"/>
      <c r="I76" s="993"/>
      <c r="J76" s="203"/>
      <c r="K76" s="203"/>
      <c r="L76" s="204"/>
      <c r="M76" s="993"/>
      <c r="N76" s="993"/>
      <c r="O76" s="322"/>
      <c r="P76" s="72"/>
      <c r="Q76" s="72"/>
      <c r="R76" s="72">
        <v>10</v>
      </c>
      <c r="S76" s="1010"/>
      <c r="T76" s="1009"/>
      <c r="U76" s="1009"/>
      <c r="V76" s="94" t="str">
        <f t="shared" si="0"/>
        <v>n.a.</v>
      </c>
      <c r="W76" s="72"/>
    </row>
    <row r="77" spans="1:23" ht="12.75" customHeight="1" x14ac:dyDescent="0.2">
      <c r="A77" s="72"/>
      <c r="B77" s="417"/>
      <c r="E77" s="664" t="s">
        <v>1318</v>
      </c>
      <c r="F77" s="973"/>
      <c r="G77" s="974"/>
      <c r="H77" s="992"/>
      <c r="I77" s="992"/>
      <c r="J77" s="202"/>
      <c r="K77" s="202"/>
      <c r="L77" s="202"/>
      <c r="M77" s="992"/>
      <c r="N77" s="992"/>
      <c r="O77" s="322"/>
      <c r="P77" s="72"/>
      <c r="Q77" s="72"/>
      <c r="R77" s="72">
        <v>11</v>
      </c>
      <c r="S77" s="1010">
        <v>6</v>
      </c>
      <c r="T77" s="1009" t="str">
        <f>IF(ISBLANK(F77),"",MAX(T$66:T76)+1)</f>
        <v/>
      </c>
      <c r="U77" s="1009" t="str">
        <f>IF(ISBLANK(F77),"",E77 &amp; ": " &amp;F77)</f>
        <v/>
      </c>
      <c r="V77" s="94" t="str">
        <f t="shared" si="0"/>
        <v>n.a.</v>
      </c>
      <c r="W77" s="72"/>
    </row>
    <row r="78" spans="1:23" ht="12.75" customHeight="1" x14ac:dyDescent="0.2">
      <c r="A78" s="72"/>
      <c r="B78" s="417"/>
      <c r="E78" s="665"/>
      <c r="F78" s="975"/>
      <c r="G78" s="976"/>
      <c r="H78" s="993"/>
      <c r="I78" s="993"/>
      <c r="J78" s="203"/>
      <c r="K78" s="203"/>
      <c r="L78" s="204"/>
      <c r="M78" s="993"/>
      <c r="N78" s="993"/>
      <c r="O78" s="322"/>
      <c r="P78" s="72"/>
      <c r="Q78" s="72"/>
      <c r="R78" s="72">
        <v>12</v>
      </c>
      <c r="S78" s="1010"/>
      <c r="T78" s="1009"/>
      <c r="U78" s="1009"/>
      <c r="V78" s="94" t="str">
        <f t="shared" si="0"/>
        <v>n.a.</v>
      </c>
      <c r="W78" s="72"/>
    </row>
    <row r="79" spans="1:23" ht="12.75" customHeight="1" x14ac:dyDescent="0.2">
      <c r="A79" s="72"/>
      <c r="B79" s="417"/>
      <c r="E79" s="664" t="s">
        <v>1319</v>
      </c>
      <c r="F79" s="973"/>
      <c r="G79" s="974"/>
      <c r="H79" s="992"/>
      <c r="I79" s="992"/>
      <c r="J79" s="202"/>
      <c r="K79" s="202"/>
      <c r="L79" s="202"/>
      <c r="M79" s="992"/>
      <c r="N79" s="992"/>
      <c r="O79" s="322"/>
      <c r="P79" s="72"/>
      <c r="Q79" s="72"/>
      <c r="R79" s="72">
        <v>13</v>
      </c>
      <c r="S79" s="1010">
        <v>7</v>
      </c>
      <c r="T79" s="1009" t="str">
        <f>IF(ISBLANK(F79),"",MAX(T$66:T78)+1)</f>
        <v/>
      </c>
      <c r="U79" s="1009" t="str">
        <f>IF(ISBLANK(F79),"",E79 &amp; ": " &amp;F79)</f>
        <v/>
      </c>
      <c r="V79" s="94" t="str">
        <f t="shared" si="0"/>
        <v>n.a.</v>
      </c>
      <c r="W79" s="72"/>
    </row>
    <row r="80" spans="1:23" ht="12.75" customHeight="1" x14ac:dyDescent="0.2">
      <c r="A80" s="72"/>
      <c r="B80" s="417"/>
      <c r="E80" s="665"/>
      <c r="F80" s="975"/>
      <c r="G80" s="976"/>
      <c r="H80" s="993"/>
      <c r="I80" s="993"/>
      <c r="J80" s="203"/>
      <c r="K80" s="203"/>
      <c r="L80" s="204"/>
      <c r="M80" s="993"/>
      <c r="N80" s="993"/>
      <c r="O80" s="322"/>
      <c r="P80" s="72"/>
      <c r="Q80" s="72"/>
      <c r="R80" s="72">
        <v>14</v>
      </c>
      <c r="S80" s="1010"/>
      <c r="T80" s="1009"/>
      <c r="U80" s="1009"/>
      <c r="V80" s="94" t="str">
        <f t="shared" si="0"/>
        <v>n.a.</v>
      </c>
      <c r="W80" s="72"/>
    </row>
    <row r="81" spans="1:23" ht="12.75" customHeight="1" x14ac:dyDescent="0.2">
      <c r="A81" s="72"/>
      <c r="B81" s="417"/>
      <c r="E81" s="664" t="s">
        <v>1320</v>
      </c>
      <c r="F81" s="973"/>
      <c r="G81" s="974"/>
      <c r="H81" s="992"/>
      <c r="I81" s="992"/>
      <c r="J81" s="202"/>
      <c r="K81" s="202"/>
      <c r="L81" s="202"/>
      <c r="M81" s="992"/>
      <c r="N81" s="992"/>
      <c r="O81" s="322"/>
      <c r="P81" s="72"/>
      <c r="Q81" s="72"/>
      <c r="R81" s="72">
        <v>15</v>
      </c>
      <c r="S81" s="1010">
        <v>8</v>
      </c>
      <c r="T81" s="1009" t="str">
        <f>IF(ISBLANK(F81),"",MAX(T$66:T80)+1)</f>
        <v/>
      </c>
      <c r="U81" s="1009" t="str">
        <f>IF(ISBLANK(F81),"",E81 &amp; ": " &amp;F81)</f>
        <v/>
      </c>
      <c r="V81" s="94" t="str">
        <f t="shared" si="0"/>
        <v>n.a.</v>
      </c>
      <c r="W81" s="72"/>
    </row>
    <row r="82" spans="1:23" ht="12.75" customHeight="1" x14ac:dyDescent="0.2">
      <c r="A82" s="72"/>
      <c r="B82" s="417"/>
      <c r="E82" s="665"/>
      <c r="F82" s="975"/>
      <c r="G82" s="976"/>
      <c r="H82" s="993"/>
      <c r="I82" s="993"/>
      <c r="J82" s="203"/>
      <c r="K82" s="203"/>
      <c r="L82" s="204"/>
      <c r="M82" s="993"/>
      <c r="N82" s="993"/>
      <c r="O82" s="322"/>
      <c r="P82" s="72"/>
      <c r="Q82" s="72"/>
      <c r="R82" s="72">
        <v>16</v>
      </c>
      <c r="S82" s="1010"/>
      <c r="T82" s="1009"/>
      <c r="U82" s="1009"/>
      <c r="V82" s="94" t="str">
        <f t="shared" si="0"/>
        <v>n.a.</v>
      </c>
      <c r="W82" s="72"/>
    </row>
    <row r="83" spans="1:23" ht="12.75" customHeight="1" x14ac:dyDescent="0.2">
      <c r="A83" s="72"/>
      <c r="B83" s="417"/>
      <c r="E83" s="664" t="s">
        <v>574</v>
      </c>
      <c r="F83" s="973"/>
      <c r="G83" s="974"/>
      <c r="H83" s="992"/>
      <c r="I83" s="992"/>
      <c r="J83" s="202"/>
      <c r="K83" s="202"/>
      <c r="L83" s="202"/>
      <c r="M83" s="992"/>
      <c r="N83" s="992"/>
      <c r="O83" s="322"/>
      <c r="P83" s="72"/>
      <c r="Q83" s="72"/>
      <c r="R83" s="72">
        <v>17</v>
      </c>
      <c r="S83" s="1010">
        <v>9</v>
      </c>
      <c r="T83" s="1009" t="str">
        <f>IF(ISBLANK(F83),"",MAX(T$66:T82)+1)</f>
        <v/>
      </c>
      <c r="U83" s="1009" t="str">
        <f>IF(ISBLANK(F83),"",E83 &amp; ": " &amp;F83)</f>
        <v/>
      </c>
      <c r="V83" s="94" t="str">
        <f t="shared" si="0"/>
        <v>n.a.</v>
      </c>
      <c r="W83" s="72"/>
    </row>
    <row r="84" spans="1:23" ht="12.75" customHeight="1" x14ac:dyDescent="0.2">
      <c r="A84" s="72"/>
      <c r="B84" s="417"/>
      <c r="E84" s="665"/>
      <c r="F84" s="975"/>
      <c r="G84" s="976"/>
      <c r="H84" s="993"/>
      <c r="I84" s="993"/>
      <c r="J84" s="203"/>
      <c r="K84" s="203"/>
      <c r="L84" s="204"/>
      <c r="M84" s="993"/>
      <c r="N84" s="993"/>
      <c r="O84" s="322"/>
      <c r="P84" s="72"/>
      <c r="Q84" s="72"/>
      <c r="R84" s="72">
        <v>18</v>
      </c>
      <c r="S84" s="1010"/>
      <c r="T84" s="1009"/>
      <c r="U84" s="1009"/>
      <c r="V84" s="94" t="str">
        <f t="shared" si="0"/>
        <v>n.a.</v>
      </c>
      <c r="W84" s="72"/>
    </row>
    <row r="85" spans="1:23" ht="12.75" customHeight="1" x14ac:dyDescent="0.2">
      <c r="A85" s="72"/>
      <c r="B85" s="417"/>
      <c r="E85" s="664" t="s">
        <v>575</v>
      </c>
      <c r="F85" s="973"/>
      <c r="G85" s="974"/>
      <c r="H85" s="992"/>
      <c r="I85" s="992"/>
      <c r="J85" s="202"/>
      <c r="K85" s="202"/>
      <c r="L85" s="202"/>
      <c r="M85" s="992"/>
      <c r="N85" s="992"/>
      <c r="O85" s="322"/>
      <c r="P85" s="72"/>
      <c r="Q85" s="72"/>
      <c r="R85" s="72">
        <v>19</v>
      </c>
      <c r="S85" s="1010">
        <v>10</v>
      </c>
      <c r="T85" s="1009" t="str">
        <f>IF(ISBLANK(F85),"",MAX(T$66:T84)+1)</f>
        <v/>
      </c>
      <c r="U85" s="1009" t="str">
        <f>IF(ISBLANK(F85),"",E85 &amp; ": " &amp;F85)</f>
        <v/>
      </c>
      <c r="V85" s="94" t="str">
        <f t="shared" si="0"/>
        <v>n.a.</v>
      </c>
      <c r="W85" s="72"/>
    </row>
    <row r="86" spans="1:23" ht="12.75" customHeight="1" thickBot="1" x14ac:dyDescent="0.25">
      <c r="A86" s="72"/>
      <c r="B86" s="417"/>
      <c r="E86" s="665"/>
      <c r="F86" s="975"/>
      <c r="G86" s="976"/>
      <c r="H86" s="993"/>
      <c r="I86" s="993"/>
      <c r="J86" s="203"/>
      <c r="K86" s="203"/>
      <c r="L86" s="204"/>
      <c r="M86" s="993"/>
      <c r="N86" s="993"/>
      <c r="O86" s="322"/>
      <c r="P86" s="72"/>
      <c r="Q86" s="72"/>
      <c r="R86" s="72">
        <v>20</v>
      </c>
      <c r="S86" s="1010"/>
      <c r="T86" s="1009"/>
      <c r="U86" s="1009"/>
      <c r="V86" s="100" t="str">
        <f t="shared" si="0"/>
        <v>n.a.</v>
      </c>
      <c r="W86" s="72"/>
    </row>
    <row r="87" spans="1:23" ht="12.75" hidden="1" customHeight="1" x14ac:dyDescent="0.2">
      <c r="A87" s="72" t="s">
        <v>1090</v>
      </c>
      <c r="B87" s="417"/>
      <c r="E87" s="664"/>
      <c r="F87" s="973"/>
      <c r="G87" s="974"/>
      <c r="H87" s="992"/>
      <c r="I87" s="992"/>
      <c r="J87" s="202"/>
      <c r="K87" s="202"/>
      <c r="L87" s="202"/>
      <c r="M87" s="992"/>
      <c r="N87" s="992"/>
      <c r="O87" s="322"/>
      <c r="P87" s="72"/>
      <c r="Q87" s="72"/>
      <c r="R87" s="72"/>
      <c r="S87" s="1010"/>
      <c r="T87" s="1009" t="str">
        <f>IF(ISBLANK(F87),"",MAX(T$66:T86)+1)</f>
        <v/>
      </c>
      <c r="U87" s="1009" t="str">
        <f>IF(ISBLANK(F87),"",E87 &amp; ": " &amp;F87)</f>
        <v/>
      </c>
      <c r="V87" s="93" t="str">
        <f t="shared" si="0"/>
        <v>n.a.</v>
      </c>
      <c r="W87" s="72"/>
    </row>
    <row r="88" spans="1:23" ht="12.75" hidden="1" customHeight="1" thickBot="1" x14ac:dyDescent="0.25">
      <c r="A88" s="72" t="s">
        <v>1090</v>
      </c>
      <c r="B88" s="417"/>
      <c r="E88" s="665"/>
      <c r="F88" s="975"/>
      <c r="G88" s="976"/>
      <c r="H88" s="993"/>
      <c r="I88" s="993"/>
      <c r="J88" s="203"/>
      <c r="K88" s="203"/>
      <c r="L88" s="204"/>
      <c r="M88" s="993"/>
      <c r="N88" s="993"/>
      <c r="O88" s="322"/>
      <c r="P88" s="72"/>
      <c r="Q88" s="72"/>
      <c r="R88" s="72"/>
      <c r="S88" s="1010"/>
      <c r="T88" s="1009"/>
      <c r="U88" s="1009"/>
      <c r="V88" s="100" t="str">
        <f t="shared" si="0"/>
        <v>n.a.</v>
      </c>
      <c r="W88" s="72"/>
    </row>
    <row r="89" spans="1:23" ht="12.75" customHeight="1" x14ac:dyDescent="0.2">
      <c r="A89" s="72" t="s">
        <v>7</v>
      </c>
      <c r="B89" s="417"/>
      <c r="C89" s="417"/>
      <c r="D89" s="417"/>
      <c r="E89" s="411"/>
      <c r="F89" s="411"/>
      <c r="G89" s="411"/>
      <c r="H89" s="411"/>
      <c r="I89" s="411"/>
      <c r="J89" s="411"/>
      <c r="K89" s="411"/>
      <c r="L89" s="411"/>
      <c r="M89" s="417"/>
      <c r="N89" s="417"/>
      <c r="O89" s="322"/>
      <c r="P89" s="72"/>
      <c r="Q89" s="72"/>
      <c r="R89" s="72"/>
      <c r="S89" s="72"/>
      <c r="T89" s="72"/>
      <c r="U89" s="72"/>
      <c r="V89" s="75"/>
      <c r="W89" s="72"/>
    </row>
    <row r="90" spans="1:23" ht="5.0999999999999996" customHeight="1" x14ac:dyDescent="0.2">
      <c r="A90" s="17"/>
      <c r="B90" s="417"/>
      <c r="C90" s="430"/>
      <c r="D90" s="14"/>
      <c r="E90" s="417"/>
      <c r="F90" s="417"/>
      <c r="G90" s="1016" t="str">
        <f>Translations!$B$368</f>
        <v>Click "+" to add more measurement instruments</v>
      </c>
      <c r="H90" s="1017"/>
      <c r="I90" s="1017"/>
      <c r="J90" s="1017"/>
      <c r="K90" s="1018"/>
      <c r="L90" s="417"/>
      <c r="M90" s="322"/>
      <c r="N90" s="417"/>
      <c r="O90" s="322"/>
      <c r="P90" s="72"/>
      <c r="Q90" s="72"/>
      <c r="R90" s="72"/>
      <c r="S90" s="72"/>
      <c r="T90" s="72"/>
      <c r="U90" s="102"/>
      <c r="V90" s="72"/>
      <c r="W90" s="72"/>
    </row>
    <row r="91" spans="1:23" ht="12.75" customHeight="1" x14ac:dyDescent="0.2">
      <c r="A91" s="17"/>
      <c r="B91" s="417"/>
      <c r="C91" s="430"/>
      <c r="D91" s="14"/>
      <c r="E91" s="417"/>
      <c r="F91" s="417"/>
      <c r="G91" s="1019"/>
      <c r="H91" s="1020"/>
      <c r="I91" s="1020"/>
      <c r="J91" s="1020"/>
      <c r="K91" s="1021"/>
      <c r="L91" s="417"/>
      <c r="M91" s="322"/>
      <c r="N91" s="417"/>
      <c r="O91" s="322"/>
      <c r="P91" s="72"/>
      <c r="Q91" s="72"/>
      <c r="R91" s="72"/>
      <c r="S91" s="72"/>
      <c r="T91" s="72"/>
      <c r="U91" s="102"/>
      <c r="V91" s="72"/>
      <c r="W91" s="72"/>
    </row>
    <row r="92" spans="1:23" ht="5.0999999999999996" customHeight="1" x14ac:dyDescent="0.2">
      <c r="A92" s="17"/>
      <c r="B92" s="417"/>
      <c r="C92" s="430"/>
      <c r="D92" s="14"/>
      <c r="E92" s="417"/>
      <c r="F92" s="417"/>
      <c r="G92" s="1022"/>
      <c r="H92" s="1023"/>
      <c r="I92" s="1023"/>
      <c r="J92" s="1023"/>
      <c r="K92" s="1024"/>
      <c r="L92" s="417"/>
      <c r="M92" s="322"/>
      <c r="N92" s="417"/>
      <c r="O92" s="322"/>
      <c r="P92" s="72"/>
      <c r="Q92" s="72"/>
      <c r="R92" s="72"/>
      <c r="S92" s="72"/>
      <c r="T92" s="72"/>
      <c r="U92" s="102"/>
      <c r="V92" s="72"/>
      <c r="W92" s="72"/>
    </row>
    <row r="93" spans="1:23" ht="12.75" customHeight="1" x14ac:dyDescent="0.2">
      <c r="A93" s="72"/>
      <c r="B93" s="417"/>
      <c r="C93" s="417"/>
      <c r="D93" s="417"/>
      <c r="E93" s="417"/>
      <c r="F93" s="417"/>
      <c r="G93" s="417"/>
      <c r="H93" s="417"/>
      <c r="I93" s="417"/>
      <c r="J93" s="417"/>
      <c r="K93" s="417"/>
      <c r="L93" s="417"/>
      <c r="M93" s="417"/>
      <c r="N93" s="417"/>
      <c r="O93" s="322"/>
      <c r="P93" s="72"/>
      <c r="Q93" s="72"/>
      <c r="R93" s="72"/>
      <c r="S93" s="72"/>
      <c r="T93" s="72"/>
      <c r="U93" s="72"/>
      <c r="V93" s="72"/>
      <c r="W93" s="72"/>
    </row>
    <row r="94" spans="1:23" ht="12.75" customHeight="1" x14ac:dyDescent="0.2">
      <c r="A94" s="72"/>
      <c r="B94" s="417"/>
      <c r="C94" s="417"/>
      <c r="D94" s="98" t="s">
        <v>554</v>
      </c>
      <c r="E94" s="949" t="str">
        <f>Translations!$B$369</f>
        <v>Uncertainty calculations assessment document title and reference:</v>
      </c>
      <c r="F94" s="949"/>
      <c r="G94" s="949"/>
      <c r="H94" s="949"/>
      <c r="I94" s="925"/>
      <c r="J94" s="870"/>
      <c r="K94" s="1036"/>
      <c r="L94" s="1036"/>
      <c r="M94" s="1036"/>
      <c r="N94" s="972"/>
      <c r="O94" s="322"/>
      <c r="P94" s="72"/>
      <c r="Q94" s="72"/>
      <c r="R94" s="72"/>
      <c r="S94" s="72"/>
      <c r="T94" s="72"/>
      <c r="U94" s="72"/>
      <c r="V94" s="75"/>
      <c r="W94" s="381" t="b">
        <f>CNTR_SmallEmitter=TRUE</f>
        <v>0</v>
      </c>
    </row>
    <row r="95" spans="1:23" ht="25.5" customHeight="1" x14ac:dyDescent="0.2">
      <c r="A95" s="72"/>
      <c r="B95" s="417"/>
      <c r="C95" s="417"/>
      <c r="D95" s="417"/>
      <c r="E95" s="869" t="str">
        <f>Translations!$B$370</f>
        <v xml:space="preserve">You must provide evidence to demonstrate compliance with the applied tiers, in accordance with Article 12. Please list references to uncertainty calculations and/or schematics in the box above. </v>
      </c>
      <c r="F95" s="996"/>
      <c r="G95" s="996"/>
      <c r="H95" s="996"/>
      <c r="I95" s="996"/>
      <c r="J95" s="996"/>
      <c r="K95" s="996"/>
      <c r="L95" s="996"/>
      <c r="M95" s="996"/>
      <c r="N95" s="996"/>
      <c r="O95" s="322"/>
      <c r="P95" s="72"/>
      <c r="Q95" s="72"/>
      <c r="R95" s="72"/>
      <c r="S95" s="72"/>
      <c r="T95" s="72"/>
      <c r="U95" s="72"/>
      <c r="V95" s="72"/>
      <c r="W95" s="72"/>
    </row>
    <row r="96" spans="1:23" ht="12.75" customHeight="1" x14ac:dyDescent="0.2">
      <c r="A96" s="72"/>
      <c r="B96" s="417"/>
      <c r="C96" s="417"/>
      <c r="D96" s="417"/>
      <c r="E96" s="798" t="str">
        <f>Translations!$B$371</f>
        <v>Note that in accordance with Article 47(3), installation with low emissions do not have to submit this document to the CA.</v>
      </c>
      <c r="F96" s="1033"/>
      <c r="G96" s="1033"/>
      <c r="H96" s="1033"/>
      <c r="I96" s="1033"/>
      <c r="J96" s="1033"/>
      <c r="K96" s="1033"/>
      <c r="L96" s="1033"/>
      <c r="M96" s="1033"/>
      <c r="N96" s="1033"/>
      <c r="O96" s="322"/>
      <c r="P96" s="72"/>
      <c r="Q96" s="72"/>
      <c r="R96" s="72"/>
      <c r="S96" s="72"/>
      <c r="T96" s="72"/>
      <c r="U96" s="72"/>
      <c r="V96" s="72"/>
      <c r="W96" s="72"/>
    </row>
    <row r="97" spans="1:23" ht="5.0999999999999996" customHeight="1" x14ac:dyDescent="0.2">
      <c r="A97" s="72"/>
      <c r="B97" s="417"/>
      <c r="C97" s="417"/>
      <c r="D97" s="417"/>
      <c r="E97" s="322"/>
      <c r="F97" s="322"/>
      <c r="G97" s="322"/>
      <c r="H97" s="433"/>
      <c r="I97" s="417"/>
      <c r="J97" s="417"/>
      <c r="K97" s="417"/>
      <c r="L97" s="417"/>
      <c r="M97" s="417"/>
      <c r="N97" s="417"/>
      <c r="O97" s="322"/>
      <c r="P97" s="72"/>
      <c r="Q97" s="72"/>
      <c r="R97" s="72"/>
      <c r="S97" s="72"/>
      <c r="T97" s="72"/>
      <c r="U97" s="72"/>
      <c r="V97" s="72"/>
      <c r="W97" s="72"/>
    </row>
    <row r="98" spans="1:23" ht="12.75" customHeight="1" x14ac:dyDescent="0.2">
      <c r="A98" s="72"/>
      <c r="B98" s="417"/>
      <c r="C98" s="417"/>
      <c r="D98" s="14" t="s">
        <v>1022</v>
      </c>
      <c r="E98" s="717" t="str">
        <f>Translations!$B$372</f>
        <v>List of information sources for default values of calculation factors:</v>
      </c>
      <c r="F98" s="732"/>
      <c r="G98" s="732"/>
      <c r="H98" s="732"/>
      <c r="I98" s="732"/>
      <c r="J98" s="732"/>
      <c r="K98" s="732"/>
      <c r="L98" s="732"/>
      <c r="M98" s="732"/>
      <c r="N98" s="732"/>
      <c r="O98" s="322"/>
      <c r="P98" s="84"/>
      <c r="Q98" s="84"/>
      <c r="R98" s="72"/>
      <c r="S98" s="72"/>
      <c r="T98" s="72"/>
      <c r="U98" s="72"/>
      <c r="V98" s="72"/>
      <c r="W98" s="72"/>
    </row>
    <row r="99" spans="1:23" ht="12.75" customHeight="1" x14ac:dyDescent="0.2">
      <c r="A99" s="72"/>
      <c r="B99" s="417"/>
      <c r="C99" s="417"/>
      <c r="D99" s="417"/>
      <c r="E99" s="869" t="str">
        <f>Translations!$B$373</f>
        <v xml:space="preserve">Please list all relevant information sources, from which you derive default values for calculation factors according to Article 31. </v>
      </c>
      <c r="F99" s="996"/>
      <c r="G99" s="996"/>
      <c r="H99" s="996"/>
      <c r="I99" s="996"/>
      <c r="J99" s="996"/>
      <c r="K99" s="996"/>
      <c r="L99" s="996"/>
      <c r="M99" s="996"/>
      <c r="N99" s="996"/>
      <c r="O99" s="322"/>
      <c r="P99" s="114"/>
      <c r="Q99" s="114"/>
      <c r="R99" s="122"/>
      <c r="S99" s="91"/>
      <c r="T99" s="72"/>
      <c r="U99" s="72"/>
      <c r="V99" s="72"/>
      <c r="W99" s="72"/>
    </row>
    <row r="100" spans="1:23" ht="12.75" customHeight="1" x14ac:dyDescent="0.2">
      <c r="A100" s="72"/>
      <c r="B100" s="417"/>
      <c r="C100" s="417"/>
      <c r="D100" s="417"/>
      <c r="E100" s="827" t="str">
        <f>Translations!$B$374</f>
        <v>These are usually static sources such as e.g. National Inventory, IPCC, MRR Annex VI, Handbook of Chemistry &amp; Physics...).</v>
      </c>
      <c r="F100" s="827"/>
      <c r="G100" s="827"/>
      <c r="H100" s="827"/>
      <c r="I100" s="827"/>
      <c r="J100" s="827"/>
      <c r="K100" s="827"/>
      <c r="L100" s="827"/>
      <c r="M100" s="827"/>
      <c r="N100" s="827"/>
      <c r="O100" s="322"/>
      <c r="P100" s="114"/>
      <c r="Q100" s="114"/>
      <c r="R100" s="122"/>
      <c r="S100" s="91"/>
      <c r="T100" s="72"/>
      <c r="U100" s="72"/>
      <c r="V100" s="72"/>
      <c r="W100" s="72"/>
    </row>
    <row r="101" spans="1:23" ht="25.5" customHeight="1" x14ac:dyDescent="0.2">
      <c r="A101" s="72"/>
      <c r="B101" s="417"/>
      <c r="C101" s="417"/>
      <c r="D101" s="417"/>
      <c r="E101" s="827" t="str">
        <f>Translations!$B$375</f>
        <v>Only where the default values change on an annual basis, the operator shall specify the authoritative applicable source of that value by means of a dynamic source, such as the CA's Website.</v>
      </c>
      <c r="F101" s="827"/>
      <c r="G101" s="827"/>
      <c r="H101" s="827"/>
      <c r="I101" s="827"/>
      <c r="J101" s="827"/>
      <c r="K101" s="827"/>
      <c r="L101" s="827"/>
      <c r="M101" s="827"/>
      <c r="N101" s="827"/>
      <c r="O101" s="322"/>
      <c r="P101" s="114"/>
      <c r="Q101" s="114"/>
      <c r="R101" s="122"/>
      <c r="S101" s="91"/>
      <c r="T101" s="72"/>
      <c r="U101" s="72"/>
      <c r="V101" s="72"/>
      <c r="W101" s="72"/>
    </row>
    <row r="102" spans="1:23" ht="12.75" customHeight="1" x14ac:dyDescent="0.2">
      <c r="A102" s="72"/>
      <c r="B102" s="417"/>
      <c r="C102" s="417"/>
      <c r="D102" s="417"/>
      <c r="E102" s="827" t="str">
        <f>Translations!$B$376</f>
        <v>This list will be available as a drop-down in sheet E_SourceStreams (table (g) to reference the information sources to the relevant calculation factors of each source stream.</v>
      </c>
      <c r="F102" s="827"/>
      <c r="G102" s="827"/>
      <c r="H102" s="827"/>
      <c r="I102" s="827"/>
      <c r="J102" s="827"/>
      <c r="K102" s="827"/>
      <c r="L102" s="827"/>
      <c r="M102" s="827"/>
      <c r="N102" s="827"/>
      <c r="O102" s="322"/>
      <c r="P102" s="114"/>
      <c r="Q102" s="114"/>
      <c r="R102" s="122"/>
      <c r="S102" s="91"/>
      <c r="T102" s="72"/>
      <c r="U102" s="72"/>
      <c r="V102" s="72"/>
      <c r="W102" s="72"/>
    </row>
    <row r="103" spans="1:23" ht="12.75" customHeight="1" x14ac:dyDescent="0.2">
      <c r="A103" s="72"/>
      <c r="B103" s="417"/>
      <c r="C103" s="430"/>
      <c r="D103" s="14"/>
      <c r="E103" s="798" t="str">
        <f>Translations!$B$135</f>
        <v>For showing/hiding examples, press the "Examples" button in the navigation area.</v>
      </c>
      <c r="F103" s="917"/>
      <c r="G103" s="917"/>
      <c r="H103" s="917"/>
      <c r="I103" s="917"/>
      <c r="J103" s="917"/>
      <c r="K103" s="917"/>
      <c r="L103" s="917"/>
      <c r="M103" s="917"/>
      <c r="N103" s="917"/>
      <c r="O103" s="322"/>
      <c r="P103" s="114"/>
      <c r="Q103" s="114"/>
      <c r="R103" s="122"/>
      <c r="S103" s="91"/>
      <c r="T103" s="72"/>
      <c r="U103" s="72"/>
      <c r="V103" s="72"/>
      <c r="W103" s="72"/>
    </row>
    <row r="104" spans="1:23" ht="5.0999999999999996" customHeight="1" x14ac:dyDescent="0.2">
      <c r="A104" s="72"/>
      <c r="B104" s="417"/>
      <c r="C104" s="417"/>
      <c r="D104" s="417"/>
      <c r="E104" s="417"/>
      <c r="F104" s="417"/>
      <c r="G104" s="417"/>
      <c r="H104" s="417"/>
      <c r="I104" s="417"/>
      <c r="J104" s="417"/>
      <c r="K104" s="417"/>
      <c r="L104" s="417"/>
      <c r="M104" s="417"/>
      <c r="N104" s="417"/>
      <c r="O104" s="322"/>
      <c r="P104" s="72"/>
      <c r="Q104" s="72"/>
      <c r="R104" s="101"/>
      <c r="S104" s="72"/>
      <c r="T104" s="72"/>
      <c r="U104" s="72"/>
      <c r="V104" s="72"/>
      <c r="W104" s="72"/>
    </row>
    <row r="105" spans="1:23" ht="23.25" customHeight="1" x14ac:dyDescent="0.2">
      <c r="A105" s="72"/>
      <c r="B105" s="417"/>
      <c r="C105" s="417"/>
      <c r="D105" s="417"/>
      <c r="E105" s="344" t="str">
        <f>Translations!$B$377</f>
        <v>Information Source Ref.</v>
      </c>
      <c r="F105" s="891" t="str">
        <f>Translations!$B$378</f>
        <v xml:space="preserve">Description of Information source </v>
      </c>
      <c r="G105" s="892"/>
      <c r="H105" s="892"/>
      <c r="I105" s="892"/>
      <c r="J105" s="892"/>
      <c r="K105" s="892"/>
      <c r="L105" s="892"/>
      <c r="M105" s="929"/>
      <c r="N105" s="887"/>
      <c r="O105" s="322"/>
      <c r="P105" s="72"/>
      <c r="Q105" s="72"/>
      <c r="R105" s="101"/>
      <c r="S105" s="72"/>
      <c r="T105" s="91" t="s">
        <v>1231</v>
      </c>
      <c r="U105" s="72"/>
      <c r="V105" s="91" t="s">
        <v>1231</v>
      </c>
      <c r="W105" s="91" t="s">
        <v>1231</v>
      </c>
    </row>
    <row r="106" spans="1:23" ht="12.75" customHeight="1" x14ac:dyDescent="0.2">
      <c r="A106" s="17" t="s">
        <v>1373</v>
      </c>
      <c r="B106" s="417"/>
      <c r="C106" s="417"/>
      <c r="D106" s="417"/>
      <c r="E106" s="211" t="s">
        <v>293</v>
      </c>
      <c r="F106" s="911" t="str">
        <f>Translations!$B$379</f>
        <v>National GHG Inventory, annually updated (see http:/Dummy.address.test). Most recent value published in 2011 is used.</v>
      </c>
      <c r="G106" s="1008"/>
      <c r="H106" s="1008"/>
      <c r="I106" s="1008"/>
      <c r="J106" s="1008"/>
      <c r="K106" s="1008"/>
      <c r="L106" s="1008"/>
      <c r="M106" s="1008"/>
      <c r="N106" s="1007"/>
      <c r="O106" s="322"/>
      <c r="P106" s="72"/>
      <c r="Q106" s="72"/>
      <c r="R106" s="101"/>
      <c r="S106" s="72"/>
      <c r="T106" s="91"/>
      <c r="U106" s="72"/>
      <c r="V106" s="91"/>
      <c r="W106" s="91"/>
    </row>
    <row r="107" spans="1:23" ht="12.75" customHeight="1" x14ac:dyDescent="0.2">
      <c r="A107" s="17" t="s">
        <v>1373</v>
      </c>
      <c r="B107" s="417"/>
      <c r="C107" s="417"/>
      <c r="D107" s="417"/>
      <c r="E107" s="211" t="s">
        <v>294</v>
      </c>
      <c r="F107" s="911" t="str">
        <f>Translations!$B$380</f>
        <v>Handbook of Chemistry and Physics, 92nd ed., http://www.hbcpnetbase.com/</v>
      </c>
      <c r="G107" s="1008"/>
      <c r="H107" s="1008"/>
      <c r="I107" s="1008"/>
      <c r="J107" s="1008"/>
      <c r="K107" s="1008"/>
      <c r="L107" s="1008"/>
      <c r="M107" s="1008"/>
      <c r="N107" s="1007"/>
      <c r="O107" s="322"/>
      <c r="P107" s="72"/>
      <c r="Q107" s="72"/>
      <c r="R107" s="101"/>
      <c r="S107" s="72"/>
      <c r="T107" s="91"/>
      <c r="U107" s="72"/>
      <c r="V107" s="91"/>
      <c r="W107" s="91"/>
    </row>
    <row r="108" spans="1:23" ht="12.75" customHeight="1" thickBot="1" x14ac:dyDescent="0.25">
      <c r="A108" s="17" t="s">
        <v>1373</v>
      </c>
      <c r="B108" s="417"/>
      <c r="C108" s="417"/>
      <c r="D108" s="417"/>
      <c r="E108" s="211" t="s">
        <v>295</v>
      </c>
      <c r="F108" s="911" t="str">
        <f>Translations!$B$381</f>
        <v>NCV and EF analysis of source stream "heavy fuel oil" from August 2011</v>
      </c>
      <c r="G108" s="1008"/>
      <c r="H108" s="1008"/>
      <c r="I108" s="1008"/>
      <c r="J108" s="1008"/>
      <c r="K108" s="1008"/>
      <c r="L108" s="1008"/>
      <c r="M108" s="1008"/>
      <c r="N108" s="1007"/>
      <c r="O108" s="322"/>
      <c r="P108" s="72"/>
      <c r="Q108" s="72"/>
      <c r="R108" s="101"/>
      <c r="S108" s="72"/>
      <c r="T108" s="91"/>
      <c r="U108" s="72"/>
      <c r="V108" s="91"/>
      <c r="W108" s="91"/>
    </row>
    <row r="109" spans="1:23" ht="12.75" customHeight="1" x14ac:dyDescent="0.2">
      <c r="A109" s="72"/>
      <c r="B109" s="417"/>
      <c r="C109" s="417"/>
      <c r="D109" s="417"/>
      <c r="E109" s="85" t="s">
        <v>359</v>
      </c>
      <c r="F109" s="902"/>
      <c r="G109" s="903"/>
      <c r="H109" s="903"/>
      <c r="I109" s="903"/>
      <c r="J109" s="903"/>
      <c r="K109" s="903"/>
      <c r="L109" s="903"/>
      <c r="M109" s="851"/>
      <c r="N109" s="852"/>
      <c r="O109" s="322"/>
      <c r="P109" s="72"/>
      <c r="Q109" s="72"/>
      <c r="R109" s="101"/>
      <c r="S109" s="72"/>
      <c r="T109" s="120">
        <v>1</v>
      </c>
      <c r="U109" s="72"/>
      <c r="V109" s="121" t="str">
        <f>IF(ISBLANK(F109),"",MAX(V$107:V107)+1)</f>
        <v/>
      </c>
      <c r="W109" s="382" t="str">
        <f t="shared" ref="W109:W124" si="1">IF(COUNTIF($V$109:$V$124,T109)=1,INDEX($E$109:$E$124,MATCH(T109,$V$109:$V$124,0)) &amp; ": " &amp; INDEX($F$109:$F$124,MATCH(T109,$V$109:$V$124,0)),EUconst_NA)</f>
        <v>n.a.</v>
      </c>
    </row>
    <row r="110" spans="1:23" ht="12.75" customHeight="1" x14ac:dyDescent="0.2">
      <c r="A110" s="72"/>
      <c r="B110" s="417"/>
      <c r="C110" s="417"/>
      <c r="D110" s="417"/>
      <c r="E110" s="85" t="s">
        <v>360</v>
      </c>
      <c r="F110" s="902"/>
      <c r="G110" s="903"/>
      <c r="H110" s="903"/>
      <c r="I110" s="903"/>
      <c r="J110" s="903"/>
      <c r="K110" s="903"/>
      <c r="L110" s="903"/>
      <c r="M110" s="851"/>
      <c r="N110" s="852"/>
      <c r="O110" s="322"/>
      <c r="P110" s="72"/>
      <c r="Q110" s="72"/>
      <c r="R110" s="101"/>
      <c r="S110" s="72"/>
      <c r="T110" s="120">
        <v>2</v>
      </c>
      <c r="U110" s="72"/>
      <c r="V110" s="121" t="str">
        <f>IF(ISBLANK(F110),"",MAX(V$107:V109)+1)</f>
        <v/>
      </c>
      <c r="W110" s="383" t="str">
        <f t="shared" si="1"/>
        <v>n.a.</v>
      </c>
    </row>
    <row r="111" spans="1:23" ht="12.75" customHeight="1" x14ac:dyDescent="0.2">
      <c r="A111" s="72"/>
      <c r="B111" s="417"/>
      <c r="C111" s="417"/>
      <c r="D111" s="417"/>
      <c r="E111" s="85" t="s">
        <v>361</v>
      </c>
      <c r="F111" s="902"/>
      <c r="G111" s="903"/>
      <c r="H111" s="903"/>
      <c r="I111" s="903"/>
      <c r="J111" s="903"/>
      <c r="K111" s="903"/>
      <c r="L111" s="903"/>
      <c r="M111" s="851"/>
      <c r="N111" s="852"/>
      <c r="O111" s="322"/>
      <c r="P111" s="72"/>
      <c r="Q111" s="72"/>
      <c r="R111" s="101"/>
      <c r="S111" s="72"/>
      <c r="T111" s="120">
        <v>3</v>
      </c>
      <c r="U111" s="72"/>
      <c r="V111" s="121" t="str">
        <f>IF(ISBLANK(F111),"",MAX(V$107:V110)+1)</f>
        <v/>
      </c>
      <c r="W111" s="383" t="str">
        <f t="shared" si="1"/>
        <v>n.a.</v>
      </c>
    </row>
    <row r="112" spans="1:23" ht="12.75" customHeight="1" x14ac:dyDescent="0.2">
      <c r="A112" s="72"/>
      <c r="B112" s="417"/>
      <c r="C112" s="417"/>
      <c r="D112" s="417"/>
      <c r="E112" s="85" t="s">
        <v>362</v>
      </c>
      <c r="F112" s="902"/>
      <c r="G112" s="903"/>
      <c r="H112" s="903"/>
      <c r="I112" s="903"/>
      <c r="J112" s="903"/>
      <c r="K112" s="903"/>
      <c r="L112" s="903"/>
      <c r="M112" s="851"/>
      <c r="N112" s="852"/>
      <c r="O112" s="322"/>
      <c r="P112" s="72"/>
      <c r="Q112" s="72"/>
      <c r="R112" s="101"/>
      <c r="S112" s="72"/>
      <c r="T112" s="120">
        <v>4</v>
      </c>
      <c r="U112" s="72"/>
      <c r="V112" s="121" t="str">
        <f>IF(ISBLANK(F112),"",MAX(V$107:V111)+1)</f>
        <v/>
      </c>
      <c r="W112" s="383" t="str">
        <f t="shared" si="1"/>
        <v>n.a.</v>
      </c>
    </row>
    <row r="113" spans="1:23" ht="12.75" customHeight="1" x14ac:dyDescent="0.2">
      <c r="A113" s="72"/>
      <c r="B113" s="417"/>
      <c r="C113" s="417"/>
      <c r="D113" s="417"/>
      <c r="E113" s="85" t="s">
        <v>363</v>
      </c>
      <c r="F113" s="902"/>
      <c r="G113" s="903"/>
      <c r="H113" s="903"/>
      <c r="I113" s="903"/>
      <c r="J113" s="903"/>
      <c r="K113" s="903"/>
      <c r="L113" s="903"/>
      <c r="M113" s="851"/>
      <c r="N113" s="852"/>
      <c r="O113" s="322"/>
      <c r="P113" s="72"/>
      <c r="Q113" s="72"/>
      <c r="R113" s="101"/>
      <c r="S113" s="72"/>
      <c r="T113" s="120">
        <v>5</v>
      </c>
      <c r="U113" s="72"/>
      <c r="V113" s="255" t="str">
        <f>IF(ISBLANK(F113),"",MAX(V$107:V112)+1)</f>
        <v/>
      </c>
      <c r="W113" s="384" t="str">
        <f t="shared" si="1"/>
        <v>n.a.</v>
      </c>
    </row>
    <row r="114" spans="1:23" ht="12.75" customHeight="1" x14ac:dyDescent="0.2">
      <c r="A114" s="72"/>
      <c r="B114" s="417"/>
      <c r="C114" s="417"/>
      <c r="D114" s="417"/>
      <c r="E114" s="85" t="s">
        <v>364</v>
      </c>
      <c r="F114" s="902"/>
      <c r="G114" s="903"/>
      <c r="H114" s="903"/>
      <c r="I114" s="903"/>
      <c r="J114" s="903"/>
      <c r="K114" s="903"/>
      <c r="L114" s="903"/>
      <c r="M114" s="851"/>
      <c r="N114" s="852"/>
      <c r="O114" s="322"/>
      <c r="P114" s="72"/>
      <c r="Q114" s="72"/>
      <c r="R114" s="101"/>
      <c r="S114" s="72"/>
      <c r="T114" s="120">
        <v>6</v>
      </c>
      <c r="U114" s="72"/>
      <c r="V114" s="255" t="str">
        <f>IF(ISBLANK(F114),"",MAX(V$107:V113)+1)</f>
        <v/>
      </c>
      <c r="W114" s="384" t="str">
        <f t="shared" si="1"/>
        <v>n.a.</v>
      </c>
    </row>
    <row r="115" spans="1:23" ht="12.75" customHeight="1" x14ac:dyDescent="0.2">
      <c r="A115" s="72"/>
      <c r="B115" s="417"/>
      <c r="C115" s="417"/>
      <c r="D115" s="417"/>
      <c r="E115" s="85" t="s">
        <v>365</v>
      </c>
      <c r="F115" s="902"/>
      <c r="G115" s="903"/>
      <c r="H115" s="903"/>
      <c r="I115" s="903"/>
      <c r="J115" s="903"/>
      <c r="K115" s="903"/>
      <c r="L115" s="903"/>
      <c r="M115" s="851"/>
      <c r="N115" s="852"/>
      <c r="O115" s="322"/>
      <c r="P115" s="72"/>
      <c r="Q115" s="72"/>
      <c r="R115" s="101"/>
      <c r="S115" s="72"/>
      <c r="T115" s="120">
        <v>7</v>
      </c>
      <c r="U115" s="72"/>
      <c r="V115" s="255" t="str">
        <f>IF(ISBLANK(F115),"",MAX(V$107:V114)+1)</f>
        <v/>
      </c>
      <c r="W115" s="384" t="str">
        <f t="shared" si="1"/>
        <v>n.a.</v>
      </c>
    </row>
    <row r="116" spans="1:23" ht="12.75" customHeight="1" x14ac:dyDescent="0.2">
      <c r="A116" s="72"/>
      <c r="B116" s="417"/>
      <c r="C116" s="417"/>
      <c r="D116" s="417"/>
      <c r="E116" s="85" t="s">
        <v>366</v>
      </c>
      <c r="F116" s="902"/>
      <c r="G116" s="903"/>
      <c r="H116" s="903"/>
      <c r="I116" s="903"/>
      <c r="J116" s="903"/>
      <c r="K116" s="903"/>
      <c r="L116" s="903"/>
      <c r="M116" s="851"/>
      <c r="N116" s="852"/>
      <c r="O116" s="322"/>
      <c r="P116" s="72"/>
      <c r="Q116" s="72"/>
      <c r="R116" s="101"/>
      <c r="S116" s="72"/>
      <c r="T116" s="120">
        <v>8</v>
      </c>
      <c r="U116" s="72"/>
      <c r="V116" s="255" t="str">
        <f>IF(ISBLANK(F116),"",MAX(V$107:V115)+1)</f>
        <v/>
      </c>
      <c r="W116" s="384" t="str">
        <f t="shared" si="1"/>
        <v>n.a.</v>
      </c>
    </row>
    <row r="117" spans="1:23" ht="12.75" customHeight="1" x14ac:dyDescent="0.2">
      <c r="A117" s="72"/>
      <c r="B117" s="417"/>
      <c r="C117" s="417"/>
      <c r="D117" s="417"/>
      <c r="E117" s="85" t="s">
        <v>367</v>
      </c>
      <c r="F117" s="902"/>
      <c r="G117" s="903"/>
      <c r="H117" s="903"/>
      <c r="I117" s="903"/>
      <c r="J117" s="903"/>
      <c r="K117" s="903"/>
      <c r="L117" s="903"/>
      <c r="M117" s="851"/>
      <c r="N117" s="852"/>
      <c r="O117" s="322"/>
      <c r="P117" s="72"/>
      <c r="Q117" s="72"/>
      <c r="R117" s="101"/>
      <c r="S117" s="72"/>
      <c r="T117" s="120">
        <v>9</v>
      </c>
      <c r="U117" s="72"/>
      <c r="V117" s="255" t="str">
        <f>IF(ISBLANK(F117),"",MAX(V$107:V116)+1)</f>
        <v/>
      </c>
      <c r="W117" s="384" t="str">
        <f t="shared" si="1"/>
        <v>n.a.</v>
      </c>
    </row>
    <row r="118" spans="1:23" ht="12.75" customHeight="1" x14ac:dyDescent="0.2">
      <c r="A118" s="72"/>
      <c r="B118" s="417"/>
      <c r="C118" s="417"/>
      <c r="D118" s="417"/>
      <c r="E118" s="85" t="s">
        <v>368</v>
      </c>
      <c r="F118" s="902"/>
      <c r="G118" s="903"/>
      <c r="H118" s="903"/>
      <c r="I118" s="903"/>
      <c r="J118" s="903"/>
      <c r="K118" s="903"/>
      <c r="L118" s="903"/>
      <c r="M118" s="851"/>
      <c r="N118" s="852"/>
      <c r="O118" s="322"/>
      <c r="P118" s="72"/>
      <c r="Q118" s="72"/>
      <c r="R118" s="101"/>
      <c r="S118" s="72"/>
      <c r="T118" s="120">
        <v>10</v>
      </c>
      <c r="U118" s="72"/>
      <c r="V118" s="255" t="str">
        <f>IF(ISBLANK(F118),"",MAX(V$107:V117)+1)</f>
        <v/>
      </c>
      <c r="W118" s="384" t="str">
        <f t="shared" si="1"/>
        <v>n.a.</v>
      </c>
    </row>
    <row r="119" spans="1:23" ht="12.75" customHeight="1" x14ac:dyDescent="0.2">
      <c r="A119" s="72"/>
      <c r="B119" s="417"/>
      <c r="C119" s="417"/>
      <c r="D119" s="417"/>
      <c r="E119" s="85" t="s">
        <v>369</v>
      </c>
      <c r="F119" s="902"/>
      <c r="G119" s="903"/>
      <c r="H119" s="903"/>
      <c r="I119" s="903"/>
      <c r="J119" s="903"/>
      <c r="K119" s="903"/>
      <c r="L119" s="903"/>
      <c r="M119" s="851"/>
      <c r="N119" s="852"/>
      <c r="O119" s="322"/>
      <c r="P119" s="72"/>
      <c r="Q119" s="72"/>
      <c r="R119" s="101"/>
      <c r="S119" s="72"/>
      <c r="T119" s="120">
        <v>11</v>
      </c>
      <c r="U119" s="72"/>
      <c r="V119" s="255" t="str">
        <f>IF(ISBLANK(F119),"",MAX(V$107:V118)+1)</f>
        <v/>
      </c>
      <c r="W119" s="384" t="str">
        <f t="shared" si="1"/>
        <v>n.a.</v>
      </c>
    </row>
    <row r="120" spans="1:23" ht="12.75" customHeight="1" x14ac:dyDescent="0.2">
      <c r="A120" s="72"/>
      <c r="B120" s="417"/>
      <c r="C120" s="417"/>
      <c r="D120" s="417"/>
      <c r="E120" s="85" t="s">
        <v>370</v>
      </c>
      <c r="F120" s="902"/>
      <c r="G120" s="903"/>
      <c r="H120" s="903"/>
      <c r="I120" s="903"/>
      <c r="J120" s="903"/>
      <c r="K120" s="903"/>
      <c r="L120" s="903"/>
      <c r="M120" s="851"/>
      <c r="N120" s="852"/>
      <c r="O120" s="322"/>
      <c r="P120" s="72"/>
      <c r="Q120" s="72"/>
      <c r="R120" s="101"/>
      <c r="S120" s="72"/>
      <c r="T120" s="120">
        <v>12</v>
      </c>
      <c r="U120" s="72"/>
      <c r="V120" s="255" t="str">
        <f>IF(ISBLANK(F120),"",MAX(V$107:V119)+1)</f>
        <v/>
      </c>
      <c r="W120" s="384" t="str">
        <f t="shared" si="1"/>
        <v>n.a.</v>
      </c>
    </row>
    <row r="121" spans="1:23" ht="12.75" customHeight="1" x14ac:dyDescent="0.2">
      <c r="A121" s="72"/>
      <c r="B121" s="417"/>
      <c r="C121" s="417"/>
      <c r="D121" s="417"/>
      <c r="E121" s="85" t="s">
        <v>371</v>
      </c>
      <c r="F121" s="902"/>
      <c r="G121" s="903"/>
      <c r="H121" s="903"/>
      <c r="I121" s="903"/>
      <c r="J121" s="903"/>
      <c r="K121" s="903"/>
      <c r="L121" s="903"/>
      <c r="M121" s="851"/>
      <c r="N121" s="852"/>
      <c r="O121" s="322"/>
      <c r="P121" s="72"/>
      <c r="Q121" s="72"/>
      <c r="R121" s="101"/>
      <c r="S121" s="72"/>
      <c r="T121" s="120">
        <v>13</v>
      </c>
      <c r="U121" s="72"/>
      <c r="V121" s="255" t="str">
        <f>IF(ISBLANK(F121),"",MAX(V$107:V120)+1)</f>
        <v/>
      </c>
      <c r="W121" s="384" t="str">
        <f t="shared" si="1"/>
        <v>n.a.</v>
      </c>
    </row>
    <row r="122" spans="1:23" ht="12.75" customHeight="1" x14ac:dyDescent="0.2">
      <c r="A122" s="72"/>
      <c r="B122" s="417"/>
      <c r="C122" s="417"/>
      <c r="D122" s="417"/>
      <c r="E122" s="85" t="s">
        <v>372</v>
      </c>
      <c r="F122" s="902"/>
      <c r="G122" s="903"/>
      <c r="H122" s="903"/>
      <c r="I122" s="903"/>
      <c r="J122" s="903"/>
      <c r="K122" s="903"/>
      <c r="L122" s="903"/>
      <c r="M122" s="851"/>
      <c r="N122" s="852"/>
      <c r="O122" s="322"/>
      <c r="P122" s="72"/>
      <c r="Q122" s="72"/>
      <c r="R122" s="101"/>
      <c r="S122" s="72"/>
      <c r="T122" s="120">
        <v>14</v>
      </c>
      <c r="U122" s="72"/>
      <c r="V122" s="255" t="str">
        <f>IF(ISBLANK(F122),"",MAX(V$107:V121)+1)</f>
        <v/>
      </c>
      <c r="W122" s="384" t="str">
        <f t="shared" si="1"/>
        <v>n.a.</v>
      </c>
    </row>
    <row r="123" spans="1:23" ht="12.75" customHeight="1" x14ac:dyDescent="0.2">
      <c r="A123" s="72"/>
      <c r="B123" s="417"/>
      <c r="C123" s="417"/>
      <c r="D123" s="417"/>
      <c r="E123" s="85" t="s">
        <v>373</v>
      </c>
      <c r="F123" s="902"/>
      <c r="G123" s="903"/>
      <c r="H123" s="903"/>
      <c r="I123" s="903"/>
      <c r="J123" s="903"/>
      <c r="K123" s="903"/>
      <c r="L123" s="903"/>
      <c r="M123" s="851"/>
      <c r="N123" s="852"/>
      <c r="O123" s="322"/>
      <c r="P123" s="72"/>
      <c r="Q123" s="72"/>
      <c r="R123" s="101"/>
      <c r="S123" s="72"/>
      <c r="T123" s="120">
        <v>15</v>
      </c>
      <c r="U123" s="72"/>
      <c r="V123" s="255" t="str">
        <f>IF(ISBLANK(F123),"",MAX(V$107:V122)+1)</f>
        <v/>
      </c>
      <c r="W123" s="384" t="str">
        <f t="shared" si="1"/>
        <v>n.a.</v>
      </c>
    </row>
    <row r="124" spans="1:23" ht="12.75" hidden="1" customHeight="1" thickBot="1" x14ac:dyDescent="0.25">
      <c r="A124" s="17" t="s">
        <v>1090</v>
      </c>
      <c r="B124" s="417"/>
      <c r="C124" s="417"/>
      <c r="D124" s="417"/>
      <c r="E124" s="85"/>
      <c r="F124" s="902"/>
      <c r="G124" s="903"/>
      <c r="H124" s="903"/>
      <c r="I124" s="903"/>
      <c r="J124" s="903"/>
      <c r="K124" s="903"/>
      <c r="L124" s="903"/>
      <c r="M124" s="851"/>
      <c r="N124" s="852"/>
      <c r="O124" s="322"/>
      <c r="P124" s="72"/>
      <c r="Q124" s="72"/>
      <c r="R124" s="101"/>
      <c r="S124" s="72"/>
      <c r="T124" s="120"/>
      <c r="U124" s="72"/>
      <c r="V124" s="255" t="str">
        <f>IF(ISBLANK(F124),"",MAX(V$107:V123)+1)</f>
        <v/>
      </c>
      <c r="W124" s="385" t="str">
        <f t="shared" si="1"/>
        <v>n.a.</v>
      </c>
    </row>
    <row r="125" spans="1:23" ht="12.75" customHeight="1" x14ac:dyDescent="0.2">
      <c r="A125" s="17" t="s">
        <v>4</v>
      </c>
      <c r="B125" s="417"/>
      <c r="C125" s="417"/>
      <c r="D125" s="417"/>
      <c r="E125" s="417"/>
      <c r="F125" s="417"/>
      <c r="G125" s="417"/>
      <c r="H125" s="417"/>
      <c r="I125" s="417"/>
      <c r="J125" s="417"/>
      <c r="K125" s="417"/>
      <c r="L125" s="417"/>
      <c r="M125" s="417"/>
      <c r="N125" s="417"/>
      <c r="O125" s="322"/>
      <c r="P125" s="72"/>
      <c r="Q125" s="72"/>
      <c r="R125" s="72"/>
      <c r="S125" s="72"/>
      <c r="T125" s="72"/>
      <c r="U125" s="72"/>
      <c r="V125" s="72"/>
      <c r="W125" s="72"/>
    </row>
    <row r="126" spans="1:23" ht="5.0999999999999996" customHeight="1" x14ac:dyDescent="0.2">
      <c r="A126" s="17"/>
      <c r="B126" s="417"/>
      <c r="C126" s="430"/>
      <c r="D126" s="14"/>
      <c r="E126" s="417"/>
      <c r="F126" s="417"/>
      <c r="G126" s="1034" t="str">
        <f>Translations!$B$382</f>
        <v>Click "+" to add more information sources</v>
      </c>
      <c r="H126" s="1034"/>
      <c r="I126" s="1034"/>
      <c r="J126" s="1034"/>
      <c r="K126" s="1035"/>
      <c r="L126" s="417"/>
      <c r="M126" s="322"/>
      <c r="N126" s="417"/>
      <c r="O126" s="322"/>
      <c r="P126" s="72"/>
      <c r="Q126" s="72"/>
      <c r="R126" s="72"/>
      <c r="S126" s="72"/>
      <c r="T126" s="72"/>
      <c r="U126" s="102"/>
      <c r="V126" s="72"/>
      <c r="W126" s="72"/>
    </row>
    <row r="127" spans="1:23" ht="12.75" customHeight="1" x14ac:dyDescent="0.2">
      <c r="A127" s="17"/>
      <c r="B127" s="417"/>
      <c r="C127" s="430"/>
      <c r="D127" s="14"/>
      <c r="E127" s="417"/>
      <c r="F127" s="417"/>
      <c r="G127" s="1034"/>
      <c r="H127" s="1034"/>
      <c r="I127" s="1034"/>
      <c r="J127" s="1034"/>
      <c r="K127" s="1035"/>
      <c r="L127" s="417"/>
      <c r="M127" s="322"/>
      <c r="N127" s="417"/>
      <c r="O127" s="322"/>
      <c r="P127" s="72"/>
      <c r="Q127" s="72"/>
      <c r="R127" s="72"/>
      <c r="S127" s="72"/>
      <c r="T127" s="72"/>
      <c r="U127" s="102"/>
      <c r="V127" s="72"/>
      <c r="W127" s="72"/>
    </row>
    <row r="128" spans="1:23" ht="5.0999999999999996" customHeight="1" x14ac:dyDescent="0.2">
      <c r="A128" s="17"/>
      <c r="B128" s="417"/>
      <c r="C128" s="430"/>
      <c r="D128" s="14"/>
      <c r="E128" s="417"/>
      <c r="F128" s="417"/>
      <c r="G128" s="1034"/>
      <c r="H128" s="1034"/>
      <c r="I128" s="1034"/>
      <c r="J128" s="1034"/>
      <c r="K128" s="1035"/>
      <c r="L128" s="417"/>
      <c r="M128" s="322"/>
      <c r="N128" s="417"/>
      <c r="O128" s="322"/>
      <c r="P128" s="72"/>
      <c r="Q128" s="72"/>
      <c r="R128" s="72"/>
      <c r="S128" s="72"/>
      <c r="T128" s="72"/>
      <c r="U128" s="102"/>
      <c r="V128" s="72"/>
      <c r="W128" s="72"/>
    </row>
    <row r="129" spans="1:23" ht="12.75" customHeight="1" x14ac:dyDescent="0.2">
      <c r="A129" s="72"/>
      <c r="B129" s="417"/>
      <c r="C129" s="417"/>
      <c r="D129" s="417"/>
      <c r="E129" s="417"/>
      <c r="F129" s="417"/>
      <c r="G129" s="417"/>
      <c r="H129" s="417"/>
      <c r="I129" s="417"/>
      <c r="J129" s="417"/>
      <c r="K129" s="417"/>
      <c r="L129" s="417"/>
      <c r="M129" s="417"/>
      <c r="N129" s="417"/>
      <c r="O129" s="322"/>
      <c r="P129" s="72"/>
      <c r="Q129" s="72"/>
      <c r="R129" s="72"/>
      <c r="S129" s="72"/>
      <c r="T129" s="72"/>
      <c r="U129" s="72"/>
      <c r="V129" s="72"/>
      <c r="W129" s="72"/>
    </row>
    <row r="130" spans="1:23" ht="12.75" customHeight="1" x14ac:dyDescent="0.2">
      <c r="A130" s="72"/>
      <c r="B130" s="417"/>
      <c r="C130" s="417"/>
      <c r="D130" s="14" t="s">
        <v>1023</v>
      </c>
      <c r="E130" s="717" t="str">
        <f>Translations!$B$383</f>
        <v>Laboratories and methods used for analyses for calculation factors:</v>
      </c>
      <c r="F130" s="732"/>
      <c r="G130" s="732"/>
      <c r="H130" s="732"/>
      <c r="I130" s="732"/>
      <c r="J130" s="732"/>
      <c r="K130" s="732"/>
      <c r="L130" s="732"/>
      <c r="M130" s="732"/>
      <c r="N130" s="732"/>
      <c r="O130" s="322"/>
      <c r="P130" s="84"/>
      <c r="Q130" s="84"/>
      <c r="R130" s="72"/>
      <c r="S130" s="72"/>
      <c r="T130" s="72"/>
      <c r="U130" s="72"/>
      <c r="V130" s="72"/>
      <c r="W130" s="72"/>
    </row>
    <row r="131" spans="1:23" ht="38.85" customHeight="1" x14ac:dyDescent="0.2">
      <c r="A131" s="72"/>
      <c r="B131" s="417"/>
      <c r="C131" s="417"/>
      <c r="D131" s="417"/>
      <c r="E131" s="827" t="str">
        <f>Translations!$B$384</f>
        <v>Please list the methods to be used for analysing fuels and materials for the determination of all calculation factors where applicable due to the selected tier. Where the laboratory is not accredited according to EN ISO/IEC 17025, you have to provide evidence that the laboratory is technically competent in accordance with Article 34. For this purpose please provide reference to an attached document.</v>
      </c>
      <c r="F131" s="827"/>
      <c r="G131" s="827"/>
      <c r="H131" s="827"/>
      <c r="I131" s="827"/>
      <c r="J131" s="827"/>
      <c r="K131" s="827"/>
      <c r="L131" s="827"/>
      <c r="M131" s="827"/>
      <c r="N131" s="827"/>
      <c r="O131" s="322"/>
      <c r="P131" s="123"/>
      <c r="Q131" s="123"/>
      <c r="R131" s="72"/>
      <c r="S131" s="72"/>
      <c r="T131" s="72"/>
      <c r="U131" s="72"/>
      <c r="V131" s="72"/>
      <c r="W131" s="72"/>
    </row>
    <row r="132" spans="1:23" ht="12.75" customHeight="1" x14ac:dyDescent="0.2">
      <c r="A132" s="72"/>
      <c r="B132" s="417"/>
      <c r="C132" s="417"/>
      <c r="D132" s="417"/>
      <c r="E132" s="827" t="str">
        <f>Translations!$B$385</f>
        <v>Where online gas chromatographs or extractive or non-extractive gas analysers are used, the requirements of Article 32 shall be met.</v>
      </c>
      <c r="F132" s="827"/>
      <c r="G132" s="827"/>
      <c r="H132" s="827"/>
      <c r="I132" s="827"/>
      <c r="J132" s="827"/>
      <c r="K132" s="827"/>
      <c r="L132" s="827"/>
      <c r="M132" s="827"/>
      <c r="N132" s="827"/>
      <c r="O132" s="322"/>
      <c r="P132" s="111"/>
      <c r="Q132" s="123"/>
      <c r="R132" s="72"/>
      <c r="S132" s="72"/>
      <c r="T132" s="72"/>
      <c r="U132" s="72"/>
      <c r="V132" s="72"/>
      <c r="W132" s="72"/>
    </row>
    <row r="133" spans="1:23" ht="12.75" customHeight="1" x14ac:dyDescent="0.2">
      <c r="A133" s="72"/>
      <c r="B133" s="417"/>
      <c r="C133" s="417"/>
      <c r="D133" s="417"/>
      <c r="E133" s="869" t="str">
        <f>Translations!$B$386</f>
        <v>This list will be available as a drop-down in sheet E_SourceStreams (table (g)) to reference the analytical methods to the relevant calculation factors of each source stream.</v>
      </c>
      <c r="F133" s="996"/>
      <c r="G133" s="996"/>
      <c r="H133" s="996"/>
      <c r="I133" s="996"/>
      <c r="J133" s="996"/>
      <c r="K133" s="996"/>
      <c r="L133" s="996"/>
      <c r="M133" s="996"/>
      <c r="N133" s="996"/>
      <c r="O133" s="322"/>
      <c r="P133" s="114"/>
      <c r="Q133" s="114"/>
      <c r="R133" s="122"/>
      <c r="S133" s="91"/>
      <c r="T133" s="72"/>
      <c r="U133" s="72"/>
      <c r="V133" s="72"/>
      <c r="W133" s="72"/>
    </row>
    <row r="134" spans="1:23" ht="12.75" customHeight="1" x14ac:dyDescent="0.2">
      <c r="A134" s="72"/>
      <c r="B134" s="417"/>
      <c r="C134" s="430"/>
      <c r="D134" s="14"/>
      <c r="E134" s="798" t="str">
        <f>Translations!$B$135</f>
        <v>For showing/hiding examples, press the "Examples" button in the navigation area.</v>
      </c>
      <c r="F134" s="917"/>
      <c r="G134" s="917"/>
      <c r="H134" s="917"/>
      <c r="I134" s="917"/>
      <c r="J134" s="917"/>
      <c r="K134" s="917"/>
      <c r="L134" s="917"/>
      <c r="M134" s="917"/>
      <c r="N134" s="917"/>
      <c r="O134" s="322"/>
      <c r="P134" s="72"/>
      <c r="Q134" s="72"/>
      <c r="R134" s="72"/>
      <c r="S134" s="72"/>
      <c r="T134" s="72"/>
      <c r="U134" s="72"/>
      <c r="V134" s="72"/>
      <c r="W134" s="72"/>
    </row>
    <row r="135" spans="1:23" ht="5.0999999999999996" customHeight="1" x14ac:dyDescent="0.2">
      <c r="A135" s="72"/>
      <c r="B135" s="417"/>
      <c r="C135" s="417"/>
      <c r="D135" s="417"/>
      <c r="E135" s="417"/>
      <c r="F135" s="417"/>
      <c r="G135" s="417"/>
      <c r="H135" s="417"/>
      <c r="I135" s="417"/>
      <c r="J135" s="417"/>
      <c r="K135" s="417"/>
      <c r="L135" s="417"/>
      <c r="M135" s="417"/>
      <c r="N135" s="417"/>
      <c r="O135" s="322"/>
      <c r="P135" s="72"/>
      <c r="Q135" s="72"/>
      <c r="R135" s="101"/>
      <c r="S135" s="72"/>
      <c r="T135" s="72"/>
      <c r="U135" s="72"/>
      <c r="V135" s="72"/>
      <c r="W135" s="72"/>
    </row>
    <row r="136" spans="1:23" ht="45" customHeight="1" x14ac:dyDescent="0.2">
      <c r="A136" s="72"/>
      <c r="B136" s="417"/>
      <c r="C136" s="417"/>
      <c r="D136" s="417"/>
      <c r="E136" s="344" t="str">
        <f>Translations!$B$387</f>
        <v>Lab Ref</v>
      </c>
      <c r="F136" s="879" t="str">
        <f>Translations!$B$388</f>
        <v>Name of laboratory</v>
      </c>
      <c r="G136" s="906"/>
      <c r="H136" s="407" t="str">
        <f>Translations!$B$389</f>
        <v>Parameter</v>
      </c>
      <c r="I136" s="926" t="str">
        <f>Translations!$B$390</f>
        <v>Method of analysis
(include procedure reference and brief description of method)</v>
      </c>
      <c r="J136" s="927"/>
      <c r="K136" s="927"/>
      <c r="L136" s="344" t="str">
        <f>Translations!$B$391</f>
        <v>Is lab EN ISO/IEC 17025 accredited for this analysis?</v>
      </c>
      <c r="M136" s="926" t="str">
        <f>Translations!$B$392</f>
        <v>If no, reference the evidence to be submitted</v>
      </c>
      <c r="N136" s="927"/>
      <c r="O136" s="322"/>
      <c r="P136" s="72"/>
      <c r="Q136" s="115"/>
      <c r="R136" s="101"/>
      <c r="S136" s="72"/>
      <c r="T136" s="91" t="s">
        <v>1231</v>
      </c>
      <c r="U136" s="72"/>
      <c r="V136" s="91" t="s">
        <v>1231</v>
      </c>
      <c r="W136" s="91" t="s">
        <v>1231</v>
      </c>
    </row>
    <row r="137" spans="1:23" ht="12.75" customHeight="1" x14ac:dyDescent="0.2">
      <c r="A137" s="17" t="s">
        <v>1373</v>
      </c>
      <c r="B137" s="417"/>
      <c r="C137" s="417"/>
      <c r="D137" s="417"/>
      <c r="E137" s="211" t="s">
        <v>301</v>
      </c>
      <c r="F137" s="911" t="str">
        <f>Translations!$B$393</f>
        <v>Example lab</v>
      </c>
      <c r="G137" s="1007"/>
      <c r="H137" s="408" t="str">
        <f>Translations!$B$394</f>
        <v>C-Content</v>
      </c>
      <c r="I137" s="911" t="str">
        <f>Translations!$B$395</f>
        <v>EN 15104:2011. See procedure ANA-1233/UBA</v>
      </c>
      <c r="J137" s="1008"/>
      <c r="K137" s="1007"/>
      <c r="L137" s="211" t="b">
        <v>1</v>
      </c>
      <c r="M137" s="1006"/>
      <c r="N137" s="1007"/>
      <c r="O137" s="322"/>
      <c r="P137" s="72"/>
      <c r="Q137" s="115"/>
      <c r="R137" s="101"/>
      <c r="S137" s="72"/>
      <c r="T137" s="91"/>
      <c r="U137" s="72"/>
      <c r="V137" s="91"/>
      <c r="W137" s="91"/>
    </row>
    <row r="138" spans="1:23" ht="25.5" customHeight="1" thickBot="1" x14ac:dyDescent="0.25">
      <c r="A138" s="17" t="s">
        <v>1373</v>
      </c>
      <c r="B138" s="417"/>
      <c r="C138" s="417"/>
      <c r="D138" s="417"/>
      <c r="E138" s="211" t="s">
        <v>302</v>
      </c>
      <c r="F138" s="911" t="str">
        <f>Translations!$B$396</f>
        <v>Example lab 2</v>
      </c>
      <c r="G138" s="1007"/>
      <c r="H138" s="408" t="str">
        <f>Translations!$B$397</f>
        <v>Biomass content</v>
      </c>
      <c r="I138" s="911" t="str">
        <f>Translations!$B$398</f>
        <v>EN 15440:2011 - some deviations regarding sample size and treatment. See procedure ANA-1234/UBA</v>
      </c>
      <c r="J138" s="1008"/>
      <c r="K138" s="1007"/>
      <c r="L138" s="211" t="b">
        <v>0</v>
      </c>
      <c r="M138" s="911" t="str">
        <f>Translations!$B$399</f>
        <v>Lab_competence.pdf, 2/3/2012</v>
      </c>
      <c r="N138" s="1007"/>
      <c r="O138" s="322"/>
      <c r="P138" s="72"/>
      <c r="Q138" s="115"/>
      <c r="R138" s="101"/>
      <c r="S138" s="72"/>
      <c r="T138" s="91"/>
      <c r="U138" s="72"/>
      <c r="V138" s="91"/>
      <c r="W138" s="91"/>
    </row>
    <row r="139" spans="1:23" ht="12.75" customHeight="1" x14ac:dyDescent="0.2">
      <c r="A139" s="72"/>
      <c r="B139" s="417"/>
      <c r="C139" s="417"/>
      <c r="D139" s="417"/>
      <c r="E139" s="434" t="s">
        <v>1304</v>
      </c>
      <c r="F139" s="870"/>
      <c r="G139" s="972"/>
      <c r="H139" s="205"/>
      <c r="I139" s="817"/>
      <c r="J139" s="817"/>
      <c r="K139" s="817"/>
      <c r="L139" s="199"/>
      <c r="M139" s="817"/>
      <c r="N139" s="817"/>
      <c r="O139" s="322"/>
      <c r="P139" s="72"/>
      <c r="Q139" s="116"/>
      <c r="R139" s="101"/>
      <c r="S139" s="72"/>
      <c r="T139" s="120">
        <v>1</v>
      </c>
      <c r="U139" s="72"/>
      <c r="V139" s="121" t="str">
        <f>IF(ISBLANK(F139),"",MAX(V$138:V138)+1)</f>
        <v/>
      </c>
      <c r="W139" s="382" t="str">
        <f t="shared" ref="W139:W154" si="2">IF(COUNTIF($V$139:$V$154,T139)=1,INDEX($E$139:$E$154,MATCH(T139,$V$139:$V$154,0))&amp; ": " &amp;INDEX($F$139:$F$154,MATCH(T139,$V$139:$V$154,0)),EUconst_NA)</f>
        <v>n.a.</v>
      </c>
    </row>
    <row r="140" spans="1:23" ht="12.75" customHeight="1" x14ac:dyDescent="0.2">
      <c r="A140" s="72"/>
      <c r="B140" s="417"/>
      <c r="C140" s="417"/>
      <c r="D140" s="417"/>
      <c r="E140" s="434" t="s">
        <v>1305</v>
      </c>
      <c r="F140" s="870"/>
      <c r="G140" s="972"/>
      <c r="H140" s="205"/>
      <c r="I140" s="817"/>
      <c r="J140" s="817"/>
      <c r="K140" s="817"/>
      <c r="L140" s="199"/>
      <c r="M140" s="817"/>
      <c r="N140" s="817"/>
      <c r="O140" s="322"/>
      <c r="P140" s="72"/>
      <c r="Q140" s="116"/>
      <c r="R140" s="101"/>
      <c r="S140" s="72"/>
      <c r="T140" s="120">
        <v>2</v>
      </c>
      <c r="U140" s="72"/>
      <c r="V140" s="121" t="str">
        <f>IF(ISBLANK(F140),"",MAX(V$138:V139)+1)</f>
        <v/>
      </c>
      <c r="W140" s="383" t="str">
        <f t="shared" si="2"/>
        <v>n.a.</v>
      </c>
    </row>
    <row r="141" spans="1:23" ht="12.75" customHeight="1" x14ac:dyDescent="0.2">
      <c r="A141" s="72"/>
      <c r="B141" s="417"/>
      <c r="C141" s="417"/>
      <c r="D141" s="417"/>
      <c r="E141" s="434" t="s">
        <v>1306</v>
      </c>
      <c r="F141" s="870"/>
      <c r="G141" s="972"/>
      <c r="H141" s="205"/>
      <c r="I141" s="817"/>
      <c r="J141" s="817"/>
      <c r="K141" s="817"/>
      <c r="L141" s="199"/>
      <c r="M141" s="817"/>
      <c r="N141" s="817"/>
      <c r="O141" s="322"/>
      <c r="P141" s="72"/>
      <c r="Q141" s="116"/>
      <c r="R141" s="101"/>
      <c r="S141" s="72"/>
      <c r="T141" s="120">
        <v>3</v>
      </c>
      <c r="U141" s="72"/>
      <c r="V141" s="121" t="str">
        <f>IF(ISBLANK(F141),"",MAX(V$138:V140)+1)</f>
        <v/>
      </c>
      <c r="W141" s="383" t="str">
        <f t="shared" si="2"/>
        <v>n.a.</v>
      </c>
    </row>
    <row r="142" spans="1:23" ht="12.75" customHeight="1" x14ac:dyDescent="0.2">
      <c r="A142" s="72"/>
      <c r="B142" s="417"/>
      <c r="C142" s="417"/>
      <c r="D142" s="417"/>
      <c r="E142" s="434" t="s">
        <v>520</v>
      </c>
      <c r="F142" s="870"/>
      <c r="G142" s="972"/>
      <c r="H142" s="205"/>
      <c r="I142" s="817"/>
      <c r="J142" s="817"/>
      <c r="K142" s="817"/>
      <c r="L142" s="199"/>
      <c r="M142" s="817"/>
      <c r="N142" s="817"/>
      <c r="O142" s="322"/>
      <c r="P142" s="72"/>
      <c r="Q142" s="116"/>
      <c r="R142" s="101"/>
      <c r="S142" s="72"/>
      <c r="T142" s="120">
        <v>4</v>
      </c>
      <c r="U142" s="72"/>
      <c r="V142" s="121" t="str">
        <f>IF(ISBLANK(F142),"",MAX(V$138:V141)+1)</f>
        <v/>
      </c>
      <c r="W142" s="383" t="str">
        <f t="shared" si="2"/>
        <v>n.a.</v>
      </c>
    </row>
    <row r="143" spans="1:23" ht="12.75" customHeight="1" x14ac:dyDescent="0.2">
      <c r="A143" s="72"/>
      <c r="B143" s="417"/>
      <c r="C143" s="417"/>
      <c r="D143" s="417"/>
      <c r="E143" s="434" t="s">
        <v>521</v>
      </c>
      <c r="F143" s="870"/>
      <c r="G143" s="972"/>
      <c r="H143" s="205"/>
      <c r="I143" s="817"/>
      <c r="J143" s="817"/>
      <c r="K143" s="817"/>
      <c r="L143" s="199"/>
      <c r="M143" s="817"/>
      <c r="N143" s="817"/>
      <c r="O143" s="322"/>
      <c r="P143" s="72"/>
      <c r="Q143" s="116"/>
      <c r="R143" s="101"/>
      <c r="S143" s="72"/>
      <c r="T143" s="120">
        <v>5</v>
      </c>
      <c r="U143" s="72"/>
      <c r="V143" s="121" t="str">
        <f>IF(ISBLANK(F143),"",MAX(V$138:V142)+1)</f>
        <v/>
      </c>
      <c r="W143" s="383" t="str">
        <f t="shared" si="2"/>
        <v>n.a.</v>
      </c>
    </row>
    <row r="144" spans="1:23" ht="12.75" customHeight="1" x14ac:dyDescent="0.2">
      <c r="A144" s="72"/>
      <c r="B144" s="417"/>
      <c r="C144" s="417"/>
      <c r="D144" s="417"/>
      <c r="E144" s="434" t="s">
        <v>458</v>
      </c>
      <c r="F144" s="870"/>
      <c r="G144" s="972"/>
      <c r="H144" s="205"/>
      <c r="I144" s="817"/>
      <c r="J144" s="817"/>
      <c r="K144" s="817"/>
      <c r="L144" s="199"/>
      <c r="M144" s="817"/>
      <c r="N144" s="817"/>
      <c r="O144" s="322"/>
      <c r="P144" s="72"/>
      <c r="Q144" s="116"/>
      <c r="R144" s="101"/>
      <c r="S144" s="72"/>
      <c r="T144" s="120">
        <v>6</v>
      </c>
      <c r="U144" s="72"/>
      <c r="V144" s="121" t="str">
        <f>IF(ISBLANK(F144),"",MAX(V$138:V143)+1)</f>
        <v/>
      </c>
      <c r="W144" s="383" t="str">
        <f t="shared" si="2"/>
        <v>n.a.</v>
      </c>
    </row>
    <row r="145" spans="1:23" ht="12.75" customHeight="1" x14ac:dyDescent="0.2">
      <c r="A145" s="72"/>
      <c r="B145" s="417"/>
      <c r="C145" s="417"/>
      <c r="D145" s="417"/>
      <c r="E145" s="434" t="s">
        <v>459</v>
      </c>
      <c r="F145" s="870"/>
      <c r="G145" s="972"/>
      <c r="H145" s="205"/>
      <c r="I145" s="817"/>
      <c r="J145" s="817"/>
      <c r="K145" s="817"/>
      <c r="L145" s="199"/>
      <c r="M145" s="817"/>
      <c r="N145" s="817"/>
      <c r="O145" s="322"/>
      <c r="P145" s="72"/>
      <c r="Q145" s="116"/>
      <c r="R145" s="101"/>
      <c r="S145" s="72"/>
      <c r="T145" s="120">
        <v>7</v>
      </c>
      <c r="U145" s="72"/>
      <c r="V145" s="121" t="str">
        <f>IF(ISBLANK(F145),"",MAX(V$138:V144)+1)</f>
        <v/>
      </c>
      <c r="W145" s="383" t="str">
        <f t="shared" si="2"/>
        <v>n.a.</v>
      </c>
    </row>
    <row r="146" spans="1:23" ht="12.75" customHeight="1" x14ac:dyDescent="0.2">
      <c r="A146" s="72"/>
      <c r="B146" s="417"/>
      <c r="C146" s="417"/>
      <c r="D146" s="417"/>
      <c r="E146" s="434" t="s">
        <v>460</v>
      </c>
      <c r="F146" s="870"/>
      <c r="G146" s="972"/>
      <c r="H146" s="205"/>
      <c r="I146" s="817"/>
      <c r="J146" s="817"/>
      <c r="K146" s="817"/>
      <c r="L146" s="199"/>
      <c r="M146" s="817"/>
      <c r="N146" s="817"/>
      <c r="O146" s="322"/>
      <c r="P146" s="72"/>
      <c r="Q146" s="116"/>
      <c r="R146" s="101"/>
      <c r="S146" s="72"/>
      <c r="T146" s="120">
        <v>8</v>
      </c>
      <c r="U146" s="72"/>
      <c r="V146" s="121" t="str">
        <f>IF(ISBLANK(F146),"",MAX(V$138:V145)+1)</f>
        <v/>
      </c>
      <c r="W146" s="383" t="str">
        <f t="shared" si="2"/>
        <v>n.a.</v>
      </c>
    </row>
    <row r="147" spans="1:23" ht="12.75" customHeight="1" x14ac:dyDescent="0.2">
      <c r="A147" s="72"/>
      <c r="B147" s="417"/>
      <c r="C147" s="417"/>
      <c r="D147" s="417"/>
      <c r="E147" s="434" t="s">
        <v>461</v>
      </c>
      <c r="F147" s="870"/>
      <c r="G147" s="972"/>
      <c r="H147" s="205"/>
      <c r="I147" s="817"/>
      <c r="J147" s="817"/>
      <c r="K147" s="817"/>
      <c r="L147" s="199"/>
      <c r="M147" s="817"/>
      <c r="N147" s="817"/>
      <c r="O147" s="322"/>
      <c r="P147" s="72"/>
      <c r="Q147" s="116"/>
      <c r="R147" s="101"/>
      <c r="S147" s="72"/>
      <c r="T147" s="120">
        <v>9</v>
      </c>
      <c r="U147" s="72"/>
      <c r="V147" s="121" t="str">
        <f>IF(ISBLANK(F147),"",MAX(V$138:V146)+1)</f>
        <v/>
      </c>
      <c r="W147" s="383" t="str">
        <f t="shared" si="2"/>
        <v>n.a.</v>
      </c>
    </row>
    <row r="148" spans="1:23" ht="12.75" customHeight="1" x14ac:dyDescent="0.2">
      <c r="A148" s="72"/>
      <c r="B148" s="417"/>
      <c r="C148" s="417"/>
      <c r="D148" s="417"/>
      <c r="E148" s="434" t="s">
        <v>462</v>
      </c>
      <c r="F148" s="870"/>
      <c r="G148" s="972"/>
      <c r="H148" s="205"/>
      <c r="I148" s="817"/>
      <c r="J148" s="817"/>
      <c r="K148" s="817"/>
      <c r="L148" s="199"/>
      <c r="M148" s="817"/>
      <c r="N148" s="817"/>
      <c r="O148" s="322"/>
      <c r="P148" s="72"/>
      <c r="Q148" s="116"/>
      <c r="R148" s="101"/>
      <c r="S148" s="72"/>
      <c r="T148" s="120">
        <v>10</v>
      </c>
      <c r="U148" s="72"/>
      <c r="V148" s="121" t="str">
        <f>IF(ISBLANK(F148),"",MAX(V$138:V147)+1)</f>
        <v/>
      </c>
      <c r="W148" s="383" t="str">
        <f t="shared" si="2"/>
        <v>n.a.</v>
      </c>
    </row>
    <row r="149" spans="1:23" ht="12.75" customHeight="1" x14ac:dyDescent="0.2">
      <c r="A149" s="72"/>
      <c r="B149" s="417"/>
      <c r="C149" s="417"/>
      <c r="D149" s="417"/>
      <c r="E149" s="434" t="s">
        <v>463</v>
      </c>
      <c r="F149" s="870"/>
      <c r="G149" s="972"/>
      <c r="H149" s="205"/>
      <c r="I149" s="817"/>
      <c r="J149" s="817"/>
      <c r="K149" s="817"/>
      <c r="L149" s="199"/>
      <c r="M149" s="817"/>
      <c r="N149" s="817"/>
      <c r="O149" s="322"/>
      <c r="P149" s="72"/>
      <c r="Q149" s="116"/>
      <c r="R149" s="101"/>
      <c r="S149" s="72"/>
      <c r="T149" s="120">
        <v>11</v>
      </c>
      <c r="U149" s="72"/>
      <c r="V149" s="121" t="str">
        <f>IF(ISBLANK(F149),"",MAX(V$138:V148)+1)</f>
        <v/>
      </c>
      <c r="W149" s="383" t="str">
        <f t="shared" si="2"/>
        <v>n.a.</v>
      </c>
    </row>
    <row r="150" spans="1:23" ht="12.75" customHeight="1" x14ac:dyDescent="0.2">
      <c r="A150" s="72"/>
      <c r="B150" s="417"/>
      <c r="C150" s="417"/>
      <c r="D150" s="417"/>
      <c r="E150" s="434" t="s">
        <v>464</v>
      </c>
      <c r="F150" s="870"/>
      <c r="G150" s="972"/>
      <c r="H150" s="205"/>
      <c r="I150" s="817"/>
      <c r="J150" s="817"/>
      <c r="K150" s="817"/>
      <c r="L150" s="199"/>
      <c r="M150" s="817"/>
      <c r="N150" s="817"/>
      <c r="O150" s="322"/>
      <c r="P150" s="72"/>
      <c r="Q150" s="116"/>
      <c r="R150" s="101"/>
      <c r="S150" s="72"/>
      <c r="T150" s="120">
        <v>12</v>
      </c>
      <c r="U150" s="72"/>
      <c r="V150" s="121" t="str">
        <f>IF(ISBLANK(F150),"",MAX(V$138:V149)+1)</f>
        <v/>
      </c>
      <c r="W150" s="383" t="str">
        <f t="shared" si="2"/>
        <v>n.a.</v>
      </c>
    </row>
    <row r="151" spans="1:23" ht="12.75" customHeight="1" x14ac:dyDescent="0.2">
      <c r="A151" s="72"/>
      <c r="B151" s="417"/>
      <c r="C151" s="417"/>
      <c r="D151" s="417"/>
      <c r="E151" s="434" t="s">
        <v>465</v>
      </c>
      <c r="F151" s="870"/>
      <c r="G151" s="972"/>
      <c r="H151" s="205"/>
      <c r="I151" s="817"/>
      <c r="J151" s="817"/>
      <c r="K151" s="817"/>
      <c r="L151" s="199"/>
      <c r="M151" s="817"/>
      <c r="N151" s="817"/>
      <c r="O151" s="322"/>
      <c r="P151" s="72"/>
      <c r="Q151" s="116"/>
      <c r="R151" s="101"/>
      <c r="S151" s="72"/>
      <c r="T151" s="120">
        <v>13</v>
      </c>
      <c r="U151" s="72"/>
      <c r="V151" s="121" t="str">
        <f>IF(ISBLANK(F151),"",MAX(V$138:V150)+1)</f>
        <v/>
      </c>
      <c r="W151" s="383" t="str">
        <f t="shared" si="2"/>
        <v>n.a.</v>
      </c>
    </row>
    <row r="152" spans="1:23" ht="12.75" customHeight="1" x14ac:dyDescent="0.2">
      <c r="A152" s="72"/>
      <c r="B152" s="417"/>
      <c r="C152" s="417"/>
      <c r="D152" s="417"/>
      <c r="E152" s="434" t="s">
        <v>466</v>
      </c>
      <c r="F152" s="870"/>
      <c r="G152" s="972"/>
      <c r="H152" s="205"/>
      <c r="I152" s="817"/>
      <c r="J152" s="817"/>
      <c r="K152" s="817"/>
      <c r="L152" s="199"/>
      <c r="M152" s="817"/>
      <c r="N152" s="817"/>
      <c r="O152" s="322"/>
      <c r="P152" s="72"/>
      <c r="Q152" s="116"/>
      <c r="R152" s="101"/>
      <c r="S152" s="72"/>
      <c r="T152" s="120">
        <v>14</v>
      </c>
      <c r="U152" s="72"/>
      <c r="V152" s="121" t="str">
        <f>IF(ISBLANK(F152),"",MAX(V$138:V151)+1)</f>
        <v/>
      </c>
      <c r="W152" s="383" t="str">
        <f t="shared" si="2"/>
        <v>n.a.</v>
      </c>
    </row>
    <row r="153" spans="1:23" ht="12.75" customHeight="1" x14ac:dyDescent="0.2">
      <c r="A153" s="72"/>
      <c r="B153" s="417"/>
      <c r="C153" s="417"/>
      <c r="D153" s="417"/>
      <c r="E153" s="434" t="s">
        <v>467</v>
      </c>
      <c r="F153" s="870"/>
      <c r="G153" s="972"/>
      <c r="H153" s="205"/>
      <c r="I153" s="817"/>
      <c r="J153" s="817"/>
      <c r="K153" s="817"/>
      <c r="L153" s="199"/>
      <c r="M153" s="817"/>
      <c r="N153" s="817"/>
      <c r="O153" s="322"/>
      <c r="P153" s="72"/>
      <c r="Q153" s="116"/>
      <c r="R153" s="101"/>
      <c r="S153" s="72"/>
      <c r="T153" s="120">
        <v>15</v>
      </c>
      <c r="U153" s="72"/>
      <c r="V153" s="256" t="str">
        <f>IF(ISBLANK(F153),"",MAX(V$138:V152)+1)</f>
        <v/>
      </c>
      <c r="W153" s="386" t="str">
        <f t="shared" si="2"/>
        <v>n.a.</v>
      </c>
    </row>
    <row r="154" spans="1:23" ht="12.75" hidden="1" customHeight="1" thickBot="1" x14ac:dyDescent="0.25">
      <c r="A154" s="17" t="s">
        <v>1090</v>
      </c>
      <c r="B154" s="417"/>
      <c r="C154" s="417"/>
      <c r="D154" s="417"/>
      <c r="E154" s="435"/>
      <c r="F154" s="870"/>
      <c r="G154" s="972"/>
      <c r="H154" s="205"/>
      <c r="I154" s="817"/>
      <c r="J154" s="817"/>
      <c r="K154" s="817"/>
      <c r="L154" s="199"/>
      <c r="M154" s="817"/>
      <c r="N154" s="817"/>
      <c r="O154" s="322"/>
      <c r="P154" s="72"/>
      <c r="Q154" s="116"/>
      <c r="R154" s="101"/>
      <c r="S154" s="72"/>
      <c r="T154" s="120"/>
      <c r="U154" s="72"/>
      <c r="V154" s="121" t="str">
        <f>IF(ISBLANK(F154),"",MAX(V$138:V153)+1)</f>
        <v/>
      </c>
      <c r="W154" s="387" t="str">
        <f t="shared" si="2"/>
        <v>n.a.</v>
      </c>
    </row>
    <row r="155" spans="1:23" ht="12.75" customHeight="1" x14ac:dyDescent="0.2">
      <c r="A155" s="17" t="s">
        <v>3</v>
      </c>
      <c r="B155" s="417"/>
      <c r="C155" s="417"/>
      <c r="D155" s="417"/>
      <c r="E155" s="417"/>
      <c r="F155" s="417"/>
      <c r="G155" s="417"/>
      <c r="H155" s="417"/>
      <c r="I155" s="417"/>
      <c r="J155" s="417"/>
      <c r="K155" s="417"/>
      <c r="L155" s="417"/>
      <c r="M155" s="417"/>
      <c r="N155" s="417"/>
      <c r="O155" s="322"/>
      <c r="P155" s="72"/>
      <c r="Q155" s="72"/>
      <c r="R155" s="72"/>
      <c r="S155" s="72"/>
      <c r="T155" s="72"/>
      <c r="U155" s="72"/>
      <c r="V155" s="72"/>
      <c r="W155" s="72"/>
    </row>
    <row r="156" spans="1:23" ht="5.0999999999999996" customHeight="1" x14ac:dyDescent="0.2">
      <c r="A156" s="17"/>
      <c r="B156" s="417"/>
      <c r="C156" s="430"/>
      <c r="D156" s="14"/>
      <c r="E156" s="417"/>
      <c r="F156" s="417"/>
      <c r="G156" s="1025" t="str">
        <f>Translations!$B$400</f>
        <v>Click "+" to add more methods &amp; laboratories</v>
      </c>
      <c r="H156" s="1026"/>
      <c r="I156" s="1026"/>
      <c r="J156" s="1026"/>
      <c r="K156" s="1027"/>
      <c r="L156" s="417"/>
      <c r="M156" s="322"/>
      <c r="N156" s="417"/>
      <c r="O156" s="322"/>
      <c r="P156" s="72"/>
      <c r="Q156" s="72"/>
      <c r="R156" s="72"/>
      <c r="S156" s="72"/>
      <c r="T156" s="72"/>
      <c r="U156" s="102"/>
      <c r="V156" s="72"/>
      <c r="W156" s="72"/>
    </row>
    <row r="157" spans="1:23" ht="12.75" customHeight="1" x14ac:dyDescent="0.2">
      <c r="A157" s="17"/>
      <c r="B157" s="417"/>
      <c r="C157" s="430"/>
      <c r="D157" s="14"/>
      <c r="E157" s="417"/>
      <c r="F157" s="417"/>
      <c r="G157" s="1028"/>
      <c r="H157" s="1029"/>
      <c r="I157" s="1029"/>
      <c r="J157" s="1029"/>
      <c r="K157" s="854"/>
      <c r="L157" s="417"/>
      <c r="M157" s="322"/>
      <c r="N157" s="417"/>
      <c r="O157" s="322"/>
      <c r="P157" s="72"/>
      <c r="Q157" s="72"/>
      <c r="R157" s="72"/>
      <c r="S157" s="72"/>
      <c r="T157" s="72"/>
      <c r="U157" s="102"/>
      <c r="V157" s="72"/>
      <c r="W157" s="72"/>
    </row>
    <row r="158" spans="1:23" ht="5.0999999999999996" customHeight="1" x14ac:dyDescent="0.2">
      <c r="A158" s="17"/>
      <c r="B158" s="417"/>
      <c r="C158" s="430"/>
      <c r="D158" s="14"/>
      <c r="E158" s="417"/>
      <c r="F158" s="417"/>
      <c r="G158" s="1030"/>
      <c r="H158" s="1031"/>
      <c r="I158" s="1031"/>
      <c r="J158" s="1031"/>
      <c r="K158" s="1032"/>
      <c r="L158" s="417"/>
      <c r="M158" s="322"/>
      <c r="N158" s="417"/>
      <c r="O158" s="322"/>
      <c r="P158" s="72"/>
      <c r="Q158" s="72"/>
      <c r="R158" s="72"/>
      <c r="S158" s="72"/>
      <c r="T158" s="72"/>
      <c r="U158" s="102"/>
      <c r="V158" s="72"/>
      <c r="W158" s="72"/>
    </row>
    <row r="159" spans="1:23" ht="12.75" customHeight="1" x14ac:dyDescent="0.2">
      <c r="A159" s="17"/>
      <c r="B159" s="417"/>
      <c r="C159" s="417"/>
      <c r="D159" s="417"/>
      <c r="E159" s="417"/>
      <c r="F159" s="417"/>
      <c r="G159" s="417"/>
      <c r="H159" s="417"/>
      <c r="I159" s="417"/>
      <c r="J159" s="417"/>
      <c r="K159" s="417"/>
      <c r="L159" s="417"/>
      <c r="M159" s="417"/>
      <c r="N159" s="417"/>
      <c r="O159" s="322"/>
      <c r="P159" s="72"/>
      <c r="Q159" s="72"/>
      <c r="R159" s="72"/>
      <c r="S159" s="72"/>
      <c r="T159" s="72"/>
      <c r="U159" s="72"/>
      <c r="V159" s="72"/>
      <c r="W159" s="72"/>
    </row>
    <row r="160" spans="1:23" ht="12.75" customHeight="1" x14ac:dyDescent="0.2">
      <c r="A160" s="72"/>
      <c r="B160" s="417"/>
      <c r="C160" s="417"/>
      <c r="D160" s="337" t="s">
        <v>1019</v>
      </c>
      <c r="E160" s="717" t="str">
        <f>Translations!$B$401</f>
        <v>Description of the written procedures for analyses:</v>
      </c>
      <c r="F160" s="732"/>
      <c r="G160" s="732"/>
      <c r="H160" s="732"/>
      <c r="I160" s="732"/>
      <c r="J160" s="732"/>
      <c r="K160" s="732"/>
      <c r="L160" s="732"/>
      <c r="M160" s="732"/>
      <c r="N160" s="732"/>
      <c r="O160" s="322"/>
      <c r="P160" s="72"/>
      <c r="Q160" s="72"/>
      <c r="R160" s="72"/>
      <c r="S160" s="72"/>
      <c r="T160" s="72"/>
      <c r="U160" s="72"/>
      <c r="V160" s="72"/>
      <c r="W160" s="72"/>
    </row>
    <row r="161" spans="1:23" ht="12.75" customHeight="1" x14ac:dyDescent="0.2">
      <c r="A161" s="72"/>
      <c r="B161" s="417"/>
      <c r="C161" s="417"/>
      <c r="D161" s="337"/>
      <c r="E161" s="869" t="str">
        <f>Translations!$B$402</f>
        <v>Please provide details about the written procedures for the analyses listed above in table 7(e). The description should cover the essential parameters and operations performed.</v>
      </c>
      <c r="F161" s="869"/>
      <c r="G161" s="869"/>
      <c r="H161" s="869"/>
      <c r="I161" s="869"/>
      <c r="J161" s="869"/>
      <c r="K161" s="869"/>
      <c r="L161" s="869"/>
      <c r="M161" s="869"/>
      <c r="N161" s="869"/>
      <c r="O161" s="322"/>
      <c r="P161" s="72"/>
      <c r="Q161" s="72"/>
      <c r="R161" s="72"/>
      <c r="S161" s="72"/>
      <c r="T161" s="72"/>
      <c r="U161" s="72"/>
      <c r="V161" s="72"/>
      <c r="W161" s="72"/>
    </row>
    <row r="162" spans="1:23" ht="25.5" customHeight="1" x14ac:dyDescent="0.2">
      <c r="A162" s="72"/>
      <c r="B162" s="417"/>
      <c r="C162" s="417"/>
      <c r="D162" s="417"/>
      <c r="E162" s="869" t="str">
        <f>Translations!$B$403</f>
        <v>Where a number of procedures are used for a similar purpose but for different source streams or parameters, please provide details of an overarching procedure which covers the common elements and quality assurance of the applied methods.</v>
      </c>
      <c r="F162" s="869"/>
      <c r="G162" s="869"/>
      <c r="H162" s="869"/>
      <c r="I162" s="869"/>
      <c r="J162" s="869"/>
      <c r="K162" s="869"/>
      <c r="L162" s="869"/>
      <c r="M162" s="869"/>
      <c r="N162" s="869"/>
      <c r="O162" s="322"/>
      <c r="P162" s="72"/>
      <c r="Q162" s="72"/>
      <c r="R162" s="72"/>
      <c r="S162" s="72"/>
      <c r="T162" s="72"/>
      <c r="U162" s="72"/>
      <c r="V162" s="72"/>
      <c r="W162" s="72"/>
    </row>
    <row r="163" spans="1:23" ht="25.5" customHeight="1" x14ac:dyDescent="0.2">
      <c r="A163" s="72"/>
      <c r="B163" s="417"/>
      <c r="C163" s="417"/>
      <c r="D163" s="417"/>
      <c r="E163" s="827" t="str">
        <f>Translations!$B$404</f>
        <v>You may then either give here references to individual "sub-procedures", or you may provide details of each relevant procedure separately. For the latter, please use the "add procedure" button at the end of this sheet. However, please ensure that clear reference to the appropriate (sub-)procedure can be given in section 8, table g.</v>
      </c>
      <c r="F163" s="827"/>
      <c r="G163" s="827"/>
      <c r="H163" s="827"/>
      <c r="I163" s="827"/>
      <c r="J163" s="827"/>
      <c r="K163" s="827"/>
      <c r="L163" s="827"/>
      <c r="M163" s="827"/>
      <c r="N163" s="827"/>
      <c r="O163" s="322"/>
      <c r="P163" s="72"/>
      <c r="Q163" s="72"/>
      <c r="R163" s="72"/>
      <c r="S163" s="72"/>
      <c r="T163" s="72"/>
      <c r="U163" s="72"/>
      <c r="V163" s="72"/>
      <c r="W163" s="72"/>
    </row>
    <row r="164" spans="1:23" ht="12.75" customHeight="1" x14ac:dyDescent="0.2">
      <c r="A164" s="72"/>
      <c r="B164" s="417"/>
      <c r="C164" s="430"/>
      <c r="D164" s="14"/>
      <c r="E164" s="798" t="str">
        <f>Translations!$B$135</f>
        <v>For showing/hiding examples, press the "Examples" button in the navigation area.</v>
      </c>
      <c r="F164" s="917"/>
      <c r="G164" s="917"/>
      <c r="H164" s="917"/>
      <c r="I164" s="917"/>
      <c r="J164" s="917"/>
      <c r="K164" s="917"/>
      <c r="L164" s="917"/>
      <c r="M164" s="917"/>
      <c r="N164" s="917"/>
      <c r="O164" s="322"/>
      <c r="P164" s="72"/>
      <c r="Q164" s="72"/>
      <c r="R164" s="72"/>
      <c r="S164" s="72"/>
      <c r="T164" s="72"/>
      <c r="U164" s="72"/>
      <c r="V164" s="72"/>
      <c r="W164" s="72"/>
    </row>
    <row r="165" spans="1:23" ht="5.0999999999999996" customHeight="1" x14ac:dyDescent="0.2">
      <c r="A165" s="72"/>
      <c r="B165" s="417"/>
      <c r="C165" s="417"/>
      <c r="D165" s="417"/>
      <c r="E165" s="124"/>
      <c r="F165" s="436"/>
      <c r="G165" s="437"/>
      <c r="H165" s="437"/>
      <c r="I165" s="437"/>
      <c r="J165" s="437"/>
      <c r="K165" s="437"/>
      <c r="L165" s="437"/>
      <c r="M165" s="417"/>
      <c r="N165" s="417"/>
      <c r="O165" s="322"/>
      <c r="P165" s="72"/>
      <c r="Q165" s="72"/>
      <c r="R165" s="72"/>
      <c r="S165" s="72"/>
      <c r="T165" s="72"/>
      <c r="U165" s="72"/>
      <c r="V165" s="72"/>
      <c r="W165" s="72"/>
    </row>
    <row r="166" spans="1:23" ht="12.75" customHeight="1" x14ac:dyDescent="0.2">
      <c r="A166" s="17" t="s">
        <v>1373</v>
      </c>
      <c r="B166" s="417"/>
      <c r="C166" s="417"/>
      <c r="D166" s="417"/>
      <c r="E166" s="950" t="str">
        <f>Translations!$B$405</f>
        <v>Title of procedure</v>
      </c>
      <c r="F166" s="951"/>
      <c r="G166" s="888" t="str">
        <f>Translations!$B$406</f>
        <v>Analysis of NCV of solid and liquid fuels.</v>
      </c>
      <c r="H166" s="931"/>
      <c r="I166" s="931"/>
      <c r="J166" s="931"/>
      <c r="K166" s="931"/>
      <c r="L166" s="931"/>
      <c r="M166" s="931"/>
      <c r="N166" s="932"/>
      <c r="O166" s="322"/>
      <c r="P166" s="91"/>
      <c r="Q166" s="72"/>
      <c r="R166" s="72"/>
      <c r="S166" s="72"/>
      <c r="T166" s="72"/>
      <c r="U166" s="72"/>
      <c r="V166" s="72"/>
      <c r="W166" s="72"/>
    </row>
    <row r="167" spans="1:23" ht="12.75" customHeight="1" x14ac:dyDescent="0.2">
      <c r="A167" s="17" t="s">
        <v>1373</v>
      </c>
      <c r="B167" s="417"/>
      <c r="C167" s="417"/>
      <c r="D167" s="417"/>
      <c r="E167" s="950" t="str">
        <f>Translations!$B$407</f>
        <v>Reference for procedure</v>
      </c>
      <c r="F167" s="951"/>
      <c r="G167" s="888" t="str">
        <f>Translations!$B$408</f>
        <v>Solid fuels: ANA 1-1/UBA; Liquid fuels: ANA 1-2/UBA;  Comparison by external (accredited) laboratory: ANA 1-3/ext</v>
      </c>
      <c r="H167" s="931"/>
      <c r="I167" s="931"/>
      <c r="J167" s="931"/>
      <c r="K167" s="931"/>
      <c r="L167" s="931"/>
      <c r="M167" s="931"/>
      <c r="N167" s="932"/>
      <c r="O167" s="322"/>
      <c r="P167" s="72"/>
      <c r="Q167" s="72"/>
      <c r="R167" s="72"/>
      <c r="S167" s="72"/>
      <c r="T167" s="72"/>
      <c r="U167" s="72"/>
      <c r="V167" s="72"/>
      <c r="W167" s="72"/>
    </row>
    <row r="168" spans="1:23" ht="25.5" customHeight="1" x14ac:dyDescent="0.2">
      <c r="A168" s="17" t="s">
        <v>1373</v>
      </c>
      <c r="B168" s="417"/>
      <c r="C168" s="417"/>
      <c r="D168" s="417"/>
      <c r="E168" s="950" t="str">
        <f>Translations!$B$409</f>
        <v>Diagram reference (where applicable)</v>
      </c>
      <c r="F168" s="951"/>
      <c r="G168" s="888" t="str">
        <f>Translations!$B$410</f>
        <v>N.A.</v>
      </c>
      <c r="H168" s="931"/>
      <c r="I168" s="931"/>
      <c r="J168" s="931"/>
      <c r="K168" s="931"/>
      <c r="L168" s="931"/>
      <c r="M168" s="931"/>
      <c r="N168" s="932"/>
      <c r="O168" s="322"/>
      <c r="P168" s="72"/>
      <c r="Q168" s="72"/>
      <c r="R168" s="72"/>
      <c r="S168" s="72"/>
      <c r="T168" s="72"/>
      <c r="U168" s="72"/>
      <c r="V168" s="72"/>
      <c r="W168" s="72"/>
    </row>
    <row r="169" spans="1:23" ht="25.5" customHeight="1" x14ac:dyDescent="0.2">
      <c r="A169" s="17" t="s">
        <v>1373</v>
      </c>
      <c r="B169" s="417"/>
      <c r="C169" s="417"/>
      <c r="D169" s="417"/>
      <c r="E169" s="952" t="str">
        <f>Translations!$B$411</f>
        <v xml:space="preserve">Brief description of procedure    </v>
      </c>
      <c r="F169" s="953"/>
      <c r="G169" s="1011" t="str">
        <f>Translations!$B$412</f>
        <v>Bomb calorimeter method is used. Appropriate amount of sample is based on experience from earlier measurements of similar materials.
Samples are used in dry state (dried at 120°C for at least 6h). NCV is corrected for moisture content by calculation.</v>
      </c>
      <c r="H169" s="1012"/>
      <c r="I169" s="1012"/>
      <c r="J169" s="1012"/>
      <c r="K169" s="1012"/>
      <c r="L169" s="1012"/>
      <c r="M169" s="1012"/>
      <c r="N169" s="1013"/>
      <c r="O169" s="322"/>
      <c r="P169" s="72"/>
      <c r="Q169" s="72"/>
      <c r="R169" s="72"/>
      <c r="S169" s="72"/>
      <c r="T169" s="72"/>
      <c r="U169" s="72"/>
      <c r="V169" s="72"/>
      <c r="W169" s="72"/>
    </row>
    <row r="170" spans="1:23" ht="12.75" customHeight="1" x14ac:dyDescent="0.2">
      <c r="A170" s="17" t="s">
        <v>1373</v>
      </c>
      <c r="B170" s="417"/>
      <c r="C170" s="417"/>
      <c r="D170" s="417"/>
      <c r="E170" s="590"/>
      <c r="F170" s="591"/>
      <c r="G170" s="1014" t="str">
        <f>Translations!$B$413</f>
        <v>Solid fuels: as in standard. Liquid fuels: Only slightly adapted from standard; samples are not dried.</v>
      </c>
      <c r="H170" s="822"/>
      <c r="I170" s="822"/>
      <c r="J170" s="822"/>
      <c r="K170" s="822"/>
      <c r="L170" s="822"/>
      <c r="M170" s="822"/>
      <c r="N170" s="1015"/>
      <c r="O170" s="322"/>
      <c r="P170" s="72"/>
      <c r="Q170" s="72"/>
      <c r="R170" s="72"/>
      <c r="S170" s="72"/>
      <c r="T170" s="72"/>
      <c r="U170" s="72"/>
      <c r="V170" s="72"/>
      <c r="W170" s="72"/>
    </row>
    <row r="171" spans="1:23" ht="12.75" customHeight="1" x14ac:dyDescent="0.2">
      <c r="A171" s="17" t="s">
        <v>1373</v>
      </c>
      <c r="B171" s="417"/>
      <c r="C171" s="417"/>
      <c r="D171" s="417"/>
      <c r="E171" s="592"/>
      <c r="F171" s="593"/>
      <c r="G171" s="977"/>
      <c r="H171" s="978"/>
      <c r="I171" s="978"/>
      <c r="J171" s="978"/>
      <c r="K171" s="978"/>
      <c r="L171" s="978"/>
      <c r="M171" s="978"/>
      <c r="N171" s="979"/>
      <c r="O171" s="322"/>
      <c r="P171" s="72"/>
      <c r="Q171" s="72"/>
      <c r="R171" s="72"/>
      <c r="S171" s="72"/>
      <c r="T171" s="72"/>
      <c r="U171" s="72"/>
      <c r="V171" s="72"/>
      <c r="W171" s="72"/>
    </row>
    <row r="172" spans="1:23" ht="25.5" customHeight="1" x14ac:dyDescent="0.2">
      <c r="A172" s="17" t="s">
        <v>1373</v>
      </c>
      <c r="B172" s="417"/>
      <c r="C172" s="417"/>
      <c r="D172" s="417"/>
      <c r="E172" s="950" t="str">
        <f>Translations!$B$414</f>
        <v>Post or department responsible for the procedure and for any data generated</v>
      </c>
      <c r="F172" s="951"/>
      <c r="G172" s="888" t="str">
        <f>Translations!$B$415</f>
        <v>Company's Laboratory - Head of department. Deputy: HSEQ manager.</v>
      </c>
      <c r="H172" s="931"/>
      <c r="I172" s="931"/>
      <c r="J172" s="931"/>
      <c r="K172" s="931"/>
      <c r="L172" s="931"/>
      <c r="M172" s="931"/>
      <c r="N172" s="932"/>
      <c r="O172" s="322"/>
      <c r="P172" s="72"/>
      <c r="Q172" s="72"/>
      <c r="R172" s="72"/>
      <c r="S172" s="72"/>
      <c r="T172" s="72"/>
      <c r="U172" s="72"/>
      <c r="V172" s="72"/>
      <c r="W172" s="72"/>
    </row>
    <row r="173" spans="1:23" ht="25.5" customHeight="1" x14ac:dyDescent="0.2">
      <c r="A173" s="17" t="s">
        <v>1373</v>
      </c>
      <c r="B173" s="417"/>
      <c r="C173" s="417"/>
      <c r="D173" s="417"/>
      <c r="E173" s="950" t="str">
        <f>Translations!$B$416</f>
        <v>Location where records are kept</v>
      </c>
      <c r="F173" s="951"/>
      <c r="G173" s="888" t="str">
        <f>Translations!$B$417</f>
        <v xml:space="preserve">Hardcopy: Laboratory Office, shelf 27/9, Folder identified “ETS 01-ANA-yyyy” (where yyyy is the current year).
Electronically: “P:\ETS_MRV\labs\ETS_01-ANA-yyyy.xls”
</v>
      </c>
      <c r="H173" s="931"/>
      <c r="I173" s="931"/>
      <c r="J173" s="931"/>
      <c r="K173" s="931"/>
      <c r="L173" s="931"/>
      <c r="M173" s="931"/>
      <c r="N173" s="932"/>
      <c r="O173" s="322"/>
      <c r="P173" s="72"/>
      <c r="Q173" s="72"/>
      <c r="R173" s="72"/>
      <c r="S173" s="72"/>
      <c r="T173" s="72"/>
      <c r="U173" s="72"/>
      <c r="V173" s="72"/>
      <c r="W173" s="72"/>
    </row>
    <row r="174" spans="1:23" ht="25.5" customHeight="1" x14ac:dyDescent="0.2">
      <c r="A174" s="17" t="s">
        <v>1373</v>
      </c>
      <c r="B174" s="417"/>
      <c r="C174" s="417"/>
      <c r="D174" s="417"/>
      <c r="E174" s="950" t="str">
        <f>Translations!$B$418</f>
        <v>Name of IT system used (where applicable).</v>
      </c>
      <c r="F174" s="951"/>
      <c r="G174" s="888" t="str">
        <f>Translations!$B$419</f>
        <v>Internal log of the lab (MS Access database): sample numbers and origin/name of sample are tracked together with the results.</v>
      </c>
      <c r="H174" s="931"/>
      <c r="I174" s="931"/>
      <c r="J174" s="931"/>
      <c r="K174" s="931"/>
      <c r="L174" s="931"/>
      <c r="M174" s="931"/>
      <c r="N174" s="932"/>
      <c r="O174" s="322"/>
      <c r="P174" s="72"/>
      <c r="Q174" s="72"/>
      <c r="R174" s="72"/>
      <c r="S174" s="72"/>
      <c r="T174" s="72"/>
      <c r="U174" s="72"/>
      <c r="V174" s="72"/>
      <c r="W174" s="72"/>
    </row>
    <row r="175" spans="1:23" ht="25.5" customHeight="1" x14ac:dyDescent="0.2">
      <c r="A175" s="17" t="s">
        <v>1373</v>
      </c>
      <c r="B175" s="417"/>
      <c r="C175" s="417"/>
      <c r="D175" s="417"/>
      <c r="E175" s="950" t="str">
        <f>Translations!$B$420</f>
        <v>List of EN or other standards applied (where relevant)</v>
      </c>
      <c r="F175" s="951"/>
      <c r="G175" s="888" t="str">
        <f>Translations!$B$421</f>
        <v>EN 14918:2009 with modifications for using also for non-biomass and liquid fuels.</v>
      </c>
      <c r="H175" s="931"/>
      <c r="I175" s="931"/>
      <c r="J175" s="931"/>
      <c r="K175" s="931"/>
      <c r="L175" s="931"/>
      <c r="M175" s="931"/>
      <c r="N175" s="932"/>
      <c r="O175" s="322"/>
      <c r="P175" s="72"/>
      <c r="Q175" s="72"/>
      <c r="R175" s="72"/>
      <c r="S175" s="72"/>
      <c r="T175" s="72"/>
      <c r="U175" s="72"/>
      <c r="V175" s="72"/>
      <c r="W175" s="72"/>
    </row>
    <row r="176" spans="1:23" ht="12.75" customHeight="1" x14ac:dyDescent="0.2">
      <c r="A176" s="72"/>
      <c r="B176" s="417"/>
      <c r="C176" s="417"/>
      <c r="D176" s="417"/>
      <c r="E176" s="950" t="str">
        <f>Translations!$B$405</f>
        <v>Title of procedure</v>
      </c>
      <c r="F176" s="951"/>
      <c r="G176" s="902"/>
      <c r="H176" s="851"/>
      <c r="I176" s="851"/>
      <c r="J176" s="851"/>
      <c r="K176" s="851"/>
      <c r="L176" s="851"/>
      <c r="M176" s="851"/>
      <c r="N176" s="852"/>
      <c r="O176" s="322"/>
      <c r="P176" s="91"/>
      <c r="Q176" s="72"/>
      <c r="R176" s="72"/>
      <c r="S176" s="72"/>
      <c r="T176" s="72"/>
      <c r="U176" s="72"/>
      <c r="V176" s="72"/>
      <c r="W176" s="72"/>
    </row>
    <row r="177" spans="1:23" ht="12.75" customHeight="1" x14ac:dyDescent="0.2">
      <c r="A177" s="72"/>
      <c r="B177" s="417"/>
      <c r="C177" s="417"/>
      <c r="D177" s="417"/>
      <c r="E177" s="950" t="str">
        <f>Translations!$B$407</f>
        <v>Reference for procedure</v>
      </c>
      <c r="F177" s="951"/>
      <c r="G177" s="902"/>
      <c r="H177" s="851"/>
      <c r="I177" s="851"/>
      <c r="J177" s="851"/>
      <c r="K177" s="851"/>
      <c r="L177" s="851"/>
      <c r="M177" s="851"/>
      <c r="N177" s="852"/>
      <c r="O177" s="322"/>
      <c r="P177" s="72"/>
      <c r="Q177" s="72"/>
      <c r="R177" s="72"/>
      <c r="S177" s="72"/>
      <c r="T177" s="72"/>
      <c r="U177" s="72"/>
      <c r="V177" s="72"/>
      <c r="W177" s="72"/>
    </row>
    <row r="178" spans="1:23" ht="12.75" customHeight="1" x14ac:dyDescent="0.2">
      <c r="A178" s="72"/>
      <c r="B178" s="417"/>
      <c r="C178" s="417"/>
      <c r="D178" s="417"/>
      <c r="E178" s="950" t="str">
        <f>Translations!$B$409</f>
        <v>Diagram reference (where applicable)</v>
      </c>
      <c r="F178" s="951"/>
      <c r="G178" s="902"/>
      <c r="H178" s="851"/>
      <c r="I178" s="851"/>
      <c r="J178" s="851"/>
      <c r="K178" s="851"/>
      <c r="L178" s="851"/>
      <c r="M178" s="851"/>
      <c r="N178" s="852"/>
      <c r="O178" s="322"/>
      <c r="P178" s="72"/>
      <c r="Q178" s="72"/>
      <c r="R178" s="72"/>
      <c r="S178" s="72"/>
      <c r="T178" s="72"/>
      <c r="U178" s="72"/>
      <c r="V178" s="72"/>
      <c r="W178" s="72"/>
    </row>
    <row r="179" spans="1:23" ht="25.5" customHeight="1" x14ac:dyDescent="0.2">
      <c r="A179" s="72"/>
      <c r="B179" s="417"/>
      <c r="C179" s="417"/>
      <c r="D179" s="417"/>
      <c r="E179" s="952" t="str">
        <f>Translations!$B$411</f>
        <v xml:space="preserve">Brief description of procedure    </v>
      </c>
      <c r="F179" s="953"/>
      <c r="G179" s="954"/>
      <c r="H179" s="955"/>
      <c r="I179" s="955"/>
      <c r="J179" s="955"/>
      <c r="K179" s="955"/>
      <c r="L179" s="955"/>
      <c r="M179" s="955"/>
      <c r="N179" s="956"/>
      <c r="O179" s="322"/>
      <c r="P179" s="72"/>
      <c r="Q179" s="72"/>
      <c r="R179" s="72"/>
      <c r="S179" s="72"/>
      <c r="T179" s="72"/>
      <c r="U179" s="72"/>
      <c r="V179" s="72"/>
      <c r="W179" s="72"/>
    </row>
    <row r="180" spans="1:23" ht="25.5" customHeight="1" x14ac:dyDescent="0.2">
      <c r="A180" s="72"/>
      <c r="B180" s="417"/>
      <c r="C180" s="417"/>
      <c r="D180" s="417"/>
      <c r="E180" s="590"/>
      <c r="F180" s="591"/>
      <c r="G180" s="957"/>
      <c r="H180" s="958"/>
      <c r="I180" s="958"/>
      <c r="J180" s="958"/>
      <c r="K180" s="958"/>
      <c r="L180" s="958"/>
      <c r="M180" s="958"/>
      <c r="N180" s="959"/>
      <c r="O180" s="322"/>
      <c r="P180" s="72"/>
      <c r="Q180" s="72"/>
      <c r="R180" s="72"/>
      <c r="S180" s="72"/>
      <c r="T180" s="72"/>
      <c r="U180" s="72"/>
      <c r="V180" s="72"/>
      <c r="W180" s="72"/>
    </row>
    <row r="181" spans="1:23" ht="25.5" customHeight="1" x14ac:dyDescent="0.2">
      <c r="A181" s="72"/>
      <c r="B181" s="417"/>
      <c r="C181" s="417"/>
      <c r="D181" s="417"/>
      <c r="E181" s="592"/>
      <c r="F181" s="593"/>
      <c r="G181" s="960"/>
      <c r="H181" s="961"/>
      <c r="I181" s="961"/>
      <c r="J181" s="961"/>
      <c r="K181" s="961"/>
      <c r="L181" s="961"/>
      <c r="M181" s="961"/>
      <c r="N181" s="962"/>
      <c r="O181" s="322"/>
      <c r="P181" s="72"/>
      <c r="Q181" s="72"/>
      <c r="R181" s="72"/>
      <c r="S181" s="72"/>
      <c r="T181" s="72"/>
      <c r="U181" s="72"/>
      <c r="V181" s="72"/>
      <c r="W181" s="72"/>
    </row>
    <row r="182" spans="1:23" ht="25.5" customHeight="1" x14ac:dyDescent="0.2">
      <c r="A182" s="72"/>
      <c r="B182" s="417"/>
      <c r="C182" s="417"/>
      <c r="D182" s="417"/>
      <c r="E182" s="950" t="str">
        <f>Translations!$B$414</f>
        <v>Post or department responsible for the procedure and for any data generated</v>
      </c>
      <c r="F182" s="951"/>
      <c r="G182" s="902"/>
      <c r="H182" s="851"/>
      <c r="I182" s="851"/>
      <c r="J182" s="851"/>
      <c r="K182" s="851"/>
      <c r="L182" s="851"/>
      <c r="M182" s="851"/>
      <c r="N182" s="852"/>
      <c r="O182" s="322"/>
      <c r="P182" s="72"/>
      <c r="Q182" s="72"/>
      <c r="R182" s="72"/>
      <c r="S182" s="72"/>
      <c r="T182" s="72"/>
      <c r="U182" s="72"/>
      <c r="V182" s="72"/>
      <c r="W182" s="72"/>
    </row>
    <row r="183" spans="1:23" ht="12.75" customHeight="1" x14ac:dyDescent="0.2">
      <c r="A183" s="72"/>
      <c r="B183" s="417"/>
      <c r="C183" s="417"/>
      <c r="D183" s="417"/>
      <c r="E183" s="950" t="str">
        <f>Translations!$B$416</f>
        <v>Location where records are kept</v>
      </c>
      <c r="F183" s="951"/>
      <c r="G183" s="902"/>
      <c r="H183" s="851"/>
      <c r="I183" s="851"/>
      <c r="J183" s="851"/>
      <c r="K183" s="851"/>
      <c r="L183" s="851"/>
      <c r="M183" s="851"/>
      <c r="N183" s="852"/>
      <c r="O183" s="322"/>
      <c r="P183" s="72"/>
      <c r="Q183" s="72"/>
      <c r="R183" s="72"/>
      <c r="S183" s="72"/>
      <c r="T183" s="72"/>
      <c r="U183" s="72"/>
      <c r="V183" s="72"/>
      <c r="W183" s="72"/>
    </row>
    <row r="184" spans="1:23" ht="25.5" customHeight="1" x14ac:dyDescent="0.2">
      <c r="A184" s="72"/>
      <c r="B184" s="417"/>
      <c r="C184" s="417"/>
      <c r="D184" s="417"/>
      <c r="E184" s="950" t="str">
        <f>Translations!$B$418</f>
        <v>Name of IT system used (where applicable).</v>
      </c>
      <c r="F184" s="951"/>
      <c r="G184" s="902"/>
      <c r="H184" s="851"/>
      <c r="I184" s="851"/>
      <c r="J184" s="851"/>
      <c r="K184" s="851"/>
      <c r="L184" s="851"/>
      <c r="M184" s="851"/>
      <c r="N184" s="852"/>
      <c r="O184" s="322"/>
      <c r="P184" s="72"/>
      <c r="Q184" s="72"/>
      <c r="R184" s="72"/>
      <c r="S184" s="72"/>
      <c r="T184" s="72"/>
      <c r="U184" s="72"/>
      <c r="V184" s="72"/>
      <c r="W184" s="72"/>
    </row>
    <row r="185" spans="1:23" ht="25.5" customHeight="1" x14ac:dyDescent="0.2">
      <c r="A185" s="72"/>
      <c r="B185" s="417"/>
      <c r="C185" s="417"/>
      <c r="D185" s="417"/>
      <c r="E185" s="950" t="str">
        <f>Translations!$B$420</f>
        <v>List of EN or other standards applied (where relevant)</v>
      </c>
      <c r="F185" s="951"/>
      <c r="G185" s="902"/>
      <c r="H185" s="851"/>
      <c r="I185" s="851"/>
      <c r="J185" s="851"/>
      <c r="K185" s="851"/>
      <c r="L185" s="851"/>
      <c r="M185" s="851"/>
      <c r="N185" s="852"/>
      <c r="O185" s="322"/>
      <c r="P185" s="72"/>
      <c r="Q185" s="72"/>
      <c r="R185" s="72"/>
      <c r="S185" s="72"/>
      <c r="T185" s="72"/>
      <c r="U185" s="72"/>
      <c r="V185" s="72"/>
      <c r="W185" s="72"/>
    </row>
    <row r="186" spans="1:23" x14ac:dyDescent="0.2">
      <c r="A186" s="72"/>
      <c r="B186" s="417"/>
      <c r="C186" s="417"/>
      <c r="D186" s="417"/>
      <c r="E186" s="417"/>
      <c r="F186" s="417"/>
      <c r="G186" s="417"/>
      <c r="H186" s="417"/>
      <c r="I186" s="417"/>
      <c r="J186" s="417"/>
      <c r="K186" s="417"/>
      <c r="L186" s="417"/>
      <c r="M186" s="417"/>
      <c r="N186" s="417"/>
      <c r="O186" s="322"/>
      <c r="P186" s="72"/>
      <c r="Q186" s="72"/>
      <c r="R186" s="72"/>
      <c r="S186" s="72"/>
      <c r="T186" s="72"/>
      <c r="U186" s="72"/>
      <c r="V186" s="72"/>
      <c r="W186" s="72"/>
    </row>
    <row r="187" spans="1:23" ht="12.75" customHeight="1" x14ac:dyDescent="0.2">
      <c r="A187" s="72"/>
      <c r="B187" s="417"/>
      <c r="C187" s="417"/>
      <c r="D187" s="337" t="s">
        <v>1349</v>
      </c>
      <c r="E187" s="717" t="str">
        <f>Translations!$B$422</f>
        <v>Description of the procedure for the sampling plans for the analyses:</v>
      </c>
      <c r="F187" s="732"/>
      <c r="G187" s="732"/>
      <c r="H187" s="732"/>
      <c r="I187" s="732"/>
      <c r="J187" s="732"/>
      <c r="K187" s="732"/>
      <c r="L187" s="732"/>
      <c r="M187" s="732"/>
      <c r="N187" s="732"/>
      <c r="O187" s="322"/>
      <c r="P187" s="72"/>
      <c r="Q187" s="72"/>
      <c r="R187" s="72"/>
      <c r="S187" s="72"/>
      <c r="T187" s="72"/>
      <c r="U187" s="72"/>
      <c r="V187" s="72"/>
      <c r="W187" s="72"/>
    </row>
    <row r="188" spans="1:23" ht="25.5" customHeight="1" x14ac:dyDescent="0.2">
      <c r="A188" s="72"/>
      <c r="B188" s="417"/>
      <c r="C188" s="417"/>
      <c r="D188" s="417"/>
      <c r="E188" s="827" t="str">
        <f>Translations!$B$423</f>
        <v>The procedures below should cover the elements of a sampling plan as required by Article 33.  A copy of the procedure should be submitted to the competent authority with the monitoring plan.</v>
      </c>
      <c r="F188" s="827"/>
      <c r="G188" s="827"/>
      <c r="H188" s="827"/>
      <c r="I188" s="827"/>
      <c r="J188" s="827"/>
      <c r="K188" s="827"/>
      <c r="L188" s="827"/>
      <c r="M188" s="827"/>
      <c r="N188" s="827"/>
      <c r="O188" s="322"/>
      <c r="P188" s="72"/>
      <c r="Q188" s="72"/>
      <c r="R188" s="72"/>
      <c r="S188" s="72"/>
      <c r="T188" s="72"/>
      <c r="U188" s="72"/>
      <c r="V188" s="72"/>
      <c r="W188" s="72"/>
    </row>
    <row r="189" spans="1:23" ht="25.5" customHeight="1" x14ac:dyDescent="0.2">
      <c r="A189" s="72"/>
      <c r="B189" s="417"/>
      <c r="C189" s="417"/>
      <c r="D189" s="417"/>
      <c r="E189" s="827" t="str">
        <f>Translations!$B$403</f>
        <v>Where a number of procedures are used for a similar purpose but for different source streams or parameters, please provide details of an overarching procedure which covers the common elements and quality assurance of the applied methods.</v>
      </c>
      <c r="F189" s="827"/>
      <c r="G189" s="827"/>
      <c r="H189" s="827"/>
      <c r="I189" s="827"/>
      <c r="J189" s="827"/>
      <c r="K189" s="827"/>
      <c r="L189" s="827"/>
      <c r="M189" s="827"/>
      <c r="N189" s="827"/>
      <c r="O189" s="322"/>
      <c r="P189" s="72"/>
      <c r="Q189" s="72"/>
      <c r="R189" s="72"/>
      <c r="S189" s="72"/>
      <c r="T189" s="72"/>
      <c r="U189" s="72"/>
      <c r="V189" s="72"/>
      <c r="W189" s="72"/>
    </row>
    <row r="190" spans="1:23" ht="25.5" customHeight="1" x14ac:dyDescent="0.2">
      <c r="A190" s="72"/>
      <c r="B190" s="417"/>
      <c r="C190" s="417"/>
      <c r="D190" s="417"/>
      <c r="E190" s="827" t="str">
        <f>Translations!$B$404</f>
        <v>You may then either give here references to individual "sub-procedures", or you may provide details of each relevant procedure separately. For the latter, please use the "add procedure" button at the end of this sheet. However, please ensure that clear reference to the appropriate (sub-)procedure can be given in section 8, table g.</v>
      </c>
      <c r="F190" s="827"/>
      <c r="G190" s="827"/>
      <c r="H190" s="827"/>
      <c r="I190" s="827"/>
      <c r="J190" s="827"/>
      <c r="K190" s="827"/>
      <c r="L190" s="827"/>
      <c r="M190" s="827"/>
      <c r="N190" s="827"/>
      <c r="O190" s="322"/>
      <c r="P190" s="72"/>
      <c r="Q190" s="72"/>
      <c r="R190" s="72"/>
      <c r="S190" s="72"/>
      <c r="T190" s="72"/>
      <c r="U190" s="72"/>
      <c r="V190" s="72"/>
      <c r="W190" s="72"/>
    </row>
    <row r="191" spans="1:23" ht="5.0999999999999996" customHeight="1" x14ac:dyDescent="0.2">
      <c r="A191" s="72"/>
      <c r="B191" s="417"/>
      <c r="C191" s="417"/>
      <c r="D191" s="417"/>
      <c r="E191" s="124"/>
      <c r="F191" s="436"/>
      <c r="G191" s="436"/>
      <c r="H191" s="436"/>
      <c r="I191" s="436"/>
      <c r="J191" s="436"/>
      <c r="K191" s="436"/>
      <c r="L191" s="436"/>
      <c r="M191" s="417"/>
      <c r="N191" s="417"/>
      <c r="O191" s="322"/>
      <c r="P191" s="72"/>
      <c r="Q191" s="72"/>
      <c r="R191" s="72"/>
      <c r="S191" s="72"/>
      <c r="T191" s="72"/>
      <c r="U191" s="72"/>
      <c r="V191" s="72"/>
      <c r="W191" s="72"/>
    </row>
    <row r="192" spans="1:23" ht="12.75" customHeight="1" x14ac:dyDescent="0.2">
      <c r="A192" s="72"/>
      <c r="B192" s="417"/>
      <c r="C192" s="417"/>
      <c r="D192" s="417"/>
      <c r="E192" s="950" t="str">
        <f>Translations!$B$405</f>
        <v>Title of procedure</v>
      </c>
      <c r="F192" s="951"/>
      <c r="G192" s="902"/>
      <c r="H192" s="851"/>
      <c r="I192" s="851"/>
      <c r="J192" s="851"/>
      <c r="K192" s="851"/>
      <c r="L192" s="851"/>
      <c r="M192" s="851"/>
      <c r="N192" s="852"/>
      <c r="O192" s="322"/>
      <c r="P192" s="72"/>
      <c r="Q192" s="72"/>
      <c r="R192" s="72"/>
      <c r="S192" s="72"/>
      <c r="T192" s="72"/>
      <c r="U192" s="72"/>
      <c r="V192" s="72"/>
      <c r="W192" s="72"/>
    </row>
    <row r="193" spans="1:23" ht="12.75" customHeight="1" x14ac:dyDescent="0.2">
      <c r="A193" s="72"/>
      <c r="B193" s="417"/>
      <c r="C193" s="417"/>
      <c r="D193" s="417"/>
      <c r="E193" s="950" t="str">
        <f>Translations!$B$407</f>
        <v>Reference for procedure</v>
      </c>
      <c r="F193" s="951"/>
      <c r="G193" s="902"/>
      <c r="H193" s="851"/>
      <c r="I193" s="851"/>
      <c r="J193" s="851"/>
      <c r="K193" s="851"/>
      <c r="L193" s="851"/>
      <c r="M193" s="851"/>
      <c r="N193" s="852"/>
      <c r="O193" s="322"/>
      <c r="P193" s="72"/>
      <c r="Q193" s="72"/>
      <c r="R193" s="72"/>
      <c r="S193" s="72"/>
      <c r="T193" s="72"/>
      <c r="U193" s="72"/>
      <c r="V193" s="72"/>
      <c r="W193" s="72"/>
    </row>
    <row r="194" spans="1:23" ht="12.75" customHeight="1" x14ac:dyDescent="0.2">
      <c r="A194" s="72"/>
      <c r="B194" s="417"/>
      <c r="C194" s="417"/>
      <c r="D194" s="417"/>
      <c r="E194" s="950" t="str">
        <f>Translations!$B$409</f>
        <v>Diagram reference (where applicable)</v>
      </c>
      <c r="F194" s="951"/>
      <c r="G194" s="902"/>
      <c r="H194" s="851"/>
      <c r="I194" s="851"/>
      <c r="J194" s="851"/>
      <c r="K194" s="851"/>
      <c r="L194" s="851"/>
      <c r="M194" s="851"/>
      <c r="N194" s="852"/>
      <c r="O194" s="322"/>
      <c r="P194" s="72"/>
      <c r="Q194" s="72"/>
      <c r="R194" s="72"/>
      <c r="S194" s="72"/>
      <c r="T194" s="72"/>
      <c r="U194" s="72"/>
      <c r="V194" s="72"/>
      <c r="W194" s="72"/>
    </row>
    <row r="195" spans="1:23" ht="25.5" customHeight="1" x14ac:dyDescent="0.2">
      <c r="A195" s="72"/>
      <c r="B195" s="417"/>
      <c r="C195" s="417"/>
      <c r="D195" s="417"/>
      <c r="E195" s="952" t="str">
        <f>Translations!$B$411</f>
        <v xml:space="preserve">Brief description of procedure    </v>
      </c>
      <c r="F195" s="953"/>
      <c r="G195" s="954"/>
      <c r="H195" s="955"/>
      <c r="I195" s="955"/>
      <c r="J195" s="955"/>
      <c r="K195" s="955"/>
      <c r="L195" s="955"/>
      <c r="M195" s="955"/>
      <c r="N195" s="956"/>
      <c r="O195" s="322"/>
      <c r="P195" s="72"/>
      <c r="Q195" s="72"/>
      <c r="R195" s="72"/>
      <c r="S195" s="72"/>
      <c r="T195" s="72"/>
      <c r="U195" s="72"/>
      <c r="V195" s="72"/>
      <c r="W195" s="72"/>
    </row>
    <row r="196" spans="1:23" ht="25.5" customHeight="1" x14ac:dyDescent="0.2">
      <c r="A196" s="72"/>
      <c r="B196" s="417"/>
      <c r="C196" s="417"/>
      <c r="D196" s="417"/>
      <c r="E196" s="590"/>
      <c r="F196" s="591"/>
      <c r="G196" s="957"/>
      <c r="H196" s="958"/>
      <c r="I196" s="958"/>
      <c r="J196" s="958"/>
      <c r="K196" s="958"/>
      <c r="L196" s="958"/>
      <c r="M196" s="958"/>
      <c r="N196" s="959"/>
      <c r="O196" s="322"/>
      <c r="P196" s="72"/>
      <c r="Q196" s="72"/>
      <c r="R196" s="72"/>
      <c r="S196" s="72"/>
      <c r="T196" s="72"/>
      <c r="U196" s="72"/>
      <c r="V196" s="72"/>
      <c r="W196" s="72"/>
    </row>
    <row r="197" spans="1:23" ht="25.5" customHeight="1" x14ac:dyDescent="0.2">
      <c r="A197" s="72"/>
      <c r="B197" s="417"/>
      <c r="C197" s="417"/>
      <c r="D197" s="417"/>
      <c r="E197" s="592"/>
      <c r="F197" s="593"/>
      <c r="G197" s="960"/>
      <c r="H197" s="961"/>
      <c r="I197" s="961"/>
      <c r="J197" s="961"/>
      <c r="K197" s="961"/>
      <c r="L197" s="961"/>
      <c r="M197" s="961"/>
      <c r="N197" s="962"/>
      <c r="O197" s="322"/>
      <c r="P197" s="72"/>
      <c r="Q197" s="72"/>
      <c r="R197" s="72"/>
      <c r="S197" s="72"/>
      <c r="T197" s="72"/>
      <c r="U197" s="72"/>
      <c r="V197" s="72"/>
      <c r="W197" s="72"/>
    </row>
    <row r="198" spans="1:23" ht="25.5" customHeight="1" x14ac:dyDescent="0.2">
      <c r="A198" s="72"/>
      <c r="B198" s="417"/>
      <c r="C198" s="417"/>
      <c r="D198" s="417"/>
      <c r="E198" s="950" t="str">
        <f>Translations!$B$414</f>
        <v>Post or department responsible for the procedure and for any data generated</v>
      </c>
      <c r="F198" s="951"/>
      <c r="G198" s="902"/>
      <c r="H198" s="903"/>
      <c r="I198" s="903"/>
      <c r="J198" s="903"/>
      <c r="K198" s="903"/>
      <c r="L198" s="903"/>
      <c r="M198" s="903"/>
      <c r="N198" s="904"/>
      <c r="O198" s="322"/>
      <c r="P198" s="72"/>
      <c r="Q198" s="72"/>
      <c r="R198" s="72"/>
      <c r="S198" s="72"/>
      <c r="T198" s="72"/>
      <c r="U198" s="72"/>
      <c r="V198" s="72"/>
      <c r="W198" s="72"/>
    </row>
    <row r="199" spans="1:23" ht="12.75" customHeight="1" x14ac:dyDescent="0.2">
      <c r="A199" s="72"/>
      <c r="B199" s="417"/>
      <c r="C199" s="417"/>
      <c r="D199" s="417"/>
      <c r="E199" s="950" t="str">
        <f>Translations!$B$416</f>
        <v>Location where records are kept</v>
      </c>
      <c r="F199" s="951"/>
      <c r="G199" s="902"/>
      <c r="H199" s="851"/>
      <c r="I199" s="851"/>
      <c r="J199" s="851"/>
      <c r="K199" s="851"/>
      <c r="L199" s="851"/>
      <c r="M199" s="851"/>
      <c r="N199" s="852"/>
      <c r="O199" s="322"/>
      <c r="P199" s="72"/>
      <c r="Q199" s="72"/>
      <c r="R199" s="72"/>
      <c r="S199" s="72"/>
      <c r="T199" s="72"/>
      <c r="U199" s="72"/>
      <c r="V199" s="72"/>
      <c r="W199" s="72"/>
    </row>
    <row r="200" spans="1:23" ht="25.5" customHeight="1" x14ac:dyDescent="0.2">
      <c r="A200" s="72"/>
      <c r="B200" s="417"/>
      <c r="C200" s="417"/>
      <c r="D200" s="417"/>
      <c r="E200" s="950" t="str">
        <f>Translations!$B$418</f>
        <v>Name of IT system used (where applicable).</v>
      </c>
      <c r="F200" s="951"/>
      <c r="G200" s="902"/>
      <c r="H200" s="851"/>
      <c r="I200" s="851"/>
      <c r="J200" s="851"/>
      <c r="K200" s="851"/>
      <c r="L200" s="851"/>
      <c r="M200" s="851"/>
      <c r="N200" s="852"/>
      <c r="O200" s="322"/>
      <c r="P200" s="72"/>
      <c r="Q200" s="72"/>
      <c r="R200" s="72"/>
      <c r="S200" s="72"/>
      <c r="T200" s="72"/>
      <c r="U200" s="72"/>
      <c r="V200" s="72"/>
      <c r="W200" s="72"/>
    </row>
    <row r="201" spans="1:23" ht="25.5" customHeight="1" x14ac:dyDescent="0.2">
      <c r="A201" s="72"/>
      <c r="B201" s="417"/>
      <c r="C201" s="417"/>
      <c r="D201" s="417"/>
      <c r="E201" s="950" t="str">
        <f>Translations!$B$420</f>
        <v>List of EN or other standards applied (where relevant)</v>
      </c>
      <c r="F201" s="951"/>
      <c r="G201" s="902"/>
      <c r="H201" s="851"/>
      <c r="I201" s="851"/>
      <c r="J201" s="851"/>
      <c r="K201" s="851"/>
      <c r="L201" s="851"/>
      <c r="M201" s="851"/>
      <c r="N201" s="852"/>
      <c r="O201" s="322"/>
      <c r="P201" s="72"/>
      <c r="Q201" s="72"/>
      <c r="R201" s="72"/>
      <c r="S201" s="72"/>
      <c r="T201" s="72"/>
      <c r="U201" s="72"/>
      <c r="V201" s="72"/>
      <c r="W201" s="72"/>
    </row>
    <row r="202" spans="1:23" x14ac:dyDescent="0.2">
      <c r="A202" s="72"/>
      <c r="B202" s="417"/>
      <c r="C202" s="417"/>
      <c r="D202" s="417"/>
      <c r="E202" s="417"/>
      <c r="F202" s="417"/>
      <c r="G202" s="417"/>
      <c r="H202" s="417"/>
      <c r="I202" s="417"/>
      <c r="J202" s="417"/>
      <c r="K202" s="417"/>
      <c r="L202" s="417"/>
      <c r="M202" s="417"/>
      <c r="N202" s="417"/>
      <c r="O202" s="322"/>
      <c r="P202" s="72"/>
      <c r="Q202" s="72"/>
      <c r="R202" s="72"/>
      <c r="S202" s="72"/>
      <c r="T202" s="72"/>
      <c r="U202" s="72"/>
      <c r="V202" s="72"/>
      <c r="W202" s="72"/>
    </row>
    <row r="203" spans="1:23" ht="12.75" customHeight="1" x14ac:dyDescent="0.2">
      <c r="A203" s="72"/>
      <c r="B203" s="417"/>
      <c r="C203" s="417"/>
      <c r="D203" s="14" t="s">
        <v>1351</v>
      </c>
      <c r="E203" s="717" t="str">
        <f>Translations!$B$424</f>
        <v>Description of the procedure to be used to revise the appropriateness of the sampling plan:</v>
      </c>
      <c r="F203" s="732"/>
      <c r="G203" s="732"/>
      <c r="H203" s="732"/>
      <c r="I203" s="732"/>
      <c r="J203" s="732"/>
      <c r="K203" s="732"/>
      <c r="L203" s="732"/>
      <c r="M203" s="732"/>
      <c r="N203" s="732"/>
      <c r="O203" s="322"/>
      <c r="P203" s="72"/>
      <c r="Q203" s="72"/>
      <c r="R203" s="72"/>
      <c r="S203" s="72"/>
      <c r="T203" s="72"/>
      <c r="U203" s="72"/>
      <c r="V203" s="72"/>
      <c r="W203" s="72"/>
    </row>
    <row r="204" spans="1:23" ht="5.0999999999999996" customHeight="1" x14ac:dyDescent="0.2">
      <c r="A204" s="72"/>
      <c r="B204" s="417"/>
      <c r="C204" s="417"/>
      <c r="D204" s="14"/>
      <c r="E204" s="129"/>
      <c r="F204" s="411"/>
      <c r="G204" s="411"/>
      <c r="H204" s="411"/>
      <c r="I204" s="411"/>
      <c r="J204" s="411"/>
      <c r="K204" s="411"/>
      <c r="L204" s="411"/>
      <c r="M204" s="417"/>
      <c r="N204" s="417"/>
      <c r="O204" s="322"/>
      <c r="P204" s="72"/>
      <c r="Q204" s="72"/>
      <c r="R204" s="72"/>
      <c r="S204" s="72"/>
      <c r="T204" s="72"/>
      <c r="U204" s="72"/>
      <c r="V204" s="72"/>
      <c r="W204" s="72"/>
    </row>
    <row r="205" spans="1:23" ht="12.75" customHeight="1" x14ac:dyDescent="0.2">
      <c r="A205" s="72"/>
      <c r="B205" s="417"/>
      <c r="C205" s="417"/>
      <c r="D205" s="417"/>
      <c r="E205" s="950" t="str">
        <f>Translations!$B$405</f>
        <v>Title of procedure</v>
      </c>
      <c r="F205" s="951"/>
      <c r="G205" s="902"/>
      <c r="H205" s="851"/>
      <c r="I205" s="851"/>
      <c r="J205" s="851"/>
      <c r="K205" s="851"/>
      <c r="L205" s="851"/>
      <c r="M205" s="851"/>
      <c r="N205" s="852"/>
      <c r="O205" s="322"/>
      <c r="P205" s="72"/>
      <c r="Q205" s="72"/>
      <c r="R205" s="72"/>
      <c r="S205" s="72"/>
      <c r="T205" s="72"/>
      <c r="U205" s="72"/>
      <c r="V205" s="72"/>
      <c r="W205" s="72"/>
    </row>
    <row r="206" spans="1:23" ht="12.75" customHeight="1" x14ac:dyDescent="0.2">
      <c r="A206" s="72"/>
      <c r="B206" s="417"/>
      <c r="C206" s="417"/>
      <c r="D206" s="417"/>
      <c r="E206" s="950" t="str">
        <f>Translations!$B$407</f>
        <v>Reference for procedure</v>
      </c>
      <c r="F206" s="951"/>
      <c r="G206" s="902"/>
      <c r="H206" s="851"/>
      <c r="I206" s="851"/>
      <c r="J206" s="851"/>
      <c r="K206" s="851"/>
      <c r="L206" s="851"/>
      <c r="M206" s="851"/>
      <c r="N206" s="852"/>
      <c r="O206" s="322"/>
      <c r="P206" s="72"/>
      <c r="Q206" s="72"/>
      <c r="R206" s="72"/>
      <c r="S206" s="72"/>
      <c r="T206" s="72"/>
      <c r="U206" s="72"/>
      <c r="V206" s="72"/>
      <c r="W206" s="72"/>
    </row>
    <row r="207" spans="1:23" ht="12.75" customHeight="1" x14ac:dyDescent="0.2">
      <c r="A207" s="72"/>
      <c r="B207" s="417"/>
      <c r="C207" s="417"/>
      <c r="D207" s="417"/>
      <c r="E207" s="950" t="str">
        <f>Translations!$B$409</f>
        <v>Diagram reference (where applicable)</v>
      </c>
      <c r="F207" s="951"/>
      <c r="G207" s="902"/>
      <c r="H207" s="851"/>
      <c r="I207" s="851"/>
      <c r="J207" s="851"/>
      <c r="K207" s="851"/>
      <c r="L207" s="851"/>
      <c r="M207" s="851"/>
      <c r="N207" s="852"/>
      <c r="O207" s="322"/>
      <c r="P207" s="72"/>
      <c r="Q207" s="72"/>
      <c r="R207" s="72"/>
      <c r="S207" s="72"/>
      <c r="T207" s="72"/>
      <c r="U207" s="72"/>
      <c r="V207" s="72"/>
      <c r="W207" s="72"/>
    </row>
    <row r="208" spans="1:23" ht="25.5" customHeight="1" x14ac:dyDescent="0.2">
      <c r="A208" s="72"/>
      <c r="B208" s="417"/>
      <c r="C208" s="417"/>
      <c r="D208" s="417"/>
      <c r="E208" s="952" t="str">
        <f>Translations!$B$411</f>
        <v xml:space="preserve">Brief description of procedure    </v>
      </c>
      <c r="F208" s="953"/>
      <c r="G208" s="954"/>
      <c r="H208" s="955"/>
      <c r="I208" s="955"/>
      <c r="J208" s="955"/>
      <c r="K208" s="955"/>
      <c r="L208" s="955"/>
      <c r="M208" s="955"/>
      <c r="N208" s="956"/>
      <c r="O208" s="322"/>
      <c r="P208" s="72"/>
      <c r="Q208" s="72"/>
      <c r="R208" s="72"/>
      <c r="S208" s="72"/>
      <c r="T208" s="72"/>
      <c r="U208" s="72"/>
      <c r="V208" s="72"/>
      <c r="W208" s="72"/>
    </row>
    <row r="209" spans="1:23" ht="25.5" customHeight="1" x14ac:dyDescent="0.2">
      <c r="A209" s="72"/>
      <c r="B209" s="417"/>
      <c r="C209" s="417"/>
      <c r="D209" s="417"/>
      <c r="E209" s="590"/>
      <c r="F209" s="591"/>
      <c r="G209" s="957"/>
      <c r="H209" s="958"/>
      <c r="I209" s="958"/>
      <c r="J209" s="958"/>
      <c r="K209" s="958"/>
      <c r="L209" s="958"/>
      <c r="M209" s="958"/>
      <c r="N209" s="959"/>
      <c r="O209" s="322"/>
      <c r="P209" s="72"/>
      <c r="Q209" s="72"/>
      <c r="R209" s="72"/>
      <c r="S209" s="72"/>
      <c r="T209" s="72"/>
      <c r="U209" s="72"/>
      <c r="V209" s="72"/>
      <c r="W209" s="72"/>
    </row>
    <row r="210" spans="1:23" ht="25.5" customHeight="1" x14ac:dyDescent="0.2">
      <c r="A210" s="72"/>
      <c r="B210" s="417"/>
      <c r="C210" s="417"/>
      <c r="D210" s="417"/>
      <c r="E210" s="592"/>
      <c r="F210" s="593"/>
      <c r="G210" s="960"/>
      <c r="H210" s="961"/>
      <c r="I210" s="961"/>
      <c r="J210" s="961"/>
      <c r="K210" s="961"/>
      <c r="L210" s="961"/>
      <c r="M210" s="961"/>
      <c r="N210" s="962"/>
      <c r="O210" s="322"/>
      <c r="P210" s="72"/>
      <c r="Q210" s="72"/>
      <c r="R210" s="72"/>
      <c r="S210" s="72"/>
      <c r="T210" s="72"/>
      <c r="U210" s="72"/>
      <c r="V210" s="72"/>
      <c r="W210" s="72"/>
    </row>
    <row r="211" spans="1:23" ht="25.5" customHeight="1" x14ac:dyDescent="0.2">
      <c r="A211" s="72"/>
      <c r="B211" s="417"/>
      <c r="C211" s="417"/>
      <c r="D211" s="417"/>
      <c r="E211" s="950" t="str">
        <f>Translations!$B$414</f>
        <v>Post or department responsible for the procedure and for any data generated</v>
      </c>
      <c r="F211" s="951"/>
      <c r="G211" s="902"/>
      <c r="H211" s="903"/>
      <c r="I211" s="903"/>
      <c r="J211" s="903"/>
      <c r="K211" s="903"/>
      <c r="L211" s="903"/>
      <c r="M211" s="903"/>
      <c r="N211" s="904"/>
      <c r="O211" s="322"/>
      <c r="P211" s="72"/>
      <c r="Q211" s="72"/>
      <c r="R211" s="72"/>
      <c r="S211" s="72"/>
      <c r="T211" s="72"/>
      <c r="U211" s="72"/>
      <c r="V211" s="72"/>
      <c r="W211" s="72"/>
    </row>
    <row r="212" spans="1:23" ht="12.75" customHeight="1" x14ac:dyDescent="0.2">
      <c r="A212" s="72"/>
      <c r="B212" s="417"/>
      <c r="C212" s="417"/>
      <c r="D212" s="417"/>
      <c r="E212" s="950" t="str">
        <f>Translations!$B$416</f>
        <v>Location where records are kept</v>
      </c>
      <c r="F212" s="951"/>
      <c r="G212" s="902"/>
      <c r="H212" s="851"/>
      <c r="I212" s="851"/>
      <c r="J212" s="851"/>
      <c r="K212" s="851"/>
      <c r="L212" s="851"/>
      <c r="M212" s="851"/>
      <c r="N212" s="852"/>
      <c r="O212" s="322"/>
      <c r="P212" s="72"/>
      <c r="Q212" s="72"/>
      <c r="R212" s="72"/>
      <c r="S212" s="72"/>
      <c r="T212" s="72"/>
      <c r="U212" s="72"/>
      <c r="V212" s="72"/>
      <c r="W212" s="72"/>
    </row>
    <row r="213" spans="1:23" ht="25.5" customHeight="1" x14ac:dyDescent="0.2">
      <c r="A213" s="72"/>
      <c r="B213" s="417"/>
      <c r="C213" s="417"/>
      <c r="D213" s="417"/>
      <c r="E213" s="950" t="str">
        <f>Translations!$B$418</f>
        <v>Name of IT system used (where applicable).</v>
      </c>
      <c r="F213" s="951"/>
      <c r="G213" s="902"/>
      <c r="H213" s="851"/>
      <c r="I213" s="851"/>
      <c r="J213" s="851"/>
      <c r="K213" s="851"/>
      <c r="L213" s="851"/>
      <c r="M213" s="851"/>
      <c r="N213" s="852"/>
      <c r="O213" s="322"/>
      <c r="P213" s="72"/>
      <c r="Q213" s="72"/>
      <c r="R213" s="72"/>
      <c r="S213" s="72"/>
      <c r="T213" s="72"/>
      <c r="U213" s="72"/>
      <c r="V213" s="72"/>
      <c r="W213" s="72"/>
    </row>
    <row r="214" spans="1:23" ht="25.5" customHeight="1" x14ac:dyDescent="0.2">
      <c r="A214" s="72"/>
      <c r="B214" s="417"/>
      <c r="C214" s="417"/>
      <c r="D214" s="417"/>
      <c r="E214" s="950" t="str">
        <f>Translations!$B$420</f>
        <v>List of EN or other standards applied (where relevant)</v>
      </c>
      <c r="F214" s="951"/>
      <c r="G214" s="902"/>
      <c r="H214" s="851"/>
      <c r="I214" s="851"/>
      <c r="J214" s="851"/>
      <c r="K214" s="851"/>
      <c r="L214" s="851"/>
      <c r="M214" s="851"/>
      <c r="N214" s="852"/>
      <c r="O214" s="322"/>
      <c r="P214" s="72"/>
      <c r="Q214" s="72"/>
      <c r="R214" s="72"/>
      <c r="S214" s="72"/>
      <c r="T214" s="72"/>
      <c r="U214" s="72"/>
      <c r="V214" s="72"/>
      <c r="W214" s="72"/>
    </row>
    <row r="215" spans="1:23" ht="12.75" customHeight="1" x14ac:dyDescent="0.2">
      <c r="A215" s="72"/>
      <c r="B215" s="417"/>
      <c r="C215" s="417"/>
      <c r="D215" s="417"/>
      <c r="E215" s="417"/>
      <c r="F215" s="417"/>
      <c r="G215" s="417"/>
      <c r="H215" s="417"/>
      <c r="I215" s="417"/>
      <c r="J215" s="417"/>
      <c r="K215" s="417"/>
      <c r="L215" s="417"/>
      <c r="M215" s="417"/>
      <c r="N215" s="417"/>
      <c r="O215" s="322"/>
      <c r="P215" s="72"/>
      <c r="Q215" s="72"/>
      <c r="R215" s="72"/>
      <c r="S215" s="72"/>
      <c r="T215" s="72"/>
      <c r="U215" s="72"/>
      <c r="V215" s="72"/>
      <c r="W215" s="72"/>
    </row>
    <row r="216" spans="1:23" ht="12.75" customHeight="1" x14ac:dyDescent="0.2">
      <c r="A216" s="72"/>
      <c r="B216" s="417"/>
      <c r="C216" s="417"/>
      <c r="D216" s="14" t="s">
        <v>1352</v>
      </c>
      <c r="E216" s="717" t="str">
        <f>Translations!$B$425</f>
        <v>Description of the procedure to be used to estimate stocks at the beginning/end of the reporting year (if applicable):</v>
      </c>
      <c r="F216" s="732"/>
      <c r="G216" s="732"/>
      <c r="H216" s="732"/>
      <c r="I216" s="732"/>
      <c r="J216" s="732"/>
      <c r="K216" s="732"/>
      <c r="L216" s="732"/>
      <c r="M216" s="732"/>
      <c r="N216" s="732"/>
      <c r="O216" s="322"/>
      <c r="P216" s="72"/>
      <c r="Q216" s="72"/>
      <c r="R216" s="72"/>
      <c r="S216" s="72"/>
      <c r="T216" s="72"/>
      <c r="U216" s="72"/>
      <c r="V216" s="72"/>
      <c r="W216" s="72"/>
    </row>
    <row r="217" spans="1:23" ht="12.75" customHeight="1" x14ac:dyDescent="0.2">
      <c r="A217" s="72"/>
      <c r="B217" s="417"/>
      <c r="C217" s="417"/>
      <c r="D217" s="14"/>
      <c r="E217" s="827" t="str">
        <f>Translations!$B$426</f>
        <v>Please describe the procedure to be used to estimate stock changes of any source streams which are monitored using batch metering, e.g. where invoices are used.</v>
      </c>
      <c r="F217" s="767"/>
      <c r="G217" s="767"/>
      <c r="H217" s="767"/>
      <c r="I217" s="767"/>
      <c r="J217" s="767"/>
      <c r="K217" s="767"/>
      <c r="L217" s="767"/>
      <c r="M217" s="732"/>
      <c r="N217" s="732"/>
      <c r="O217" s="322"/>
      <c r="P217" s="72"/>
      <c r="Q217" s="72"/>
      <c r="R217" s="72"/>
      <c r="S217" s="72"/>
      <c r="T217" s="72"/>
      <c r="U217" s="72"/>
      <c r="V217" s="72"/>
      <c r="W217" s="72"/>
    </row>
    <row r="218" spans="1:23" ht="5.0999999999999996" customHeight="1" x14ac:dyDescent="0.2">
      <c r="A218" s="72"/>
      <c r="B218" s="417"/>
      <c r="C218" s="417"/>
      <c r="D218" s="14"/>
      <c r="E218" s="129"/>
      <c r="F218" s="411"/>
      <c r="G218" s="411"/>
      <c r="H218" s="411"/>
      <c r="I218" s="411"/>
      <c r="J218" s="411"/>
      <c r="K218" s="411"/>
      <c r="L218" s="411"/>
      <c r="M218" s="417"/>
      <c r="N218" s="417"/>
      <c r="O218" s="322"/>
      <c r="P218" s="72"/>
      <c r="Q218" s="72"/>
      <c r="R218" s="72"/>
      <c r="S218" s="72"/>
      <c r="T218" s="72"/>
      <c r="U218" s="72"/>
      <c r="V218" s="72"/>
      <c r="W218" s="72"/>
    </row>
    <row r="219" spans="1:23" ht="12.75" customHeight="1" x14ac:dyDescent="0.2">
      <c r="A219" s="72"/>
      <c r="B219" s="417"/>
      <c r="C219" s="417"/>
      <c r="D219" s="417"/>
      <c r="E219" s="950" t="str">
        <f>Translations!$B$405</f>
        <v>Title of procedure</v>
      </c>
      <c r="F219" s="951"/>
      <c r="G219" s="902"/>
      <c r="H219" s="851"/>
      <c r="I219" s="851"/>
      <c r="J219" s="851"/>
      <c r="K219" s="851"/>
      <c r="L219" s="851"/>
      <c r="M219" s="851"/>
      <c r="N219" s="852"/>
      <c r="O219" s="322"/>
      <c r="P219" s="72"/>
      <c r="Q219" s="72"/>
      <c r="R219" s="72"/>
      <c r="S219" s="72"/>
      <c r="T219" s="72"/>
      <c r="U219" s="72"/>
      <c r="V219" s="72"/>
      <c r="W219" s="72"/>
    </row>
    <row r="220" spans="1:23" ht="12.75" customHeight="1" x14ac:dyDescent="0.2">
      <c r="A220" s="72"/>
      <c r="B220" s="417"/>
      <c r="C220" s="417"/>
      <c r="D220" s="417"/>
      <c r="E220" s="950" t="str">
        <f>Translations!$B$407</f>
        <v>Reference for procedure</v>
      </c>
      <c r="F220" s="951"/>
      <c r="G220" s="902"/>
      <c r="H220" s="851"/>
      <c r="I220" s="851"/>
      <c r="J220" s="851"/>
      <c r="K220" s="851"/>
      <c r="L220" s="851"/>
      <c r="M220" s="851"/>
      <c r="N220" s="852"/>
      <c r="O220" s="322"/>
      <c r="P220" s="72"/>
      <c r="Q220" s="72"/>
      <c r="R220" s="72"/>
      <c r="S220" s="72"/>
      <c r="T220" s="72"/>
      <c r="U220" s="72"/>
      <c r="V220" s="72"/>
      <c r="W220" s="72"/>
    </row>
    <row r="221" spans="1:23" ht="12.75" customHeight="1" x14ac:dyDescent="0.2">
      <c r="A221" s="72"/>
      <c r="B221" s="417"/>
      <c r="C221" s="417"/>
      <c r="D221" s="417"/>
      <c r="E221" s="950" t="str">
        <f>Translations!$B$409</f>
        <v>Diagram reference (where applicable)</v>
      </c>
      <c r="F221" s="951"/>
      <c r="G221" s="902"/>
      <c r="H221" s="851"/>
      <c r="I221" s="851"/>
      <c r="J221" s="851"/>
      <c r="K221" s="851"/>
      <c r="L221" s="851"/>
      <c r="M221" s="851"/>
      <c r="N221" s="852"/>
      <c r="O221" s="322"/>
      <c r="P221" s="72"/>
      <c r="Q221" s="72"/>
      <c r="R221" s="72"/>
      <c r="S221" s="72"/>
      <c r="T221" s="72"/>
      <c r="U221" s="72"/>
      <c r="V221" s="72"/>
      <c r="W221" s="72"/>
    </row>
    <row r="222" spans="1:23" ht="25.5" customHeight="1" x14ac:dyDescent="0.2">
      <c r="A222" s="72"/>
      <c r="B222" s="417"/>
      <c r="C222" s="417"/>
      <c r="D222" s="417"/>
      <c r="E222" s="952" t="str">
        <f>Translations!$B$411</f>
        <v xml:space="preserve">Brief description of procedure    </v>
      </c>
      <c r="F222" s="953"/>
      <c r="G222" s="954"/>
      <c r="H222" s="955"/>
      <c r="I222" s="955"/>
      <c r="J222" s="955"/>
      <c r="K222" s="955"/>
      <c r="L222" s="955"/>
      <c r="M222" s="955"/>
      <c r="N222" s="956"/>
      <c r="O222" s="322"/>
      <c r="P222" s="72"/>
      <c r="Q222" s="72"/>
      <c r="R222" s="72"/>
      <c r="S222" s="72"/>
      <c r="T222" s="72"/>
      <c r="U222" s="72"/>
      <c r="V222" s="72"/>
      <c r="W222" s="72"/>
    </row>
    <row r="223" spans="1:23" ht="25.5" customHeight="1" x14ac:dyDescent="0.2">
      <c r="A223" s="72"/>
      <c r="B223" s="417"/>
      <c r="C223" s="417"/>
      <c r="D223" s="417"/>
      <c r="E223" s="590"/>
      <c r="F223" s="591"/>
      <c r="G223" s="957"/>
      <c r="H223" s="958"/>
      <c r="I223" s="958"/>
      <c r="J223" s="958"/>
      <c r="K223" s="958"/>
      <c r="L223" s="958"/>
      <c r="M223" s="958"/>
      <c r="N223" s="959"/>
      <c r="O223" s="322"/>
      <c r="P223" s="72"/>
      <c r="Q223" s="72"/>
      <c r="R223" s="72"/>
      <c r="S223" s="72"/>
      <c r="T223" s="72"/>
      <c r="U223" s="72"/>
      <c r="V223" s="72"/>
      <c r="W223" s="72"/>
    </row>
    <row r="224" spans="1:23" ht="25.5" customHeight="1" x14ac:dyDescent="0.2">
      <c r="A224" s="72"/>
      <c r="B224" s="417"/>
      <c r="C224" s="417"/>
      <c r="D224" s="417"/>
      <c r="E224" s="592"/>
      <c r="F224" s="593"/>
      <c r="G224" s="960"/>
      <c r="H224" s="961"/>
      <c r="I224" s="961"/>
      <c r="J224" s="961"/>
      <c r="K224" s="961"/>
      <c r="L224" s="961"/>
      <c r="M224" s="961"/>
      <c r="N224" s="962"/>
      <c r="O224" s="322"/>
      <c r="P224" s="72"/>
      <c r="Q224" s="72"/>
      <c r="R224" s="72"/>
      <c r="S224" s="72"/>
      <c r="T224" s="72"/>
      <c r="U224" s="72"/>
      <c r="V224" s="72"/>
      <c r="W224" s="72"/>
    </row>
    <row r="225" spans="1:23" ht="25.5" customHeight="1" x14ac:dyDescent="0.2">
      <c r="A225" s="72"/>
      <c r="B225" s="417"/>
      <c r="C225" s="417"/>
      <c r="D225" s="417"/>
      <c r="E225" s="950" t="str">
        <f>Translations!$B$414</f>
        <v>Post or department responsible for the procedure and for any data generated</v>
      </c>
      <c r="F225" s="951"/>
      <c r="G225" s="902"/>
      <c r="H225" s="903"/>
      <c r="I225" s="903"/>
      <c r="J225" s="903"/>
      <c r="K225" s="903"/>
      <c r="L225" s="903"/>
      <c r="M225" s="903"/>
      <c r="N225" s="904"/>
      <c r="O225" s="322"/>
      <c r="P225" s="72"/>
      <c r="Q225" s="72"/>
      <c r="R225" s="72"/>
      <c r="S225" s="72"/>
      <c r="T225" s="72"/>
      <c r="U225" s="72"/>
      <c r="V225" s="72"/>
      <c r="W225" s="72"/>
    </row>
    <row r="226" spans="1:23" ht="12.75" customHeight="1" x14ac:dyDescent="0.2">
      <c r="A226" s="72"/>
      <c r="B226" s="417"/>
      <c r="C226" s="417"/>
      <c r="D226" s="417"/>
      <c r="E226" s="950" t="str">
        <f>Translations!$B$416</f>
        <v>Location where records are kept</v>
      </c>
      <c r="F226" s="951"/>
      <c r="G226" s="902"/>
      <c r="H226" s="851"/>
      <c r="I226" s="851"/>
      <c r="J226" s="851"/>
      <c r="K226" s="851"/>
      <c r="L226" s="851"/>
      <c r="M226" s="851"/>
      <c r="N226" s="852"/>
      <c r="O226" s="322"/>
      <c r="P226" s="72"/>
      <c r="Q226" s="72"/>
      <c r="R226" s="72"/>
      <c r="S226" s="72"/>
      <c r="T226" s="72"/>
      <c r="U226" s="72"/>
      <c r="V226" s="72"/>
      <c r="W226" s="72"/>
    </row>
    <row r="227" spans="1:23" ht="25.5" customHeight="1" x14ac:dyDescent="0.2">
      <c r="A227" s="72"/>
      <c r="B227" s="417"/>
      <c r="C227" s="417"/>
      <c r="D227" s="417"/>
      <c r="E227" s="950" t="str">
        <f>Translations!$B$418</f>
        <v>Name of IT system used (where applicable).</v>
      </c>
      <c r="F227" s="951"/>
      <c r="G227" s="902"/>
      <c r="H227" s="851"/>
      <c r="I227" s="851"/>
      <c r="J227" s="851"/>
      <c r="K227" s="851"/>
      <c r="L227" s="851"/>
      <c r="M227" s="851"/>
      <c r="N227" s="852"/>
      <c r="O227" s="322"/>
      <c r="P227" s="72"/>
      <c r="Q227" s="72"/>
      <c r="R227" s="72"/>
      <c r="S227" s="72"/>
      <c r="T227" s="72"/>
      <c r="U227" s="72"/>
      <c r="V227" s="72"/>
      <c r="W227" s="72"/>
    </row>
    <row r="228" spans="1:23" ht="25.5" customHeight="1" x14ac:dyDescent="0.2">
      <c r="A228" s="72"/>
      <c r="B228" s="417"/>
      <c r="C228" s="417"/>
      <c r="D228" s="417"/>
      <c r="E228" s="950" t="str">
        <f>Translations!$B$420</f>
        <v>List of EN or other standards applied (where relevant)</v>
      </c>
      <c r="F228" s="951"/>
      <c r="G228" s="902"/>
      <c r="H228" s="851"/>
      <c r="I228" s="851"/>
      <c r="J228" s="851"/>
      <c r="K228" s="851"/>
      <c r="L228" s="851"/>
      <c r="M228" s="851"/>
      <c r="N228" s="852"/>
      <c r="O228" s="322"/>
      <c r="P228" s="72"/>
      <c r="Q228" s="72"/>
      <c r="R228" s="72"/>
      <c r="S228" s="72"/>
      <c r="T228" s="72"/>
      <c r="U228" s="72"/>
      <c r="V228" s="72"/>
      <c r="W228" s="72"/>
    </row>
    <row r="229" spans="1:23" ht="12.75" customHeight="1" x14ac:dyDescent="0.2">
      <c r="A229" s="17"/>
      <c r="B229" s="417"/>
      <c r="C229" s="417"/>
      <c r="D229" s="417"/>
      <c r="E229" s="417"/>
      <c r="F229" s="417"/>
      <c r="G229" s="417"/>
      <c r="H229" s="417"/>
      <c r="I229" s="417"/>
      <c r="J229" s="417"/>
      <c r="K229" s="417"/>
      <c r="L229" s="417"/>
      <c r="M229" s="417"/>
      <c r="N229" s="417"/>
      <c r="O229" s="322"/>
      <c r="P229" s="72"/>
      <c r="Q229" s="72"/>
      <c r="R229" s="72"/>
      <c r="S229" s="72"/>
      <c r="T229" s="72"/>
      <c r="U229" s="72"/>
      <c r="V229" s="72"/>
      <c r="W229" s="72"/>
    </row>
    <row r="230" spans="1:23" ht="12.75" customHeight="1" x14ac:dyDescent="0.2">
      <c r="A230" s="17"/>
      <c r="B230" s="417"/>
      <c r="C230" s="417"/>
      <c r="D230" s="14" t="s">
        <v>1516</v>
      </c>
      <c r="E230" s="717" t="str">
        <f>Translations!$B$427</f>
        <v>Description of the procedure used to keep track of instruments installed in the installation used for determining activity data.</v>
      </c>
      <c r="F230" s="717"/>
      <c r="G230" s="717"/>
      <c r="H230" s="717"/>
      <c r="I230" s="717"/>
      <c r="J230" s="717"/>
      <c r="K230" s="717"/>
      <c r="L230" s="717"/>
      <c r="M230" s="717"/>
      <c r="N230" s="717"/>
      <c r="O230" s="322"/>
      <c r="P230" s="72"/>
      <c r="Q230" s="72"/>
      <c r="R230" s="72"/>
      <c r="S230" s="72"/>
      <c r="T230" s="72"/>
      <c r="U230" s="72"/>
      <c r="V230" s="72"/>
      <c r="W230" s="72"/>
    </row>
    <row r="231" spans="1:23" ht="12.75" customHeight="1" x14ac:dyDescent="0.2">
      <c r="A231" s="72"/>
      <c r="B231" s="417"/>
      <c r="C231" s="417"/>
      <c r="D231" s="14"/>
      <c r="E231" s="827" t="str">
        <f>Translations!$B$428</f>
        <v>This procedure is only relevant where the operator uses measuring instruments under his own control.</v>
      </c>
      <c r="F231" s="767"/>
      <c r="G231" s="767"/>
      <c r="H231" s="767"/>
      <c r="I231" s="767"/>
      <c r="J231" s="767"/>
      <c r="K231" s="767"/>
      <c r="L231" s="767"/>
      <c r="M231" s="732"/>
      <c r="N231" s="732"/>
      <c r="O231" s="322"/>
      <c r="P231" s="72"/>
      <c r="Q231" s="72"/>
      <c r="R231" s="72"/>
      <c r="S231" s="72"/>
      <c r="T231" s="72"/>
      <c r="U231" s="72"/>
      <c r="V231" s="72"/>
      <c r="W231" s="72"/>
    </row>
    <row r="232" spans="1:23" ht="5.0999999999999996" customHeight="1" x14ac:dyDescent="0.2">
      <c r="A232" s="17"/>
      <c r="B232" s="417"/>
      <c r="C232" s="417"/>
      <c r="D232" s="417"/>
      <c r="E232" s="417"/>
      <c r="F232" s="417"/>
      <c r="G232" s="417"/>
      <c r="H232" s="417"/>
      <c r="I232" s="417"/>
      <c r="J232" s="417"/>
      <c r="K232" s="417"/>
      <c r="L232" s="417"/>
      <c r="M232" s="417"/>
      <c r="N232" s="417"/>
      <c r="O232" s="322"/>
      <c r="P232" s="72"/>
      <c r="Q232" s="72"/>
      <c r="R232" s="72"/>
      <c r="S232" s="72"/>
      <c r="T232" s="72"/>
      <c r="U232" s="72"/>
      <c r="V232" s="72"/>
      <c r="W232" s="72"/>
    </row>
    <row r="233" spans="1:23" ht="12.75" customHeight="1" x14ac:dyDescent="0.2">
      <c r="A233" s="17"/>
      <c r="B233" s="417"/>
      <c r="C233" s="417"/>
      <c r="D233" s="417"/>
      <c r="E233" s="950" t="str">
        <f>Translations!$B$405</f>
        <v>Title of procedure</v>
      </c>
      <c r="F233" s="951"/>
      <c r="G233" s="902"/>
      <c r="H233" s="851"/>
      <c r="I233" s="851"/>
      <c r="J233" s="851"/>
      <c r="K233" s="851"/>
      <c r="L233" s="851"/>
      <c r="M233" s="851"/>
      <c r="N233" s="852"/>
      <c r="O233" s="322"/>
      <c r="P233" s="72"/>
      <c r="Q233" s="72"/>
      <c r="R233" s="72"/>
      <c r="S233" s="72"/>
      <c r="T233" s="72"/>
      <c r="U233" s="72"/>
      <c r="V233" s="72"/>
      <c r="W233" s="72"/>
    </row>
    <row r="234" spans="1:23" ht="12.75" customHeight="1" x14ac:dyDescent="0.2">
      <c r="A234" s="17"/>
      <c r="B234" s="417"/>
      <c r="C234" s="417"/>
      <c r="D234" s="417"/>
      <c r="E234" s="950" t="str">
        <f>Translations!$B$407</f>
        <v>Reference for procedure</v>
      </c>
      <c r="F234" s="951"/>
      <c r="G234" s="902"/>
      <c r="H234" s="851"/>
      <c r="I234" s="851"/>
      <c r="J234" s="851"/>
      <c r="K234" s="851"/>
      <c r="L234" s="851"/>
      <c r="M234" s="851"/>
      <c r="N234" s="852"/>
      <c r="O234" s="322"/>
      <c r="P234" s="72"/>
      <c r="Q234" s="72"/>
      <c r="R234" s="72"/>
      <c r="S234" s="72"/>
      <c r="T234" s="72"/>
      <c r="U234" s="72"/>
      <c r="V234" s="72"/>
      <c r="W234" s="72"/>
    </row>
    <row r="235" spans="1:23" ht="12.75" customHeight="1" x14ac:dyDescent="0.2">
      <c r="A235" s="17"/>
      <c r="B235" s="417"/>
      <c r="C235" s="417"/>
      <c r="D235" s="417"/>
      <c r="E235" s="950" t="str">
        <f>Translations!$B$409</f>
        <v>Diagram reference (where applicable)</v>
      </c>
      <c r="F235" s="951"/>
      <c r="G235" s="902"/>
      <c r="H235" s="851"/>
      <c r="I235" s="851"/>
      <c r="J235" s="851"/>
      <c r="K235" s="851"/>
      <c r="L235" s="851"/>
      <c r="M235" s="851"/>
      <c r="N235" s="852"/>
      <c r="O235" s="322"/>
      <c r="P235" s="72"/>
      <c r="Q235" s="72"/>
      <c r="R235" s="72"/>
      <c r="S235" s="72"/>
      <c r="T235" s="72"/>
      <c r="U235" s="72"/>
      <c r="V235" s="72"/>
      <c r="W235" s="72"/>
    </row>
    <row r="236" spans="1:23" ht="25.5" customHeight="1" x14ac:dyDescent="0.2">
      <c r="A236" s="17"/>
      <c r="B236" s="417"/>
      <c r="C236" s="417"/>
      <c r="D236" s="417"/>
      <c r="E236" s="952" t="str">
        <f>Translations!$B$411</f>
        <v xml:space="preserve">Brief description of procedure    </v>
      </c>
      <c r="F236" s="953"/>
      <c r="G236" s="954"/>
      <c r="H236" s="955"/>
      <c r="I236" s="955"/>
      <c r="J236" s="955"/>
      <c r="K236" s="955"/>
      <c r="L236" s="955"/>
      <c r="M236" s="955"/>
      <c r="N236" s="956"/>
      <c r="O236" s="322"/>
      <c r="P236" s="72"/>
      <c r="Q236" s="72"/>
      <c r="R236" s="72"/>
      <c r="S236" s="72"/>
      <c r="T236" s="72"/>
      <c r="U236" s="72"/>
      <c r="V236" s="72"/>
      <c r="W236" s="72"/>
    </row>
    <row r="237" spans="1:23" ht="25.5" customHeight="1" x14ac:dyDescent="0.2">
      <c r="A237" s="17"/>
      <c r="B237" s="417"/>
      <c r="C237" s="417"/>
      <c r="D237" s="417"/>
      <c r="E237" s="590"/>
      <c r="F237" s="591"/>
      <c r="G237" s="957"/>
      <c r="H237" s="958"/>
      <c r="I237" s="958"/>
      <c r="J237" s="958"/>
      <c r="K237" s="958"/>
      <c r="L237" s="958"/>
      <c r="M237" s="958"/>
      <c r="N237" s="959"/>
      <c r="O237" s="322"/>
      <c r="P237" s="72"/>
      <c r="Q237" s="72"/>
      <c r="R237" s="72"/>
      <c r="S237" s="72"/>
      <c r="T237" s="72"/>
      <c r="U237" s="72"/>
      <c r="V237" s="72"/>
      <c r="W237" s="72"/>
    </row>
    <row r="238" spans="1:23" ht="25.5" customHeight="1" x14ac:dyDescent="0.2">
      <c r="A238" s="17"/>
      <c r="B238" s="417"/>
      <c r="C238" s="417"/>
      <c r="D238" s="417"/>
      <c r="E238" s="592"/>
      <c r="F238" s="593"/>
      <c r="G238" s="960"/>
      <c r="H238" s="961"/>
      <c r="I238" s="961"/>
      <c r="J238" s="961"/>
      <c r="K238" s="961"/>
      <c r="L238" s="961"/>
      <c r="M238" s="961"/>
      <c r="N238" s="962"/>
      <c r="O238" s="322"/>
      <c r="P238" s="72"/>
      <c r="Q238" s="72"/>
      <c r="R238" s="72"/>
      <c r="S238" s="72"/>
      <c r="T238" s="72"/>
      <c r="U238" s="72"/>
      <c r="V238" s="72"/>
      <c r="W238" s="72"/>
    </row>
    <row r="239" spans="1:23" ht="25.5" customHeight="1" x14ac:dyDescent="0.2">
      <c r="A239" s="17"/>
      <c r="B239" s="417"/>
      <c r="C239" s="417"/>
      <c r="D239" s="417"/>
      <c r="E239" s="950" t="str">
        <f>Translations!$B$414</f>
        <v>Post or department responsible for the procedure and for any data generated</v>
      </c>
      <c r="F239" s="951"/>
      <c r="G239" s="902"/>
      <c r="H239" s="903"/>
      <c r="I239" s="903"/>
      <c r="J239" s="903"/>
      <c r="K239" s="903"/>
      <c r="L239" s="903"/>
      <c r="M239" s="903"/>
      <c r="N239" s="904"/>
      <c r="O239" s="322"/>
      <c r="P239" s="72"/>
      <c r="Q239" s="72"/>
      <c r="R239" s="72"/>
      <c r="S239" s="72"/>
      <c r="T239" s="72"/>
      <c r="U239" s="72"/>
      <c r="V239" s="72"/>
      <c r="W239" s="72"/>
    </row>
    <row r="240" spans="1:23" ht="12.75" customHeight="1" x14ac:dyDescent="0.2">
      <c r="A240" s="17"/>
      <c r="B240" s="417"/>
      <c r="C240" s="417"/>
      <c r="D240" s="417"/>
      <c r="E240" s="950" t="str">
        <f>Translations!$B$416</f>
        <v>Location where records are kept</v>
      </c>
      <c r="F240" s="951"/>
      <c r="G240" s="902"/>
      <c r="H240" s="851"/>
      <c r="I240" s="851"/>
      <c r="J240" s="851"/>
      <c r="K240" s="851"/>
      <c r="L240" s="851"/>
      <c r="M240" s="851"/>
      <c r="N240" s="852"/>
      <c r="O240" s="322"/>
      <c r="P240" s="72"/>
      <c r="Q240" s="72"/>
      <c r="R240" s="72"/>
      <c r="S240" s="72"/>
      <c r="T240" s="72"/>
      <c r="U240" s="72"/>
      <c r="V240" s="72"/>
      <c r="W240" s="72"/>
    </row>
    <row r="241" spans="1:23" ht="25.5" customHeight="1" x14ac:dyDescent="0.2">
      <c r="A241" s="17"/>
      <c r="B241" s="417"/>
      <c r="C241" s="417"/>
      <c r="D241" s="417"/>
      <c r="E241" s="950" t="str">
        <f>Translations!$B$418</f>
        <v>Name of IT system used (where applicable).</v>
      </c>
      <c r="F241" s="951"/>
      <c r="G241" s="902"/>
      <c r="H241" s="851"/>
      <c r="I241" s="851"/>
      <c r="J241" s="851"/>
      <c r="K241" s="851"/>
      <c r="L241" s="851"/>
      <c r="M241" s="851"/>
      <c r="N241" s="852"/>
      <c r="O241" s="322"/>
      <c r="P241" s="72"/>
      <c r="Q241" s="72"/>
      <c r="R241" s="72"/>
      <c r="S241" s="72"/>
      <c r="T241" s="72"/>
      <c r="U241" s="72"/>
      <c r="V241" s="72"/>
      <c r="W241" s="72"/>
    </row>
    <row r="242" spans="1:23" ht="25.5" customHeight="1" x14ac:dyDescent="0.2">
      <c r="A242" s="17"/>
      <c r="B242" s="417"/>
      <c r="C242" s="417"/>
      <c r="D242" s="417"/>
      <c r="E242" s="950" t="str">
        <f>Translations!$B$420</f>
        <v>List of EN or other standards applied (where relevant)</v>
      </c>
      <c r="F242" s="951"/>
      <c r="G242" s="902"/>
      <c r="H242" s="851"/>
      <c r="I242" s="851"/>
      <c r="J242" s="851"/>
      <c r="K242" s="851"/>
      <c r="L242" s="851"/>
      <c r="M242" s="851"/>
      <c r="N242" s="852"/>
      <c r="O242" s="322"/>
      <c r="P242" s="72"/>
      <c r="Q242" s="72"/>
      <c r="R242" s="72"/>
      <c r="S242" s="72"/>
      <c r="T242" s="72"/>
      <c r="U242" s="72"/>
      <c r="V242" s="72"/>
      <c r="W242" s="72"/>
    </row>
    <row r="243" spans="1:23" ht="12.75" customHeight="1" x14ac:dyDescent="0.2">
      <c r="A243" s="17"/>
      <c r="B243" s="417"/>
      <c r="C243" s="417"/>
      <c r="D243" s="417"/>
      <c r="E243" s="417"/>
      <c r="F243" s="417"/>
      <c r="G243" s="417"/>
      <c r="H243" s="417"/>
      <c r="I243" s="417"/>
      <c r="J243" s="417"/>
      <c r="K243" s="417"/>
      <c r="L243" s="417"/>
      <c r="M243" s="417"/>
      <c r="N243" s="417"/>
      <c r="O243" s="322"/>
      <c r="P243" s="72"/>
      <c r="Q243" s="72"/>
      <c r="R243" s="72"/>
      <c r="S243" s="72"/>
      <c r="T243" s="72"/>
      <c r="U243" s="72"/>
      <c r="V243" s="72"/>
      <c r="W243" s="72"/>
    </row>
    <row r="244" spans="1:23" ht="25.5" customHeight="1" x14ac:dyDescent="0.2">
      <c r="A244" s="17"/>
      <c r="B244" s="417"/>
      <c r="C244" s="417"/>
      <c r="D244" s="14" t="s">
        <v>351</v>
      </c>
      <c r="E244" s="717" t="str">
        <f>Translations!$B$1342</f>
        <v>Description of the procedure used to assess if biomass or any other zero-rated source streams comply with Article 38(5), 39a(3) or 39a(4), if applicable.</v>
      </c>
      <c r="F244" s="717"/>
      <c r="G244" s="717"/>
      <c r="H244" s="717"/>
      <c r="I244" s="717"/>
      <c r="J244" s="717"/>
      <c r="K244" s="717"/>
      <c r="L244" s="717"/>
      <c r="M244" s="717"/>
      <c r="N244" s="717"/>
      <c r="O244" s="322"/>
      <c r="P244" s="72"/>
      <c r="Q244" s="72"/>
      <c r="R244" s="72"/>
      <c r="S244" s="72"/>
      <c r="T244" s="72"/>
      <c r="U244" s="72"/>
      <c r="V244" s="72"/>
      <c r="W244" s="72"/>
    </row>
    <row r="245" spans="1:23" ht="25.5" customHeight="1" x14ac:dyDescent="0.2">
      <c r="A245" s="72"/>
      <c r="B245" s="417"/>
      <c r="C245" s="417"/>
      <c r="D245" s="14"/>
      <c r="E245" s="827" t="str">
        <f>Translations!$B$1343</f>
        <v>This procedure is only relevant for biomass, RFNBOs (renewable fuels of non-biological origin), RCFs (recycled carbon fuels) and SLCF (synthetic low carbon fuels) which are subject to the applicable sustainability and GHG savings criteria in the Renewable Energy Directive (2018/2001).</v>
      </c>
      <c r="F245" s="767"/>
      <c r="G245" s="767"/>
      <c r="H245" s="767"/>
      <c r="I245" s="767"/>
      <c r="J245" s="767"/>
      <c r="K245" s="767"/>
      <c r="L245" s="767"/>
      <c r="M245" s="732"/>
      <c r="N245" s="732"/>
      <c r="O245" s="322"/>
      <c r="P245" s="72"/>
      <c r="Q245" s="72"/>
      <c r="R245" s="72"/>
      <c r="S245" s="72"/>
      <c r="T245" s="72"/>
      <c r="U245" s="72"/>
      <c r="V245" s="72"/>
      <c r="W245" s="72"/>
    </row>
    <row r="246" spans="1:23" ht="5.0999999999999996" customHeight="1" x14ac:dyDescent="0.2">
      <c r="A246" s="17"/>
      <c r="B246" s="417"/>
      <c r="C246" s="417"/>
      <c r="D246" s="417"/>
      <c r="E246" s="417"/>
      <c r="F246" s="417"/>
      <c r="G246" s="417"/>
      <c r="H246" s="417"/>
      <c r="I246" s="417"/>
      <c r="J246" s="417"/>
      <c r="K246" s="417"/>
      <c r="L246" s="417"/>
      <c r="M246" s="417"/>
      <c r="N246" s="417"/>
      <c r="O246" s="322"/>
      <c r="P246" s="72"/>
      <c r="Q246" s="72"/>
      <c r="R246" s="72"/>
      <c r="S246" s="72"/>
      <c r="T246" s="72"/>
      <c r="U246" s="72"/>
      <c r="V246" s="72"/>
      <c r="W246" s="72"/>
    </row>
    <row r="247" spans="1:23" ht="12.75" customHeight="1" x14ac:dyDescent="0.2">
      <c r="A247" s="17"/>
      <c r="B247" s="417"/>
      <c r="C247" s="417"/>
      <c r="D247" s="417"/>
      <c r="E247" s="950" t="str">
        <f>Translations!$B$405</f>
        <v>Title of procedure</v>
      </c>
      <c r="F247" s="951"/>
      <c r="G247" s="902"/>
      <c r="H247" s="851"/>
      <c r="I247" s="851"/>
      <c r="J247" s="851"/>
      <c r="K247" s="851"/>
      <c r="L247" s="851"/>
      <c r="M247" s="851"/>
      <c r="N247" s="852"/>
      <c r="O247" s="322"/>
      <c r="P247" s="72"/>
      <c r="Q247" s="72"/>
      <c r="R247" s="72"/>
      <c r="S247" s="72"/>
      <c r="T247" s="72"/>
      <c r="U247" s="72"/>
      <c r="V247" s="72"/>
      <c r="W247" s="72"/>
    </row>
    <row r="248" spans="1:23" ht="12.75" customHeight="1" x14ac:dyDescent="0.2">
      <c r="A248" s="17"/>
      <c r="B248" s="417"/>
      <c r="C248" s="417"/>
      <c r="D248" s="417"/>
      <c r="E248" s="950" t="str">
        <f>Translations!$B$407</f>
        <v>Reference for procedure</v>
      </c>
      <c r="F248" s="951"/>
      <c r="G248" s="902"/>
      <c r="H248" s="851"/>
      <c r="I248" s="851"/>
      <c r="J248" s="851"/>
      <c r="K248" s="851"/>
      <c r="L248" s="851"/>
      <c r="M248" s="851"/>
      <c r="N248" s="852"/>
      <c r="O248" s="322"/>
      <c r="P248" s="72"/>
      <c r="Q248" s="72"/>
      <c r="R248" s="72"/>
      <c r="S248" s="72"/>
      <c r="T248" s="72"/>
      <c r="U248" s="72"/>
      <c r="V248" s="72"/>
      <c r="W248" s="72"/>
    </row>
    <row r="249" spans="1:23" ht="12.75" customHeight="1" x14ac:dyDescent="0.2">
      <c r="A249" s="17"/>
      <c r="B249" s="417"/>
      <c r="C249" s="417"/>
      <c r="D249" s="417"/>
      <c r="E249" s="950" t="str">
        <f>Translations!$B$409</f>
        <v>Diagram reference (where applicable)</v>
      </c>
      <c r="F249" s="951"/>
      <c r="G249" s="902"/>
      <c r="H249" s="851"/>
      <c r="I249" s="851"/>
      <c r="J249" s="851"/>
      <c r="K249" s="851"/>
      <c r="L249" s="851"/>
      <c r="M249" s="851"/>
      <c r="N249" s="852"/>
      <c r="O249" s="322"/>
      <c r="P249" s="72"/>
      <c r="Q249" s="72"/>
      <c r="R249" s="72"/>
      <c r="S249" s="72"/>
      <c r="T249" s="72"/>
      <c r="U249" s="72"/>
      <c r="V249" s="72"/>
      <c r="W249" s="72"/>
    </row>
    <row r="250" spans="1:23" ht="25.5" customHeight="1" x14ac:dyDescent="0.2">
      <c r="A250" s="17"/>
      <c r="B250" s="417"/>
      <c r="C250" s="417"/>
      <c r="D250" s="417"/>
      <c r="E250" s="952" t="str">
        <f>Translations!$B$411</f>
        <v xml:space="preserve">Brief description of procedure    </v>
      </c>
      <c r="F250" s="953"/>
      <c r="G250" s="954"/>
      <c r="H250" s="955"/>
      <c r="I250" s="955"/>
      <c r="J250" s="955"/>
      <c r="K250" s="955"/>
      <c r="L250" s="955"/>
      <c r="M250" s="955"/>
      <c r="N250" s="956"/>
      <c r="O250" s="322"/>
      <c r="P250" s="72"/>
      <c r="Q250" s="72"/>
      <c r="R250" s="72"/>
      <c r="S250" s="72"/>
      <c r="T250" s="72"/>
      <c r="U250" s="72"/>
      <c r="V250" s="72"/>
      <c r="W250" s="72"/>
    </row>
    <row r="251" spans="1:23" ht="25.5" customHeight="1" x14ac:dyDescent="0.2">
      <c r="A251" s="17"/>
      <c r="B251" s="417"/>
      <c r="C251" s="417"/>
      <c r="D251" s="417"/>
      <c r="E251" s="590"/>
      <c r="F251" s="591"/>
      <c r="G251" s="957"/>
      <c r="H251" s="958"/>
      <c r="I251" s="958"/>
      <c r="J251" s="958"/>
      <c r="K251" s="958"/>
      <c r="L251" s="958"/>
      <c r="M251" s="958"/>
      <c r="N251" s="959"/>
      <c r="O251" s="322"/>
      <c r="P251" s="72"/>
      <c r="Q251" s="72"/>
      <c r="R251" s="72"/>
      <c r="S251" s="72"/>
      <c r="T251" s="72"/>
      <c r="U251" s="72"/>
      <c r="V251" s="72"/>
      <c r="W251" s="72"/>
    </row>
    <row r="252" spans="1:23" ht="25.5" customHeight="1" x14ac:dyDescent="0.2">
      <c r="A252" s="17"/>
      <c r="B252" s="417"/>
      <c r="C252" s="417"/>
      <c r="D252" s="417"/>
      <c r="E252" s="592"/>
      <c r="F252" s="593"/>
      <c r="G252" s="960"/>
      <c r="H252" s="961"/>
      <c r="I252" s="961"/>
      <c r="J252" s="961"/>
      <c r="K252" s="961"/>
      <c r="L252" s="961"/>
      <c r="M252" s="961"/>
      <c r="N252" s="962"/>
      <c r="O252" s="322"/>
      <c r="P252" s="72"/>
      <c r="Q252" s="72"/>
      <c r="R252" s="72"/>
      <c r="S252" s="72"/>
      <c r="T252" s="72"/>
      <c r="U252" s="72"/>
      <c r="V252" s="72"/>
      <c r="W252" s="72"/>
    </row>
    <row r="253" spans="1:23" ht="25.5" customHeight="1" x14ac:dyDescent="0.2">
      <c r="A253" s="17"/>
      <c r="B253" s="417"/>
      <c r="C253" s="417"/>
      <c r="D253" s="417"/>
      <c r="E253" s="950" t="str">
        <f>Translations!$B$414</f>
        <v>Post or department responsible for the procedure and for any data generated</v>
      </c>
      <c r="F253" s="951"/>
      <c r="G253" s="902"/>
      <c r="H253" s="903"/>
      <c r="I253" s="903"/>
      <c r="J253" s="903"/>
      <c r="K253" s="903"/>
      <c r="L253" s="903"/>
      <c r="M253" s="903"/>
      <c r="N253" s="904"/>
      <c r="O253" s="322"/>
      <c r="P253" s="72"/>
      <c r="Q253" s="72"/>
      <c r="R253" s="72"/>
      <c r="S253" s="72"/>
      <c r="T253" s="72"/>
      <c r="U253" s="72"/>
      <c r="V253" s="72"/>
      <c r="W253" s="72"/>
    </row>
    <row r="254" spans="1:23" ht="12.75" customHeight="1" x14ac:dyDescent="0.2">
      <c r="A254" s="17"/>
      <c r="B254" s="417"/>
      <c r="C254" s="417"/>
      <c r="D254" s="417"/>
      <c r="E254" s="950" t="str">
        <f>Translations!$B$416</f>
        <v>Location where records are kept</v>
      </c>
      <c r="F254" s="951"/>
      <c r="G254" s="902"/>
      <c r="H254" s="851"/>
      <c r="I254" s="851"/>
      <c r="J254" s="851"/>
      <c r="K254" s="851"/>
      <c r="L254" s="851"/>
      <c r="M254" s="851"/>
      <c r="N254" s="852"/>
      <c r="O254" s="322"/>
      <c r="P254" s="72"/>
      <c r="Q254" s="72"/>
      <c r="R254" s="72"/>
      <c r="S254" s="72"/>
      <c r="T254" s="72"/>
      <c r="U254" s="72"/>
      <c r="V254" s="72"/>
      <c r="W254" s="72"/>
    </row>
    <row r="255" spans="1:23" ht="25.5" customHeight="1" x14ac:dyDescent="0.2">
      <c r="A255" s="17"/>
      <c r="B255" s="417"/>
      <c r="C255" s="417"/>
      <c r="D255" s="417"/>
      <c r="E255" s="950" t="str">
        <f>Translations!$B$418</f>
        <v>Name of IT system used (where applicable).</v>
      </c>
      <c r="F255" s="951"/>
      <c r="G255" s="902"/>
      <c r="H255" s="851"/>
      <c r="I255" s="851"/>
      <c r="J255" s="851"/>
      <c r="K255" s="851"/>
      <c r="L255" s="851"/>
      <c r="M255" s="851"/>
      <c r="N255" s="852"/>
      <c r="O255" s="322"/>
      <c r="P255" s="72"/>
      <c r="Q255" s="72"/>
      <c r="R255" s="72"/>
      <c r="S255" s="72"/>
      <c r="T255" s="72"/>
      <c r="U255" s="72"/>
      <c r="V255" s="72"/>
      <c r="W255" s="72"/>
    </row>
    <row r="256" spans="1:23" ht="25.5" customHeight="1" x14ac:dyDescent="0.2">
      <c r="A256" s="17"/>
      <c r="B256" s="417"/>
      <c r="C256" s="417"/>
      <c r="D256" s="417"/>
      <c r="E256" s="950" t="str">
        <f>Translations!$B$420</f>
        <v>List of EN or other standards applied (where relevant)</v>
      </c>
      <c r="F256" s="951"/>
      <c r="G256" s="902"/>
      <c r="H256" s="851"/>
      <c r="I256" s="851"/>
      <c r="J256" s="851"/>
      <c r="K256" s="851"/>
      <c r="L256" s="851"/>
      <c r="M256" s="851"/>
      <c r="N256" s="852"/>
      <c r="O256" s="322"/>
      <c r="P256" s="72"/>
      <c r="Q256" s="72"/>
      <c r="R256" s="72"/>
      <c r="S256" s="72"/>
      <c r="T256" s="72"/>
      <c r="U256" s="72"/>
      <c r="V256" s="72"/>
      <c r="W256" s="72"/>
    </row>
    <row r="257" spans="1:23" ht="12.75" customHeight="1" x14ac:dyDescent="0.2">
      <c r="A257" s="17"/>
      <c r="B257" s="417"/>
      <c r="C257" s="417"/>
      <c r="D257" s="417"/>
      <c r="E257" s="417"/>
      <c r="F257" s="417"/>
      <c r="G257" s="417"/>
      <c r="H257" s="417"/>
      <c r="I257" s="417"/>
      <c r="J257" s="417"/>
      <c r="K257" s="417"/>
      <c r="L257" s="417"/>
      <c r="M257" s="417"/>
      <c r="N257" s="417"/>
      <c r="O257" s="322"/>
      <c r="P257" s="72"/>
      <c r="Q257" s="72"/>
      <c r="R257" s="72"/>
      <c r="S257" s="72"/>
      <c r="T257" s="72"/>
      <c r="U257" s="72"/>
      <c r="V257" s="72"/>
      <c r="W257" s="72"/>
    </row>
    <row r="258" spans="1:23" ht="25.5" customHeight="1" x14ac:dyDescent="0.2">
      <c r="A258" s="17"/>
      <c r="B258" s="417"/>
      <c r="C258" s="417"/>
      <c r="D258" s="14" t="s">
        <v>353</v>
      </c>
      <c r="E258" s="717" t="str">
        <f>Translations!$B$1344</f>
        <v>Description of the procedure used to determine biogas quantities based on purchase records in accordance with Article 39(4), or zero-rated RFNBO or RCF quantities in accordance with Article 39a(5), if applicable.</v>
      </c>
      <c r="F258" s="717"/>
      <c r="G258" s="717"/>
      <c r="H258" s="717"/>
      <c r="I258" s="717"/>
      <c r="J258" s="717"/>
      <c r="K258" s="717"/>
      <c r="L258" s="717"/>
      <c r="M258" s="717"/>
      <c r="N258" s="717"/>
      <c r="O258" s="322"/>
      <c r="P258" s="72"/>
      <c r="Q258" s="72"/>
      <c r="R258" s="72"/>
      <c r="S258" s="72"/>
      <c r="T258" s="72"/>
      <c r="U258" s="72"/>
      <c r="V258" s="72"/>
      <c r="W258" s="72"/>
    </row>
    <row r="259" spans="1:23" ht="12.75" customHeight="1" x14ac:dyDescent="0.2">
      <c r="A259" s="72"/>
      <c r="B259" s="417"/>
      <c r="C259" s="417"/>
      <c r="D259" s="14"/>
      <c r="E259" s="827" t="str">
        <f>Translations!$B$1345</f>
        <v>This procedure is only relevant where the operator wants to claim the use of biogas or RFNBOs/RCFs received from a (natural) gas grid.</v>
      </c>
      <c r="F259" s="767"/>
      <c r="G259" s="767"/>
      <c r="H259" s="767"/>
      <c r="I259" s="767"/>
      <c r="J259" s="767"/>
      <c r="K259" s="767"/>
      <c r="L259" s="767"/>
      <c r="M259" s="732"/>
      <c r="N259" s="732"/>
      <c r="O259" s="322"/>
      <c r="P259" s="72"/>
      <c r="Q259" s="72"/>
      <c r="R259" s="72"/>
      <c r="S259" s="72"/>
      <c r="T259" s="72"/>
      <c r="U259" s="72"/>
      <c r="V259" s="72"/>
      <c r="W259" s="72"/>
    </row>
    <row r="260" spans="1:23" ht="5.0999999999999996" customHeight="1" x14ac:dyDescent="0.2">
      <c r="A260" s="17"/>
      <c r="B260" s="417"/>
      <c r="C260" s="417"/>
      <c r="D260" s="417"/>
      <c r="E260" s="417"/>
      <c r="F260" s="417"/>
      <c r="G260" s="417"/>
      <c r="H260" s="417"/>
      <c r="I260" s="417"/>
      <c r="J260" s="417"/>
      <c r="K260" s="417"/>
      <c r="L260" s="417"/>
      <c r="M260" s="417"/>
      <c r="N260" s="417"/>
      <c r="O260" s="322"/>
      <c r="P260" s="72"/>
      <c r="Q260" s="72"/>
      <c r="R260" s="72"/>
      <c r="S260" s="72"/>
      <c r="T260" s="72"/>
      <c r="U260" s="72"/>
      <c r="V260" s="72"/>
      <c r="W260" s="72"/>
    </row>
    <row r="261" spans="1:23" ht="12.75" customHeight="1" x14ac:dyDescent="0.2">
      <c r="A261" s="17"/>
      <c r="B261" s="417"/>
      <c r="C261" s="417"/>
      <c r="D261" s="417"/>
      <c r="E261" s="950" t="str">
        <f>Translations!$B$405</f>
        <v>Title of procedure</v>
      </c>
      <c r="F261" s="951"/>
      <c r="G261" s="902"/>
      <c r="H261" s="851"/>
      <c r="I261" s="851"/>
      <c r="J261" s="851"/>
      <c r="K261" s="851"/>
      <c r="L261" s="851"/>
      <c r="M261" s="851"/>
      <c r="N261" s="852"/>
      <c r="O261" s="322"/>
      <c r="P261" s="72"/>
      <c r="Q261" s="72"/>
      <c r="R261" s="72"/>
      <c r="S261" s="72"/>
      <c r="T261" s="72"/>
      <c r="U261" s="72"/>
      <c r="V261" s="72"/>
      <c r="W261" s="72"/>
    </row>
    <row r="262" spans="1:23" ht="12.75" customHeight="1" x14ac:dyDescent="0.2">
      <c r="A262" s="17"/>
      <c r="B262" s="417"/>
      <c r="C262" s="417"/>
      <c r="D262" s="417"/>
      <c r="E262" s="950" t="str">
        <f>Translations!$B$407</f>
        <v>Reference for procedure</v>
      </c>
      <c r="F262" s="951"/>
      <c r="G262" s="902"/>
      <c r="H262" s="851"/>
      <c r="I262" s="851"/>
      <c r="J262" s="851"/>
      <c r="K262" s="851"/>
      <c r="L262" s="851"/>
      <c r="M262" s="851"/>
      <c r="N262" s="852"/>
      <c r="O262" s="322"/>
      <c r="P262" s="72"/>
      <c r="Q262" s="72"/>
      <c r="R262" s="72"/>
      <c r="S262" s="72"/>
      <c r="T262" s="72"/>
      <c r="U262" s="72"/>
      <c r="V262" s="72"/>
      <c r="W262" s="72"/>
    </row>
    <row r="263" spans="1:23" ht="12.75" customHeight="1" x14ac:dyDescent="0.2">
      <c r="A263" s="17"/>
      <c r="B263" s="417"/>
      <c r="C263" s="417"/>
      <c r="D263" s="417"/>
      <c r="E263" s="950" t="str">
        <f>Translations!$B$409</f>
        <v>Diagram reference (where applicable)</v>
      </c>
      <c r="F263" s="951"/>
      <c r="G263" s="902"/>
      <c r="H263" s="851"/>
      <c r="I263" s="851"/>
      <c r="J263" s="851"/>
      <c r="K263" s="851"/>
      <c r="L263" s="851"/>
      <c r="M263" s="851"/>
      <c r="N263" s="852"/>
      <c r="O263" s="322"/>
      <c r="P263" s="72"/>
      <c r="Q263" s="72"/>
      <c r="R263" s="72"/>
      <c r="S263" s="72"/>
      <c r="T263" s="72"/>
      <c r="U263" s="72"/>
      <c r="V263" s="72"/>
      <c r="W263" s="72"/>
    </row>
    <row r="264" spans="1:23" ht="25.5" customHeight="1" x14ac:dyDescent="0.2">
      <c r="A264" s="17"/>
      <c r="B264" s="417"/>
      <c r="C264" s="417"/>
      <c r="D264" s="417"/>
      <c r="E264" s="952" t="str">
        <f>Translations!$B$411</f>
        <v xml:space="preserve">Brief description of procedure    </v>
      </c>
      <c r="F264" s="953"/>
      <c r="G264" s="954"/>
      <c r="H264" s="955"/>
      <c r="I264" s="955"/>
      <c r="J264" s="955"/>
      <c r="K264" s="955"/>
      <c r="L264" s="955"/>
      <c r="M264" s="955"/>
      <c r="N264" s="956"/>
      <c r="O264" s="322"/>
      <c r="P264" s="72"/>
      <c r="Q264" s="72"/>
      <c r="R264" s="72"/>
      <c r="S264" s="72"/>
      <c r="T264" s="72"/>
      <c r="U264" s="72"/>
      <c r="V264" s="72"/>
      <c r="W264" s="72"/>
    </row>
    <row r="265" spans="1:23" ht="25.5" customHeight="1" x14ac:dyDescent="0.2">
      <c r="A265" s="17"/>
      <c r="B265" s="417"/>
      <c r="C265" s="417"/>
      <c r="D265" s="417"/>
      <c r="E265" s="590"/>
      <c r="F265" s="591"/>
      <c r="G265" s="957"/>
      <c r="H265" s="958"/>
      <c r="I265" s="958"/>
      <c r="J265" s="958"/>
      <c r="K265" s="958"/>
      <c r="L265" s="958"/>
      <c r="M265" s="958"/>
      <c r="N265" s="959"/>
      <c r="O265" s="322"/>
      <c r="P265" s="72"/>
      <c r="Q265" s="72"/>
      <c r="R265" s="72"/>
      <c r="S265" s="72"/>
      <c r="T265" s="72"/>
      <c r="U265" s="72"/>
      <c r="V265" s="72"/>
      <c r="W265" s="72"/>
    </row>
    <row r="266" spans="1:23" ht="25.5" customHeight="1" x14ac:dyDescent="0.2">
      <c r="A266" s="17"/>
      <c r="B266" s="417"/>
      <c r="C266" s="417"/>
      <c r="D266" s="417"/>
      <c r="E266" s="592"/>
      <c r="F266" s="593"/>
      <c r="G266" s="960"/>
      <c r="H266" s="961"/>
      <c r="I266" s="961"/>
      <c r="J266" s="961"/>
      <c r="K266" s="961"/>
      <c r="L266" s="961"/>
      <c r="M266" s="961"/>
      <c r="N266" s="962"/>
      <c r="O266" s="322"/>
      <c r="P266" s="72"/>
      <c r="Q266" s="72"/>
      <c r="R266" s="72"/>
      <c r="S266" s="72"/>
      <c r="T266" s="72"/>
      <c r="U266" s="72"/>
      <c r="V266" s="72"/>
      <c r="W266" s="72"/>
    </row>
    <row r="267" spans="1:23" ht="25.5" customHeight="1" x14ac:dyDescent="0.2">
      <c r="A267" s="17"/>
      <c r="B267" s="417"/>
      <c r="C267" s="417"/>
      <c r="D267" s="417"/>
      <c r="E267" s="950" t="str">
        <f>Translations!$B$414</f>
        <v>Post or department responsible for the procedure and for any data generated</v>
      </c>
      <c r="F267" s="951"/>
      <c r="G267" s="902"/>
      <c r="H267" s="903"/>
      <c r="I267" s="903"/>
      <c r="J267" s="903"/>
      <c r="K267" s="903"/>
      <c r="L267" s="903"/>
      <c r="M267" s="903"/>
      <c r="N267" s="904"/>
      <c r="O267" s="322"/>
      <c r="P267" s="72"/>
      <c r="Q267" s="72"/>
      <c r="R267" s="72"/>
      <c r="S267" s="72"/>
      <c r="T267" s="72"/>
      <c r="U267" s="72"/>
      <c r="V267" s="72"/>
      <c r="W267" s="72"/>
    </row>
    <row r="268" spans="1:23" ht="12.75" customHeight="1" x14ac:dyDescent="0.2">
      <c r="A268" s="17"/>
      <c r="B268" s="417"/>
      <c r="C268" s="417"/>
      <c r="D268" s="417"/>
      <c r="E268" s="950" t="str">
        <f>Translations!$B$416</f>
        <v>Location where records are kept</v>
      </c>
      <c r="F268" s="951"/>
      <c r="G268" s="902"/>
      <c r="H268" s="851"/>
      <c r="I268" s="851"/>
      <c r="J268" s="851"/>
      <c r="K268" s="851"/>
      <c r="L268" s="851"/>
      <c r="M268" s="851"/>
      <c r="N268" s="852"/>
      <c r="O268" s="322"/>
      <c r="P268" s="72"/>
      <c r="Q268" s="72"/>
      <c r="R268" s="72"/>
      <c r="S268" s="72"/>
      <c r="T268" s="72"/>
      <c r="U268" s="72"/>
      <c r="V268" s="72"/>
      <c r="W268" s="72"/>
    </row>
    <row r="269" spans="1:23" ht="25.5" customHeight="1" x14ac:dyDescent="0.2">
      <c r="A269" s="17"/>
      <c r="B269" s="417"/>
      <c r="C269" s="417"/>
      <c r="D269" s="417"/>
      <c r="E269" s="950" t="str">
        <f>Translations!$B$418</f>
        <v>Name of IT system used (where applicable).</v>
      </c>
      <c r="F269" s="951"/>
      <c r="G269" s="902"/>
      <c r="H269" s="851"/>
      <c r="I269" s="851"/>
      <c r="J269" s="851"/>
      <c r="K269" s="851"/>
      <c r="L269" s="851"/>
      <c r="M269" s="851"/>
      <c r="N269" s="852"/>
      <c r="O269" s="322"/>
      <c r="P269" s="72"/>
      <c r="Q269" s="72"/>
      <c r="R269" s="72"/>
      <c r="S269" s="72"/>
      <c r="T269" s="72"/>
      <c r="U269" s="72"/>
      <c r="V269" s="72"/>
      <c r="W269" s="72"/>
    </row>
    <row r="270" spans="1:23" ht="25.5" customHeight="1" x14ac:dyDescent="0.2">
      <c r="A270" s="17"/>
      <c r="B270" s="417"/>
      <c r="C270" s="417"/>
      <c r="D270" s="417"/>
      <c r="E270" s="950" t="str">
        <f>Translations!$B$420</f>
        <v>List of EN or other standards applied (where relevant)</v>
      </c>
      <c r="F270" s="951"/>
      <c r="G270" s="902"/>
      <c r="H270" s="851"/>
      <c r="I270" s="851"/>
      <c r="J270" s="851"/>
      <c r="K270" s="851"/>
      <c r="L270" s="851"/>
      <c r="M270" s="851"/>
      <c r="N270" s="852"/>
      <c r="O270" s="322"/>
      <c r="P270" s="72"/>
      <c r="Q270" s="72"/>
      <c r="R270" s="72"/>
      <c r="S270" s="72"/>
      <c r="T270" s="72"/>
      <c r="U270" s="72"/>
      <c r="V270" s="72"/>
      <c r="W270" s="72"/>
    </row>
    <row r="271" spans="1:23" ht="12.75" customHeight="1" x14ac:dyDescent="0.2">
      <c r="A271" s="17"/>
      <c r="B271" s="417"/>
      <c r="C271" s="417"/>
      <c r="D271" s="417"/>
      <c r="E271" s="417"/>
      <c r="F271" s="417"/>
      <c r="G271" s="417"/>
      <c r="H271" s="417"/>
      <c r="I271" s="417"/>
      <c r="J271" s="417"/>
      <c r="K271" s="417"/>
      <c r="L271" s="417"/>
      <c r="M271" s="417"/>
      <c r="N271" s="417"/>
      <c r="O271" s="322"/>
      <c r="P271" s="72"/>
      <c r="Q271" s="72"/>
      <c r="R271" s="72"/>
      <c r="S271" s="72"/>
      <c r="T271" s="72"/>
      <c r="U271" s="72"/>
      <c r="V271" s="72"/>
      <c r="W271" s="72"/>
    </row>
    <row r="272" spans="1:23" ht="12.75" customHeight="1" x14ac:dyDescent="0.2">
      <c r="A272" s="17"/>
      <c r="B272" s="417"/>
      <c r="C272" s="417"/>
      <c r="D272" s="14" t="s">
        <v>354</v>
      </c>
      <c r="E272" s="717" t="str">
        <f>Translations!$B$1346</f>
        <v>Description of the procedure used to determine the information for each purchase as required by Article 75v(2) and Annex Xa.</v>
      </c>
      <c r="F272" s="717"/>
      <c r="G272" s="717"/>
      <c r="H272" s="717"/>
      <c r="I272" s="717"/>
      <c r="J272" s="717"/>
      <c r="K272" s="717"/>
      <c r="L272" s="717"/>
      <c r="M272" s="717"/>
      <c r="N272" s="717"/>
      <c r="O272" s="322"/>
      <c r="P272" s="72"/>
      <c r="Q272" s="72"/>
      <c r="R272" s="72"/>
      <c r="S272" s="72"/>
      <c r="T272" s="72"/>
      <c r="U272" s="72"/>
      <c r="V272" s="72"/>
      <c r="W272" s="72"/>
    </row>
    <row r="273" spans="1:23" ht="25.5" customHeight="1" x14ac:dyDescent="0.2">
      <c r="A273" s="72"/>
      <c r="B273" s="417"/>
      <c r="C273" s="417"/>
      <c r="D273" s="14"/>
      <c r="E273" s="827" t="str">
        <f>Translations!$B$1347</f>
        <v>This procedure should describe how to keep track of each purchase of fuel from each fuel supplier, the amounts annually consumed for activities covered by Annex I of the Directive, amounts taken from / put on stock and amounts exported.</v>
      </c>
      <c r="F273" s="767"/>
      <c r="G273" s="767"/>
      <c r="H273" s="767"/>
      <c r="I273" s="767"/>
      <c r="J273" s="767"/>
      <c r="K273" s="767"/>
      <c r="L273" s="767"/>
      <c r="M273" s="732"/>
      <c r="N273" s="732"/>
      <c r="O273" s="322"/>
      <c r="P273" s="72"/>
      <c r="Q273" s="72"/>
      <c r="R273" s="72"/>
      <c r="S273" s="72"/>
      <c r="T273" s="72"/>
      <c r="U273" s="72"/>
      <c r="V273" s="72"/>
      <c r="W273" s="72"/>
    </row>
    <row r="274" spans="1:23" ht="5.0999999999999996" customHeight="1" x14ac:dyDescent="0.2">
      <c r="A274" s="17"/>
      <c r="B274" s="417"/>
      <c r="C274" s="417"/>
      <c r="D274" s="417"/>
      <c r="E274" s="417"/>
      <c r="F274" s="417"/>
      <c r="G274" s="417"/>
      <c r="H274" s="417"/>
      <c r="I274" s="417"/>
      <c r="J274" s="417"/>
      <c r="K274" s="417"/>
      <c r="L274" s="417"/>
      <c r="M274" s="417"/>
      <c r="N274" s="417"/>
      <c r="O274" s="322"/>
      <c r="P274" s="72"/>
      <c r="Q274" s="72"/>
      <c r="R274" s="72"/>
      <c r="S274" s="72"/>
      <c r="T274" s="72"/>
      <c r="U274" s="72"/>
      <c r="V274" s="72"/>
      <c r="W274" s="72"/>
    </row>
    <row r="275" spans="1:23" ht="12.75" customHeight="1" x14ac:dyDescent="0.2">
      <c r="A275" s="17"/>
      <c r="B275" s="417"/>
      <c r="C275" s="417"/>
      <c r="D275" s="417"/>
      <c r="E275" s="950" t="str">
        <f>Translations!$B$405</f>
        <v>Title of procedure</v>
      </c>
      <c r="F275" s="951"/>
      <c r="G275" s="902"/>
      <c r="H275" s="851"/>
      <c r="I275" s="851"/>
      <c r="J275" s="851"/>
      <c r="K275" s="851"/>
      <c r="L275" s="851"/>
      <c r="M275" s="851"/>
      <c r="N275" s="852"/>
      <c r="O275" s="322"/>
      <c r="P275" s="72"/>
      <c r="Q275" s="72"/>
      <c r="R275" s="72"/>
      <c r="S275" s="72"/>
      <c r="T275" s="72"/>
      <c r="U275" s="72"/>
      <c r="V275" s="72"/>
      <c r="W275" s="72"/>
    </row>
    <row r="276" spans="1:23" ht="12.75" customHeight="1" x14ac:dyDescent="0.2">
      <c r="A276" s="17"/>
      <c r="B276" s="417"/>
      <c r="C276" s="417"/>
      <c r="D276" s="417"/>
      <c r="E276" s="950" t="str">
        <f>Translations!$B$407</f>
        <v>Reference for procedure</v>
      </c>
      <c r="F276" s="951"/>
      <c r="G276" s="902"/>
      <c r="H276" s="851"/>
      <c r="I276" s="851"/>
      <c r="J276" s="851"/>
      <c r="K276" s="851"/>
      <c r="L276" s="851"/>
      <c r="M276" s="851"/>
      <c r="N276" s="852"/>
      <c r="O276" s="322"/>
      <c r="P276" s="72"/>
      <c r="Q276" s="72"/>
      <c r="R276" s="72"/>
      <c r="S276" s="72"/>
      <c r="T276" s="72"/>
      <c r="U276" s="72"/>
      <c r="V276" s="72"/>
      <c r="W276" s="72"/>
    </row>
    <row r="277" spans="1:23" ht="12.75" customHeight="1" x14ac:dyDescent="0.2">
      <c r="A277" s="17"/>
      <c r="B277" s="417"/>
      <c r="C277" s="417"/>
      <c r="D277" s="417"/>
      <c r="E277" s="950" t="str">
        <f>Translations!$B$409</f>
        <v>Diagram reference (where applicable)</v>
      </c>
      <c r="F277" s="951"/>
      <c r="G277" s="902"/>
      <c r="H277" s="851"/>
      <c r="I277" s="851"/>
      <c r="J277" s="851"/>
      <c r="K277" s="851"/>
      <c r="L277" s="851"/>
      <c r="M277" s="851"/>
      <c r="N277" s="852"/>
      <c r="O277" s="322"/>
      <c r="P277" s="72"/>
      <c r="Q277" s="72"/>
      <c r="R277" s="72"/>
      <c r="S277" s="72"/>
      <c r="T277" s="72"/>
      <c r="U277" s="72"/>
      <c r="V277" s="72"/>
      <c r="W277" s="72"/>
    </row>
    <row r="278" spans="1:23" ht="25.5" customHeight="1" x14ac:dyDescent="0.2">
      <c r="A278" s="17"/>
      <c r="B278" s="417"/>
      <c r="C278" s="417"/>
      <c r="D278" s="417"/>
      <c r="E278" s="952" t="str">
        <f>Translations!$B$411</f>
        <v xml:space="preserve">Brief description of procedure    </v>
      </c>
      <c r="F278" s="953"/>
      <c r="G278" s="954"/>
      <c r="H278" s="955"/>
      <c r="I278" s="955"/>
      <c r="J278" s="955"/>
      <c r="K278" s="955"/>
      <c r="L278" s="955"/>
      <c r="M278" s="955"/>
      <c r="N278" s="956"/>
      <c r="O278" s="322"/>
      <c r="P278" s="72"/>
      <c r="Q278" s="72"/>
      <c r="R278" s="72"/>
      <c r="S278" s="72"/>
      <c r="T278" s="72"/>
      <c r="U278" s="72"/>
      <c r="V278" s="72"/>
      <c r="W278" s="72"/>
    </row>
    <row r="279" spans="1:23" ht="25.5" customHeight="1" x14ac:dyDescent="0.2">
      <c r="A279" s="17"/>
      <c r="B279" s="417"/>
      <c r="C279" s="417"/>
      <c r="D279" s="417"/>
      <c r="E279" s="590"/>
      <c r="F279" s="591"/>
      <c r="G279" s="957"/>
      <c r="H279" s="958"/>
      <c r="I279" s="958"/>
      <c r="J279" s="958"/>
      <c r="K279" s="958"/>
      <c r="L279" s="958"/>
      <c r="M279" s="958"/>
      <c r="N279" s="959"/>
      <c r="O279" s="322"/>
      <c r="P279" s="72"/>
      <c r="Q279" s="72"/>
      <c r="R279" s="72"/>
      <c r="S279" s="72"/>
      <c r="T279" s="72"/>
      <c r="U279" s="72"/>
      <c r="V279" s="72"/>
      <c r="W279" s="72"/>
    </row>
    <row r="280" spans="1:23" ht="25.5" customHeight="1" x14ac:dyDescent="0.2">
      <c r="A280" s="17"/>
      <c r="B280" s="417"/>
      <c r="C280" s="417"/>
      <c r="D280" s="417"/>
      <c r="E280" s="592"/>
      <c r="F280" s="593"/>
      <c r="G280" s="960"/>
      <c r="H280" s="961"/>
      <c r="I280" s="961"/>
      <c r="J280" s="961"/>
      <c r="K280" s="961"/>
      <c r="L280" s="961"/>
      <c r="M280" s="961"/>
      <c r="N280" s="962"/>
      <c r="O280" s="322"/>
      <c r="P280" s="72"/>
      <c r="Q280" s="72"/>
      <c r="R280" s="72"/>
      <c r="S280" s="72"/>
      <c r="T280" s="72"/>
      <c r="U280" s="72"/>
      <c r="V280" s="72"/>
      <c r="W280" s="72"/>
    </row>
    <row r="281" spans="1:23" ht="25.5" customHeight="1" x14ac:dyDescent="0.2">
      <c r="A281" s="17"/>
      <c r="B281" s="417"/>
      <c r="C281" s="417"/>
      <c r="D281" s="417"/>
      <c r="E281" s="950" t="str">
        <f>Translations!$B$414</f>
        <v>Post or department responsible for the procedure and for any data generated</v>
      </c>
      <c r="F281" s="951"/>
      <c r="G281" s="902"/>
      <c r="H281" s="903"/>
      <c r="I281" s="903"/>
      <c r="J281" s="903"/>
      <c r="K281" s="903"/>
      <c r="L281" s="903"/>
      <c r="M281" s="903"/>
      <c r="N281" s="904"/>
      <c r="O281" s="322"/>
      <c r="P281" s="72"/>
      <c r="Q281" s="72"/>
      <c r="R281" s="72"/>
      <c r="S281" s="72"/>
      <c r="T281" s="72"/>
      <c r="U281" s="72"/>
      <c r="V281" s="72"/>
      <c r="W281" s="72"/>
    </row>
    <row r="282" spans="1:23" ht="12.75" customHeight="1" x14ac:dyDescent="0.2">
      <c r="A282" s="17"/>
      <c r="B282" s="417"/>
      <c r="C282" s="417"/>
      <c r="D282" s="417"/>
      <c r="E282" s="950" t="str">
        <f>Translations!$B$416</f>
        <v>Location where records are kept</v>
      </c>
      <c r="F282" s="951"/>
      <c r="G282" s="902"/>
      <c r="H282" s="851"/>
      <c r="I282" s="851"/>
      <c r="J282" s="851"/>
      <c r="K282" s="851"/>
      <c r="L282" s="851"/>
      <c r="M282" s="851"/>
      <c r="N282" s="852"/>
      <c r="O282" s="322"/>
      <c r="P282" s="72"/>
      <c r="Q282" s="72"/>
      <c r="R282" s="72"/>
      <c r="S282" s="72"/>
      <c r="T282" s="72"/>
      <c r="U282" s="72"/>
      <c r="V282" s="72"/>
      <c r="W282" s="72"/>
    </row>
    <row r="283" spans="1:23" ht="25.5" customHeight="1" x14ac:dyDescent="0.2">
      <c r="A283" s="17"/>
      <c r="B283" s="417"/>
      <c r="C283" s="417"/>
      <c r="D283" s="417"/>
      <c r="E283" s="950" t="str">
        <f>Translations!$B$418</f>
        <v>Name of IT system used (where applicable).</v>
      </c>
      <c r="F283" s="951"/>
      <c r="G283" s="902"/>
      <c r="H283" s="851"/>
      <c r="I283" s="851"/>
      <c r="J283" s="851"/>
      <c r="K283" s="851"/>
      <c r="L283" s="851"/>
      <c r="M283" s="851"/>
      <c r="N283" s="852"/>
      <c r="O283" s="322"/>
      <c r="P283" s="72"/>
      <c r="Q283" s="72"/>
      <c r="R283" s="72"/>
      <c r="S283" s="72"/>
      <c r="T283" s="72"/>
      <c r="U283" s="72"/>
      <c r="V283" s="72"/>
      <c r="W283" s="72"/>
    </row>
    <row r="284" spans="1:23" ht="25.5" customHeight="1" x14ac:dyDescent="0.2">
      <c r="A284" s="17"/>
      <c r="B284" s="417"/>
      <c r="C284" s="417"/>
      <c r="D284" s="417"/>
      <c r="E284" s="950" t="str">
        <f>Translations!$B$420</f>
        <v>List of EN or other standards applied (where relevant)</v>
      </c>
      <c r="F284" s="951"/>
      <c r="G284" s="902"/>
      <c r="H284" s="851"/>
      <c r="I284" s="851"/>
      <c r="J284" s="851"/>
      <c r="K284" s="851"/>
      <c r="L284" s="851"/>
      <c r="M284" s="851"/>
      <c r="N284" s="852"/>
      <c r="O284" s="322"/>
      <c r="P284" s="72"/>
      <c r="Q284" s="72"/>
      <c r="R284" s="72"/>
      <c r="S284" s="72"/>
      <c r="T284" s="72"/>
      <c r="U284" s="72"/>
      <c r="V284" s="72"/>
      <c r="W284" s="72"/>
    </row>
    <row r="285" spans="1:23" ht="12.75" customHeight="1" x14ac:dyDescent="0.2">
      <c r="A285" s="17"/>
      <c r="B285" s="417"/>
      <c r="C285" s="417"/>
      <c r="D285" s="417"/>
      <c r="E285" s="417"/>
      <c r="F285" s="417"/>
      <c r="G285" s="417"/>
      <c r="H285" s="417"/>
      <c r="I285" s="417"/>
      <c r="J285" s="417"/>
      <c r="K285" s="417"/>
      <c r="L285" s="417"/>
      <c r="M285" s="417"/>
      <c r="N285" s="417"/>
      <c r="O285" s="322"/>
      <c r="P285" s="72"/>
      <c r="Q285" s="72"/>
      <c r="R285" s="72"/>
      <c r="S285" s="72"/>
      <c r="T285" s="72"/>
      <c r="U285" s="72"/>
      <c r="V285" s="72"/>
      <c r="W285" s="72"/>
    </row>
    <row r="286" spans="1:23" ht="25.5" customHeight="1" x14ac:dyDescent="0.2">
      <c r="A286" s="17"/>
      <c r="B286" s="417"/>
      <c r="C286" s="417"/>
      <c r="D286" s="14" t="s">
        <v>355</v>
      </c>
      <c r="E286" s="717" t="str">
        <f>Translations!$B$1348</f>
        <v>If appplicable, a description of the procedure used to determine whether process emissions from a material can be rated as zero, where corresponding CO2 has been reported by the installation producing the material.</v>
      </c>
      <c r="F286" s="717"/>
      <c r="G286" s="717"/>
      <c r="H286" s="717"/>
      <c r="I286" s="717"/>
      <c r="J286" s="717"/>
      <c r="K286" s="717"/>
      <c r="L286" s="717"/>
      <c r="M286" s="717"/>
      <c r="N286" s="717"/>
      <c r="O286" s="322"/>
      <c r="P286" s="72"/>
      <c r="Q286" s="72"/>
      <c r="R286" s="72"/>
      <c r="S286" s="72"/>
      <c r="T286" s="72"/>
      <c r="U286" s="72"/>
      <c r="V286" s="72"/>
      <c r="W286" s="72"/>
    </row>
    <row r="287" spans="1:23" ht="25.5" customHeight="1" x14ac:dyDescent="0.2">
      <c r="A287" s="72"/>
      <c r="B287" s="417"/>
      <c r="C287" s="417"/>
      <c r="D287" s="14"/>
      <c r="E287" s="827" t="str">
        <f>Translations!$B$1349</f>
        <v>Where this is relevant (e.g. soda ash used in glass industries, urea used for DeNOx), this procedure should describe how you ensure such materials meet the conditions listed in the last sub-paragraph of Annex II, section 4.</v>
      </c>
      <c r="F287" s="767"/>
      <c r="G287" s="767"/>
      <c r="H287" s="767"/>
      <c r="I287" s="767"/>
      <c r="J287" s="767"/>
      <c r="K287" s="767"/>
      <c r="L287" s="767"/>
      <c r="M287" s="732"/>
      <c r="N287" s="732"/>
      <c r="O287" s="322"/>
      <c r="P287" s="72"/>
      <c r="Q287" s="72"/>
      <c r="R287" s="72"/>
      <c r="S287" s="72"/>
      <c r="T287" s="72"/>
      <c r="U287" s="72"/>
      <c r="V287" s="72"/>
      <c r="W287" s="72"/>
    </row>
    <row r="288" spans="1:23" ht="5.0999999999999996" customHeight="1" x14ac:dyDescent="0.2">
      <c r="A288" s="17"/>
      <c r="B288" s="417"/>
      <c r="C288" s="417"/>
      <c r="D288" s="417"/>
      <c r="E288" s="417"/>
      <c r="F288" s="417"/>
      <c r="G288" s="417"/>
      <c r="H288" s="417"/>
      <c r="I288" s="417"/>
      <c r="J288" s="417"/>
      <c r="K288" s="417"/>
      <c r="L288" s="417"/>
      <c r="M288" s="417"/>
      <c r="N288" s="417"/>
      <c r="O288" s="322"/>
      <c r="P288" s="72"/>
      <c r="Q288" s="72"/>
      <c r="R288" s="72"/>
      <c r="S288" s="72"/>
      <c r="T288" s="72"/>
      <c r="U288" s="72"/>
      <c r="V288" s="72"/>
      <c r="W288" s="72"/>
    </row>
    <row r="289" spans="1:23" ht="12.75" customHeight="1" x14ac:dyDescent="0.2">
      <c r="A289" s="17"/>
      <c r="B289" s="417"/>
      <c r="C289" s="417"/>
      <c r="D289" s="417"/>
      <c r="E289" s="950" t="str">
        <f>Translations!$B$405</f>
        <v>Title of procedure</v>
      </c>
      <c r="F289" s="951"/>
      <c r="G289" s="902"/>
      <c r="H289" s="851"/>
      <c r="I289" s="851"/>
      <c r="J289" s="851"/>
      <c r="K289" s="851"/>
      <c r="L289" s="851"/>
      <c r="M289" s="851"/>
      <c r="N289" s="852"/>
      <c r="O289" s="322"/>
      <c r="P289" s="72"/>
      <c r="Q289" s="72"/>
      <c r="R289" s="72"/>
      <c r="S289" s="72"/>
      <c r="T289" s="72"/>
      <c r="U289" s="72"/>
      <c r="V289" s="72"/>
      <c r="W289" s="72"/>
    </row>
    <row r="290" spans="1:23" ht="12.75" customHeight="1" x14ac:dyDescent="0.2">
      <c r="A290" s="17"/>
      <c r="B290" s="417"/>
      <c r="C290" s="417"/>
      <c r="D290" s="417"/>
      <c r="E290" s="950" t="str">
        <f>Translations!$B$407</f>
        <v>Reference for procedure</v>
      </c>
      <c r="F290" s="951"/>
      <c r="G290" s="902"/>
      <c r="H290" s="851"/>
      <c r="I290" s="851"/>
      <c r="J290" s="851"/>
      <c r="K290" s="851"/>
      <c r="L290" s="851"/>
      <c r="M290" s="851"/>
      <c r="N290" s="852"/>
      <c r="O290" s="322"/>
      <c r="P290" s="72"/>
      <c r="Q290" s="72"/>
      <c r="R290" s="72"/>
      <c r="S290" s="72"/>
      <c r="T290" s="72"/>
      <c r="U290" s="72"/>
      <c r="V290" s="72"/>
      <c r="W290" s="72"/>
    </row>
    <row r="291" spans="1:23" ht="12.75" customHeight="1" x14ac:dyDescent="0.2">
      <c r="A291" s="17"/>
      <c r="B291" s="417"/>
      <c r="C291" s="417"/>
      <c r="D291" s="417"/>
      <c r="E291" s="950" t="str">
        <f>Translations!$B$409</f>
        <v>Diagram reference (where applicable)</v>
      </c>
      <c r="F291" s="951"/>
      <c r="G291" s="902"/>
      <c r="H291" s="851"/>
      <c r="I291" s="851"/>
      <c r="J291" s="851"/>
      <c r="K291" s="851"/>
      <c r="L291" s="851"/>
      <c r="M291" s="851"/>
      <c r="N291" s="852"/>
      <c r="O291" s="322"/>
      <c r="P291" s="72"/>
      <c r="Q291" s="72"/>
      <c r="R291" s="72"/>
      <c r="S291" s="72"/>
      <c r="T291" s="72"/>
      <c r="U291" s="72"/>
      <c r="V291" s="72"/>
      <c r="W291" s="72"/>
    </row>
    <row r="292" spans="1:23" ht="25.5" customHeight="1" x14ac:dyDescent="0.2">
      <c r="A292" s="17"/>
      <c r="B292" s="417"/>
      <c r="C292" s="417"/>
      <c r="D292" s="417"/>
      <c r="E292" s="952" t="str">
        <f>Translations!$B$411</f>
        <v xml:space="preserve">Brief description of procedure    </v>
      </c>
      <c r="F292" s="953"/>
      <c r="G292" s="954"/>
      <c r="H292" s="955"/>
      <c r="I292" s="955"/>
      <c r="J292" s="955"/>
      <c r="K292" s="955"/>
      <c r="L292" s="955"/>
      <c r="M292" s="955"/>
      <c r="N292" s="956"/>
      <c r="O292" s="322"/>
      <c r="P292" s="72"/>
      <c r="Q292" s="72"/>
      <c r="R292" s="72"/>
      <c r="S292" s="72"/>
      <c r="T292" s="72"/>
      <c r="U292" s="72"/>
      <c r="V292" s="72"/>
      <c r="W292" s="72"/>
    </row>
    <row r="293" spans="1:23" ht="25.5" customHeight="1" x14ac:dyDescent="0.2">
      <c r="A293" s="17"/>
      <c r="B293" s="417"/>
      <c r="C293" s="417"/>
      <c r="D293" s="417"/>
      <c r="E293" s="590"/>
      <c r="F293" s="591"/>
      <c r="G293" s="957"/>
      <c r="H293" s="958"/>
      <c r="I293" s="958"/>
      <c r="J293" s="958"/>
      <c r="K293" s="958"/>
      <c r="L293" s="958"/>
      <c r="M293" s="958"/>
      <c r="N293" s="959"/>
      <c r="O293" s="322"/>
      <c r="P293" s="72"/>
      <c r="Q293" s="72"/>
      <c r="R293" s="72"/>
      <c r="S293" s="72"/>
      <c r="T293" s="72"/>
      <c r="U293" s="72"/>
      <c r="V293" s="72"/>
      <c r="W293" s="72"/>
    </row>
    <row r="294" spans="1:23" ht="25.5" customHeight="1" x14ac:dyDescent="0.2">
      <c r="A294" s="17"/>
      <c r="B294" s="417"/>
      <c r="C294" s="417"/>
      <c r="D294" s="417"/>
      <c r="E294" s="592"/>
      <c r="F294" s="593"/>
      <c r="G294" s="960"/>
      <c r="H294" s="961"/>
      <c r="I294" s="961"/>
      <c r="J294" s="961"/>
      <c r="K294" s="961"/>
      <c r="L294" s="961"/>
      <c r="M294" s="961"/>
      <c r="N294" s="962"/>
      <c r="O294" s="322"/>
      <c r="P294" s="72"/>
      <c r="Q294" s="72"/>
      <c r="R294" s="72"/>
      <c r="S294" s="72"/>
      <c r="T294" s="72"/>
      <c r="U294" s="72"/>
      <c r="V294" s="72"/>
      <c r="W294" s="72"/>
    </row>
    <row r="295" spans="1:23" ht="25.5" customHeight="1" x14ac:dyDescent="0.2">
      <c r="A295" s="17"/>
      <c r="B295" s="417"/>
      <c r="C295" s="417"/>
      <c r="D295" s="417"/>
      <c r="E295" s="950" t="str">
        <f>Translations!$B$414</f>
        <v>Post or department responsible for the procedure and for any data generated</v>
      </c>
      <c r="F295" s="951"/>
      <c r="G295" s="902"/>
      <c r="H295" s="903"/>
      <c r="I295" s="903"/>
      <c r="J295" s="903"/>
      <c r="K295" s="903"/>
      <c r="L295" s="903"/>
      <c r="M295" s="903"/>
      <c r="N295" s="904"/>
      <c r="O295" s="322"/>
      <c r="P295" s="72"/>
      <c r="Q295" s="72"/>
      <c r="R295" s="72"/>
      <c r="S295" s="72"/>
      <c r="T295" s="72"/>
      <c r="U295" s="72"/>
      <c r="V295" s="72"/>
      <c r="W295" s="72"/>
    </row>
    <row r="296" spans="1:23" ht="12.75" customHeight="1" x14ac:dyDescent="0.2">
      <c r="A296" s="17"/>
      <c r="B296" s="417"/>
      <c r="C296" s="417"/>
      <c r="D296" s="417"/>
      <c r="E296" s="950" t="str">
        <f>Translations!$B$416</f>
        <v>Location where records are kept</v>
      </c>
      <c r="F296" s="951"/>
      <c r="G296" s="902"/>
      <c r="H296" s="851"/>
      <c r="I296" s="851"/>
      <c r="J296" s="851"/>
      <c r="K296" s="851"/>
      <c r="L296" s="851"/>
      <c r="M296" s="851"/>
      <c r="N296" s="852"/>
      <c r="O296" s="322"/>
      <c r="P296" s="72"/>
      <c r="Q296" s="72"/>
      <c r="R296" s="72"/>
      <c r="S296" s="72"/>
      <c r="T296" s="72"/>
      <c r="U296" s="72"/>
      <c r="V296" s="72"/>
      <c r="W296" s="72"/>
    </row>
    <row r="297" spans="1:23" ht="25.5" customHeight="1" x14ac:dyDescent="0.2">
      <c r="A297" s="17"/>
      <c r="B297" s="417"/>
      <c r="C297" s="417"/>
      <c r="D297" s="417"/>
      <c r="E297" s="950" t="str">
        <f>Translations!$B$418</f>
        <v>Name of IT system used (where applicable).</v>
      </c>
      <c r="F297" s="951"/>
      <c r="G297" s="902"/>
      <c r="H297" s="851"/>
      <c r="I297" s="851"/>
      <c r="J297" s="851"/>
      <c r="K297" s="851"/>
      <c r="L297" s="851"/>
      <c r="M297" s="851"/>
      <c r="N297" s="852"/>
      <c r="O297" s="322"/>
      <c r="P297" s="72"/>
      <c r="Q297" s="72"/>
      <c r="R297" s="72"/>
      <c r="S297" s="72"/>
      <c r="T297" s="72"/>
      <c r="U297" s="72"/>
      <c r="V297" s="72"/>
      <c r="W297" s="72"/>
    </row>
    <row r="298" spans="1:23" ht="25.5" customHeight="1" x14ac:dyDescent="0.2">
      <c r="A298" s="17"/>
      <c r="B298" s="417"/>
      <c r="C298" s="417"/>
      <c r="D298" s="417"/>
      <c r="E298" s="950" t="str">
        <f>Translations!$B$420</f>
        <v>List of EN or other standards applied (where relevant)</v>
      </c>
      <c r="F298" s="951"/>
      <c r="G298" s="902"/>
      <c r="H298" s="851"/>
      <c r="I298" s="851"/>
      <c r="J298" s="851"/>
      <c r="K298" s="851"/>
      <c r="L298" s="851"/>
      <c r="M298" s="851"/>
      <c r="N298" s="852"/>
      <c r="O298" s="322"/>
      <c r="P298" s="72"/>
      <c r="Q298" s="72"/>
      <c r="R298" s="72"/>
      <c r="S298" s="72"/>
      <c r="T298" s="72"/>
      <c r="U298" s="72"/>
      <c r="V298" s="72"/>
      <c r="W298" s="72"/>
    </row>
    <row r="299" spans="1:23" ht="12.75" hidden="1" customHeight="1" x14ac:dyDescent="0.2">
      <c r="A299" s="17" t="s">
        <v>1090</v>
      </c>
      <c r="B299" s="417"/>
      <c r="C299" s="417"/>
      <c r="D299" s="417"/>
      <c r="E299" s="417"/>
      <c r="F299" s="417"/>
      <c r="G299" s="417"/>
      <c r="H299" s="417"/>
      <c r="I299" s="417"/>
      <c r="J299" s="417"/>
      <c r="K299" s="417"/>
      <c r="L299" s="417"/>
      <c r="M299" s="417"/>
      <c r="N299" s="417"/>
      <c r="O299" s="322"/>
      <c r="P299" s="72"/>
      <c r="Q299" s="72"/>
      <c r="R299" s="72"/>
      <c r="S299" s="72"/>
      <c r="T299" s="72"/>
      <c r="U299" s="72"/>
      <c r="V299" s="72"/>
      <c r="W299" s="72"/>
    </row>
    <row r="300" spans="1:23" ht="12.75" hidden="1" customHeight="1" x14ac:dyDescent="0.2">
      <c r="A300" s="17" t="s">
        <v>1090</v>
      </c>
      <c r="B300" s="417"/>
      <c r="C300" s="417"/>
      <c r="D300" s="417"/>
      <c r="E300" s="717" t="str">
        <f>Translations!$B$1150</f>
        <v>Further procedure added by the operator</v>
      </c>
      <c r="F300" s="717"/>
      <c r="G300" s="717"/>
      <c r="H300" s="717"/>
      <c r="I300" s="717"/>
      <c r="J300" s="717"/>
      <c r="K300" s="717"/>
      <c r="L300" s="717"/>
      <c r="M300" s="717"/>
      <c r="N300" s="717"/>
      <c r="O300" s="322"/>
      <c r="P300" s="72"/>
      <c r="Q300" s="72"/>
      <c r="R300" s="72"/>
      <c r="S300" s="72"/>
      <c r="T300" s="72"/>
      <c r="U300" s="72"/>
      <c r="V300" s="72"/>
      <c r="W300" s="72"/>
    </row>
    <row r="301" spans="1:23" ht="12.75" hidden="1" customHeight="1" x14ac:dyDescent="0.2">
      <c r="A301" s="17" t="s">
        <v>1090</v>
      </c>
      <c r="B301" s="417"/>
      <c r="C301" s="417"/>
      <c r="D301" s="417"/>
      <c r="E301" s="417"/>
      <c r="F301" s="417"/>
      <c r="G301" s="417"/>
      <c r="H301" s="417"/>
      <c r="I301" s="417"/>
      <c r="J301" s="417"/>
      <c r="K301" s="417"/>
      <c r="L301" s="417"/>
      <c r="M301" s="417"/>
      <c r="N301" s="417"/>
      <c r="O301" s="322"/>
      <c r="P301" s="72"/>
      <c r="Q301" s="72"/>
      <c r="R301" s="72"/>
      <c r="S301" s="72"/>
      <c r="T301" s="72"/>
      <c r="U301" s="72"/>
      <c r="V301" s="72"/>
      <c r="W301" s="72"/>
    </row>
    <row r="302" spans="1:23" ht="12.75" hidden="1" customHeight="1" x14ac:dyDescent="0.2">
      <c r="A302" s="17" t="s">
        <v>1090</v>
      </c>
      <c r="B302" s="417"/>
      <c r="C302" s="417"/>
      <c r="D302" s="417"/>
      <c r="E302" s="950" t="str">
        <f>Translations!$B$405</f>
        <v>Title of procedure</v>
      </c>
      <c r="F302" s="951"/>
      <c r="G302" s="902"/>
      <c r="H302" s="851"/>
      <c r="I302" s="851"/>
      <c r="J302" s="851"/>
      <c r="K302" s="851"/>
      <c r="L302" s="851"/>
      <c r="M302" s="851"/>
      <c r="N302" s="852"/>
      <c r="O302" s="322"/>
      <c r="P302" s="72"/>
      <c r="Q302" s="72"/>
      <c r="R302" s="72"/>
      <c r="S302" s="72"/>
      <c r="T302" s="72"/>
      <c r="U302" s="72"/>
      <c r="V302" s="72"/>
      <c r="W302" s="72"/>
    </row>
    <row r="303" spans="1:23" ht="12.75" hidden="1" customHeight="1" x14ac:dyDescent="0.2">
      <c r="A303" s="17" t="s">
        <v>1090</v>
      </c>
      <c r="B303" s="417"/>
      <c r="C303" s="417"/>
      <c r="D303" s="417"/>
      <c r="E303" s="950" t="str">
        <f>Translations!$B$407</f>
        <v>Reference for procedure</v>
      </c>
      <c r="F303" s="951"/>
      <c r="G303" s="902"/>
      <c r="H303" s="851"/>
      <c r="I303" s="851"/>
      <c r="J303" s="851"/>
      <c r="K303" s="851"/>
      <c r="L303" s="851"/>
      <c r="M303" s="851"/>
      <c r="N303" s="852"/>
      <c r="O303" s="322"/>
      <c r="P303" s="72"/>
      <c r="Q303" s="72"/>
      <c r="R303" s="72"/>
      <c r="S303" s="72"/>
      <c r="T303" s="72"/>
      <c r="U303" s="72"/>
      <c r="V303" s="72"/>
      <c r="W303" s="72"/>
    </row>
    <row r="304" spans="1:23" ht="12.75" hidden="1" customHeight="1" x14ac:dyDescent="0.2">
      <c r="A304" s="17" t="s">
        <v>1090</v>
      </c>
      <c r="B304" s="417"/>
      <c r="C304" s="417"/>
      <c r="D304" s="417"/>
      <c r="E304" s="950" t="str">
        <f>Translations!$B$409</f>
        <v>Diagram reference (where applicable)</v>
      </c>
      <c r="F304" s="951"/>
      <c r="G304" s="902"/>
      <c r="H304" s="851"/>
      <c r="I304" s="851"/>
      <c r="J304" s="851"/>
      <c r="K304" s="851"/>
      <c r="L304" s="851"/>
      <c r="M304" s="851"/>
      <c r="N304" s="852"/>
      <c r="O304" s="322"/>
      <c r="P304" s="72"/>
      <c r="Q304" s="72"/>
      <c r="R304" s="72"/>
      <c r="S304" s="72"/>
      <c r="T304" s="72"/>
      <c r="U304" s="72"/>
      <c r="V304" s="72"/>
      <c r="W304" s="72"/>
    </row>
    <row r="305" spans="1:23" ht="25.5" hidden="1" customHeight="1" x14ac:dyDescent="0.2">
      <c r="A305" s="17" t="s">
        <v>1090</v>
      </c>
      <c r="B305" s="417"/>
      <c r="C305" s="417"/>
      <c r="D305" s="417"/>
      <c r="E305" s="952" t="str">
        <f>Translations!$B$411</f>
        <v xml:space="preserve">Brief description of procedure    </v>
      </c>
      <c r="F305" s="953"/>
      <c r="G305" s="954"/>
      <c r="H305" s="955"/>
      <c r="I305" s="955"/>
      <c r="J305" s="955"/>
      <c r="K305" s="955"/>
      <c r="L305" s="955"/>
      <c r="M305" s="955"/>
      <c r="N305" s="956"/>
      <c r="O305" s="322"/>
      <c r="P305" s="72"/>
      <c r="Q305" s="72"/>
      <c r="R305" s="72"/>
      <c r="S305" s="72"/>
      <c r="T305" s="72"/>
      <c r="U305" s="72"/>
      <c r="V305" s="72"/>
      <c r="W305" s="72"/>
    </row>
    <row r="306" spans="1:23" ht="25.5" hidden="1" customHeight="1" x14ac:dyDescent="0.2">
      <c r="A306" s="17" t="s">
        <v>1090</v>
      </c>
      <c r="B306" s="417"/>
      <c r="C306" s="417"/>
      <c r="D306" s="417"/>
      <c r="E306" s="590"/>
      <c r="F306" s="591"/>
      <c r="G306" s="957"/>
      <c r="H306" s="958"/>
      <c r="I306" s="958"/>
      <c r="J306" s="958"/>
      <c r="K306" s="958"/>
      <c r="L306" s="958"/>
      <c r="M306" s="958"/>
      <c r="N306" s="959"/>
      <c r="O306" s="322"/>
      <c r="P306" s="72"/>
      <c r="Q306" s="72"/>
      <c r="R306" s="72"/>
      <c r="S306" s="72"/>
      <c r="T306" s="72"/>
      <c r="U306" s="72"/>
      <c r="V306" s="72"/>
      <c r="W306" s="72"/>
    </row>
    <row r="307" spans="1:23" ht="25.5" hidden="1" customHeight="1" x14ac:dyDescent="0.2">
      <c r="A307" s="17" t="s">
        <v>1090</v>
      </c>
      <c r="B307" s="417"/>
      <c r="C307" s="417"/>
      <c r="D307" s="417"/>
      <c r="E307" s="592"/>
      <c r="F307" s="593"/>
      <c r="G307" s="960"/>
      <c r="H307" s="961"/>
      <c r="I307" s="961"/>
      <c r="J307" s="961"/>
      <c r="K307" s="961"/>
      <c r="L307" s="961"/>
      <c r="M307" s="961"/>
      <c r="N307" s="962"/>
      <c r="O307" s="322"/>
      <c r="P307" s="72"/>
      <c r="Q307" s="72"/>
      <c r="R307" s="72"/>
      <c r="S307" s="72"/>
      <c r="T307" s="72"/>
      <c r="U307" s="72"/>
      <c r="V307" s="72"/>
      <c r="W307" s="72"/>
    </row>
    <row r="308" spans="1:23" ht="25.5" hidden="1" customHeight="1" x14ac:dyDescent="0.2">
      <c r="A308" s="17" t="s">
        <v>1090</v>
      </c>
      <c r="B308" s="417"/>
      <c r="C308" s="417"/>
      <c r="D308" s="417"/>
      <c r="E308" s="950" t="str">
        <f>Translations!$B$414</f>
        <v>Post or department responsible for the procedure and for any data generated</v>
      </c>
      <c r="F308" s="951"/>
      <c r="G308" s="902"/>
      <c r="H308" s="903"/>
      <c r="I308" s="903"/>
      <c r="J308" s="903"/>
      <c r="K308" s="903"/>
      <c r="L308" s="903"/>
      <c r="M308" s="903"/>
      <c r="N308" s="904"/>
      <c r="O308" s="322"/>
      <c r="P308" s="72"/>
      <c r="Q308" s="72"/>
      <c r="R308" s="72"/>
      <c r="S308" s="72"/>
      <c r="T308" s="72"/>
      <c r="U308" s="72"/>
      <c r="V308" s="72"/>
      <c r="W308" s="72"/>
    </row>
    <row r="309" spans="1:23" ht="12.75" hidden="1" customHeight="1" x14ac:dyDescent="0.2">
      <c r="A309" s="17" t="s">
        <v>1090</v>
      </c>
      <c r="B309" s="417"/>
      <c r="C309" s="417"/>
      <c r="D309" s="417"/>
      <c r="E309" s="950" t="str">
        <f>Translations!$B$416</f>
        <v>Location where records are kept</v>
      </c>
      <c r="F309" s="951"/>
      <c r="G309" s="902"/>
      <c r="H309" s="851"/>
      <c r="I309" s="851"/>
      <c r="J309" s="851"/>
      <c r="K309" s="851"/>
      <c r="L309" s="851"/>
      <c r="M309" s="851"/>
      <c r="N309" s="852"/>
      <c r="O309" s="322"/>
      <c r="P309" s="72"/>
      <c r="Q309" s="72"/>
      <c r="R309" s="72"/>
      <c r="S309" s="72"/>
      <c r="T309" s="72"/>
      <c r="U309" s="72"/>
      <c r="V309" s="72"/>
      <c r="W309" s="72"/>
    </row>
    <row r="310" spans="1:23" ht="25.5" hidden="1" customHeight="1" x14ac:dyDescent="0.2">
      <c r="A310" s="17" t="s">
        <v>1090</v>
      </c>
      <c r="B310" s="417"/>
      <c r="C310" s="417"/>
      <c r="D310" s="417"/>
      <c r="E310" s="950" t="str">
        <f>Translations!$B$418</f>
        <v>Name of IT system used (where applicable).</v>
      </c>
      <c r="F310" s="951"/>
      <c r="G310" s="902"/>
      <c r="H310" s="851"/>
      <c r="I310" s="851"/>
      <c r="J310" s="851"/>
      <c r="K310" s="851"/>
      <c r="L310" s="851"/>
      <c r="M310" s="851"/>
      <c r="N310" s="852"/>
      <c r="O310" s="322"/>
      <c r="P310" s="72"/>
      <c r="Q310" s="72"/>
      <c r="R310" s="72"/>
      <c r="S310" s="72"/>
      <c r="T310" s="72"/>
      <c r="U310" s="72"/>
      <c r="V310" s="72"/>
      <c r="W310" s="72"/>
    </row>
    <row r="311" spans="1:23" ht="25.5" hidden="1" customHeight="1" x14ac:dyDescent="0.2">
      <c r="A311" s="17" t="s">
        <v>1090</v>
      </c>
      <c r="B311" s="417"/>
      <c r="C311" s="417"/>
      <c r="D311" s="417"/>
      <c r="E311" s="950" t="str">
        <f>Translations!$B$420</f>
        <v>List of EN or other standards applied (where relevant)</v>
      </c>
      <c r="F311" s="951"/>
      <c r="G311" s="902"/>
      <c r="H311" s="851"/>
      <c r="I311" s="851"/>
      <c r="J311" s="851"/>
      <c r="K311" s="851"/>
      <c r="L311" s="851"/>
      <c r="M311" s="851"/>
      <c r="N311" s="852"/>
      <c r="O311" s="322"/>
      <c r="P311" s="72"/>
      <c r="Q311" s="72"/>
      <c r="R311" s="72"/>
      <c r="S311" s="72"/>
      <c r="T311" s="72"/>
      <c r="U311" s="72"/>
      <c r="V311" s="72"/>
      <c r="W311" s="72"/>
    </row>
    <row r="312" spans="1:23" ht="12.75" customHeight="1" x14ac:dyDescent="0.2">
      <c r="A312" s="72" t="s">
        <v>5</v>
      </c>
      <c r="B312" s="417"/>
      <c r="C312" s="417"/>
      <c r="D312" s="417"/>
      <c r="E312" s="417"/>
      <c r="F312" s="417"/>
      <c r="G312" s="417"/>
      <c r="H312" s="417"/>
      <c r="I312" s="417"/>
      <c r="J312" s="417"/>
      <c r="K312" s="417"/>
      <c r="L312" s="417"/>
      <c r="M312" s="417"/>
      <c r="N312" s="417"/>
      <c r="O312" s="322"/>
      <c r="P312" s="72"/>
      <c r="Q312" s="72"/>
      <c r="R312" s="72"/>
      <c r="S312" s="72"/>
      <c r="T312" s="72"/>
      <c r="U312" s="72"/>
      <c r="V312" s="72"/>
      <c r="W312" s="72"/>
    </row>
    <row r="313" spans="1:23" ht="5.0999999999999996" customHeight="1" x14ac:dyDescent="0.2">
      <c r="A313" s="17"/>
      <c r="B313" s="417"/>
      <c r="C313" s="430"/>
      <c r="D313" s="14"/>
      <c r="E313" s="417"/>
      <c r="F313" s="417"/>
      <c r="G313" s="1025" t="str">
        <f>Translations!$B$429</f>
        <v>Click "+" to add more procedures</v>
      </c>
      <c r="H313" s="1026"/>
      <c r="I313" s="1026"/>
      <c r="J313" s="1026"/>
      <c r="K313" s="1027"/>
      <c r="L313" s="417"/>
      <c r="M313" s="322"/>
      <c r="N313" s="417"/>
      <c r="O313" s="322"/>
      <c r="P313" s="72"/>
      <c r="Q313" s="72"/>
      <c r="R313" s="72"/>
      <c r="S313" s="72"/>
      <c r="T313" s="72"/>
      <c r="U313" s="102"/>
      <c r="V313" s="72"/>
      <c r="W313" s="72"/>
    </row>
    <row r="314" spans="1:23" ht="12.75" customHeight="1" x14ac:dyDescent="0.2">
      <c r="A314" s="17"/>
      <c r="B314" s="417"/>
      <c r="C314" s="430"/>
      <c r="D314" s="14"/>
      <c r="E314" s="417"/>
      <c r="F314" s="417"/>
      <c r="G314" s="1028"/>
      <c r="H314" s="1029"/>
      <c r="I314" s="1029"/>
      <c r="J314" s="1029"/>
      <c r="K314" s="854"/>
      <c r="L314" s="417"/>
      <c r="M314" s="322"/>
      <c r="N314" s="417"/>
      <c r="O314" s="322"/>
      <c r="P314" s="72"/>
      <c r="Q314" s="72"/>
      <c r="R314" s="72"/>
      <c r="S314" s="72"/>
      <c r="T314" s="72"/>
      <c r="U314" s="102"/>
      <c r="V314" s="72"/>
      <c r="W314" s="72"/>
    </row>
    <row r="315" spans="1:23" ht="5.0999999999999996" customHeight="1" x14ac:dyDescent="0.2">
      <c r="A315" s="17"/>
      <c r="B315" s="417"/>
      <c r="C315" s="430"/>
      <c r="D315" s="14"/>
      <c r="E315" s="417"/>
      <c r="F315" s="417"/>
      <c r="G315" s="1030"/>
      <c r="H315" s="1031"/>
      <c r="I315" s="1031"/>
      <c r="J315" s="1031"/>
      <c r="K315" s="1032"/>
      <c r="L315" s="417"/>
      <c r="M315" s="322"/>
      <c r="N315" s="417"/>
      <c r="O315" s="322"/>
      <c r="P315" s="72"/>
      <c r="Q315" s="72"/>
      <c r="R315" s="72"/>
      <c r="S315" s="72"/>
      <c r="T315" s="72"/>
      <c r="U315" s="102"/>
      <c r="V315" s="72"/>
      <c r="W315" s="72"/>
    </row>
    <row r="316" spans="1:23" ht="12.75" customHeight="1" x14ac:dyDescent="0.2">
      <c r="A316" s="72"/>
      <c r="B316" s="417"/>
      <c r="C316" s="417"/>
      <c r="D316" s="417"/>
      <c r="E316" s="417"/>
      <c r="F316" s="417"/>
      <c r="G316" s="417"/>
      <c r="H316" s="417"/>
      <c r="I316" s="417"/>
      <c r="J316" s="417"/>
      <c r="K316" s="417"/>
      <c r="L316" s="417"/>
      <c r="M316" s="417"/>
      <c r="N316" s="417"/>
      <c r="O316" s="322"/>
      <c r="P316" s="72"/>
      <c r="Q316" s="72"/>
      <c r="R316" s="72"/>
      <c r="S316" s="72"/>
      <c r="T316" s="72"/>
      <c r="U316" s="72"/>
      <c r="V316" s="72"/>
      <c r="W316" s="72"/>
    </row>
    <row r="317" spans="1:23" ht="15" customHeight="1" x14ac:dyDescent="0.2">
      <c r="A317" s="72"/>
      <c r="B317" s="417"/>
      <c r="C317" s="417"/>
      <c r="D317" s="417"/>
      <c r="E317" s="417"/>
      <c r="F317" s="770" t="str">
        <f>EUconst_MsgNextSheet</f>
        <v xml:space="preserve">&lt;&lt;&lt; Click here to proceed to next sheet &gt;&gt;&gt; </v>
      </c>
      <c r="G317" s="770"/>
      <c r="H317" s="770"/>
      <c r="I317" s="770"/>
      <c r="J317" s="770"/>
      <c r="K317" s="770"/>
      <c r="L317" s="770"/>
      <c r="M317" s="417"/>
      <c r="N317" s="417"/>
      <c r="O317" s="322"/>
      <c r="P317" s="72"/>
      <c r="Q317" s="72"/>
      <c r="R317" s="72"/>
      <c r="S317" s="72"/>
      <c r="T317" s="72"/>
      <c r="U317" s="72"/>
      <c r="V317" s="72"/>
      <c r="W317" s="72"/>
    </row>
    <row r="318" spans="1:23" ht="12.75" hidden="1" customHeight="1" x14ac:dyDescent="0.2">
      <c r="A318" s="17" t="s">
        <v>1090</v>
      </c>
      <c r="B318" s="72"/>
      <c r="C318" s="17" t="s">
        <v>469</v>
      </c>
      <c r="D318" s="17" t="s">
        <v>469</v>
      </c>
      <c r="E318" s="17" t="s">
        <v>469</v>
      </c>
      <c r="F318" s="17" t="s">
        <v>469</v>
      </c>
      <c r="G318" s="17" t="s">
        <v>469</v>
      </c>
      <c r="H318" s="17" t="s">
        <v>469</v>
      </c>
      <c r="I318" s="17" t="s">
        <v>469</v>
      </c>
      <c r="J318" s="17" t="s">
        <v>469</v>
      </c>
      <c r="K318" s="17" t="s">
        <v>469</v>
      </c>
      <c r="L318" s="17" t="s">
        <v>469</v>
      </c>
      <c r="M318" s="17" t="s">
        <v>469</v>
      </c>
      <c r="N318" s="17" t="s">
        <v>469</v>
      </c>
      <c r="O318" s="17" t="s">
        <v>469</v>
      </c>
      <c r="P318" s="17"/>
      <c r="Q318" s="17" t="s">
        <v>469</v>
      </c>
      <c r="R318" s="17" t="s">
        <v>469</v>
      </c>
      <c r="S318" s="17" t="s">
        <v>469</v>
      </c>
      <c r="T318" s="17" t="s">
        <v>469</v>
      </c>
      <c r="U318" s="17" t="s">
        <v>469</v>
      </c>
      <c r="V318" s="17" t="s">
        <v>469</v>
      </c>
      <c r="W318" s="17" t="s">
        <v>469</v>
      </c>
    </row>
  </sheetData>
  <sheetProtection sheet="1" objects="1" scenarios="1" formatCells="0" formatColumns="0" formatRows="0"/>
  <mergeCells count="481">
    <mergeCell ref="G293:N293"/>
    <mergeCell ref="G294:N294"/>
    <mergeCell ref="E298:F298"/>
    <mergeCell ref="G298:N298"/>
    <mergeCell ref="E295:F295"/>
    <mergeCell ref="G295:N295"/>
    <mergeCell ref="E296:F296"/>
    <mergeCell ref="G296:N296"/>
    <mergeCell ref="E297:F297"/>
    <mergeCell ref="G297:N297"/>
    <mergeCell ref="E286:N286"/>
    <mergeCell ref="E287:N287"/>
    <mergeCell ref="E289:F289"/>
    <mergeCell ref="G289:N289"/>
    <mergeCell ref="E290:F290"/>
    <mergeCell ref="G290:N290"/>
    <mergeCell ref="E291:F291"/>
    <mergeCell ref="G291:N291"/>
    <mergeCell ref="E292:F292"/>
    <mergeCell ref="G292:N292"/>
    <mergeCell ref="H77:H78"/>
    <mergeCell ref="I85:I86"/>
    <mergeCell ref="H87:H88"/>
    <mergeCell ref="I87:I88"/>
    <mergeCell ref="F67:G68"/>
    <mergeCell ref="F69:G70"/>
    <mergeCell ref="F71:G72"/>
    <mergeCell ref="F73:G74"/>
    <mergeCell ref="F75:G76"/>
    <mergeCell ref="F77:G78"/>
    <mergeCell ref="H79:H80"/>
    <mergeCell ref="G269:N269"/>
    <mergeCell ref="E270:F270"/>
    <mergeCell ref="G270:N270"/>
    <mergeCell ref="G265:N265"/>
    <mergeCell ref="G266:N266"/>
    <mergeCell ref="E267:F267"/>
    <mergeCell ref="G267:N267"/>
    <mergeCell ref="E268:F268"/>
    <mergeCell ref="G268:N268"/>
    <mergeCell ref="E198:F198"/>
    <mergeCell ref="E228:F228"/>
    <mergeCell ref="E163:N163"/>
    <mergeCell ref="E189:N189"/>
    <mergeCell ref="E190:N190"/>
    <mergeCell ref="E235:F235"/>
    <mergeCell ref="G248:N248"/>
    <mergeCell ref="E249:F249"/>
    <mergeCell ref="G249:N249"/>
    <mergeCell ref="G313:K315"/>
    <mergeCell ref="E300:N300"/>
    <mergeCell ref="G238:N238"/>
    <mergeCell ref="G239:N239"/>
    <mergeCell ref="E240:F240"/>
    <mergeCell ref="G240:N240"/>
    <mergeCell ref="E241:F241"/>
    <mergeCell ref="G241:N241"/>
    <mergeCell ref="E242:F242"/>
    <mergeCell ref="E245:N245"/>
    <mergeCell ref="E250:F250"/>
    <mergeCell ref="G250:N250"/>
    <mergeCell ref="G251:N251"/>
    <mergeCell ref="G252:N252"/>
    <mergeCell ref="E253:F253"/>
    <mergeCell ref="G253:N253"/>
    <mergeCell ref="E254:F254"/>
    <mergeCell ref="G254:N254"/>
    <mergeCell ref="E255:F255"/>
    <mergeCell ref="G255:N255"/>
    <mergeCell ref="E256:F256"/>
    <mergeCell ref="G256:N256"/>
    <mergeCell ref="E258:N258"/>
    <mergeCell ref="E259:N259"/>
    <mergeCell ref="G201:N201"/>
    <mergeCell ref="E203:N203"/>
    <mergeCell ref="G206:N206"/>
    <mergeCell ref="E302:F302"/>
    <mergeCell ref="E236:F236"/>
    <mergeCell ref="G236:N236"/>
    <mergeCell ref="G302:N302"/>
    <mergeCell ref="E244:N244"/>
    <mergeCell ref="G237:N237"/>
    <mergeCell ref="E239:F239"/>
    <mergeCell ref="E247:F247"/>
    <mergeCell ref="G247:N247"/>
    <mergeCell ref="E248:F248"/>
    <mergeCell ref="G235:N235"/>
    <mergeCell ref="E231:N231"/>
    <mergeCell ref="E261:F261"/>
    <mergeCell ref="G261:N261"/>
    <mergeCell ref="E262:F262"/>
    <mergeCell ref="G262:N262"/>
    <mergeCell ref="E263:F263"/>
    <mergeCell ref="G263:N263"/>
    <mergeCell ref="E264:F264"/>
    <mergeCell ref="G264:N264"/>
    <mergeCell ref="E269:F269"/>
    <mergeCell ref="F317:L317"/>
    <mergeCell ref="C6:K6"/>
    <mergeCell ref="E59:N59"/>
    <mergeCell ref="E103:N103"/>
    <mergeCell ref="E134:N134"/>
    <mergeCell ref="G3:H3"/>
    <mergeCell ref="B2:D4"/>
    <mergeCell ref="E2:F2"/>
    <mergeCell ref="G2:H2"/>
    <mergeCell ref="M85:M86"/>
    <mergeCell ref="N85:N86"/>
    <mergeCell ref="G242:N242"/>
    <mergeCell ref="F115:N115"/>
    <mergeCell ref="F122:N122"/>
    <mergeCell ref="F110:N110"/>
    <mergeCell ref="F111:N111"/>
    <mergeCell ref="G90:K92"/>
    <mergeCell ref="E230:N230"/>
    <mergeCell ref="E233:F233"/>
    <mergeCell ref="G233:N233"/>
    <mergeCell ref="E234:F234"/>
    <mergeCell ref="G234:N234"/>
    <mergeCell ref="G197:N197"/>
    <mergeCell ref="G225:N225"/>
    <mergeCell ref="I2:J2"/>
    <mergeCell ref="K4:L4"/>
    <mergeCell ref="E164:N164"/>
    <mergeCell ref="K2:L2"/>
    <mergeCell ref="M2:N2"/>
    <mergeCell ref="M3:N3"/>
    <mergeCell ref="I3:J3"/>
    <mergeCell ref="M4:N4"/>
    <mergeCell ref="I4:J4"/>
    <mergeCell ref="E44:N44"/>
    <mergeCell ref="K3:L3"/>
    <mergeCell ref="M87:M88"/>
    <mergeCell ref="G156:K158"/>
    <mergeCell ref="F109:N109"/>
    <mergeCell ref="M146:N146"/>
    <mergeCell ref="E96:N96"/>
    <mergeCell ref="I142:K142"/>
    <mergeCell ref="F140:G140"/>
    <mergeCell ref="G126:K128"/>
    <mergeCell ref="F87:G88"/>
    <mergeCell ref="J94:N94"/>
    <mergeCell ref="M143:N143"/>
    <mergeCell ref="I77:I78"/>
    <mergeCell ref="H67:H68"/>
    <mergeCell ref="E4:F4"/>
    <mergeCell ref="G4:H4"/>
    <mergeCell ref="E3:F3"/>
    <mergeCell ref="N83:N84"/>
    <mergeCell ref="M79:M80"/>
    <mergeCell ref="M83:M84"/>
    <mergeCell ref="E41:N41"/>
    <mergeCell ref="E42:N42"/>
    <mergeCell ref="E45:N45"/>
    <mergeCell ref="E43:N43"/>
    <mergeCell ref="I67:I68"/>
    <mergeCell ref="H69:H70"/>
    <mergeCell ref="I69:I70"/>
    <mergeCell ref="H71:H72"/>
    <mergeCell ref="I71:I72"/>
    <mergeCell ref="I79:I80"/>
    <mergeCell ref="H81:H82"/>
    <mergeCell ref="I81:I82"/>
    <mergeCell ref="H83:H84"/>
    <mergeCell ref="I83:I84"/>
    <mergeCell ref="H73:H74"/>
    <mergeCell ref="I73:I74"/>
    <mergeCell ref="H75:H76"/>
    <mergeCell ref="I75:I76"/>
    <mergeCell ref="E55:N55"/>
    <mergeCell ref="E51:N51"/>
    <mergeCell ref="E54:N54"/>
    <mergeCell ref="M73:M74"/>
    <mergeCell ref="U67:U68"/>
    <mergeCell ref="U69:U70"/>
    <mergeCell ref="S69:S70"/>
    <mergeCell ref="S67:S68"/>
    <mergeCell ref="T67:T68"/>
    <mergeCell ref="T69:T70"/>
    <mergeCell ref="M147:N147"/>
    <mergeCell ref="I144:K144"/>
    <mergeCell ref="I145:K145"/>
    <mergeCell ref="M144:N144"/>
    <mergeCell ref="T71:T72"/>
    <mergeCell ref="U73:U74"/>
    <mergeCell ref="S71:S72"/>
    <mergeCell ref="M77:M78"/>
    <mergeCell ref="U75:U76"/>
    <mergeCell ref="T73:T74"/>
    <mergeCell ref="T75:T76"/>
    <mergeCell ref="U71:U72"/>
    <mergeCell ref="N71:N72"/>
    <mergeCell ref="N73:N74"/>
    <mergeCell ref="U85:U86"/>
    <mergeCell ref="S85:S86"/>
    <mergeCell ref="U87:U88"/>
    <mergeCell ref="G214:N214"/>
    <mergeCell ref="G211:N211"/>
    <mergeCell ref="E214:F214"/>
    <mergeCell ref="E213:F213"/>
    <mergeCell ref="E212:F212"/>
    <mergeCell ref="G212:N212"/>
    <mergeCell ref="G228:N228"/>
    <mergeCell ref="E221:F221"/>
    <mergeCell ref="G223:N223"/>
    <mergeCell ref="E227:F227"/>
    <mergeCell ref="G227:N227"/>
    <mergeCell ref="E226:F226"/>
    <mergeCell ref="G222:N222"/>
    <mergeCell ref="G226:N226"/>
    <mergeCell ref="E225:F225"/>
    <mergeCell ref="G224:N224"/>
    <mergeCell ref="E222:F222"/>
    <mergeCell ref="E220:F220"/>
    <mergeCell ref="G184:N184"/>
    <mergeCell ref="G195:N195"/>
    <mergeCell ref="G181:N181"/>
    <mergeCell ref="E201:F201"/>
    <mergeCell ref="G192:N192"/>
    <mergeCell ref="G200:N200"/>
    <mergeCell ref="G198:N198"/>
    <mergeCell ref="G209:N209"/>
    <mergeCell ref="E219:F219"/>
    <mergeCell ref="G221:N221"/>
    <mergeCell ref="G220:N220"/>
    <mergeCell ref="E207:F207"/>
    <mergeCell ref="G199:N199"/>
    <mergeCell ref="E188:N188"/>
    <mergeCell ref="G219:N219"/>
    <mergeCell ref="G213:N213"/>
    <mergeCell ref="E216:N216"/>
    <mergeCell ref="E199:F199"/>
    <mergeCell ref="E208:F208"/>
    <mergeCell ref="G207:N207"/>
    <mergeCell ref="E217:N217"/>
    <mergeCell ref="G208:N208"/>
    <mergeCell ref="E211:F211"/>
    <mergeCell ref="G170:N170"/>
    <mergeCell ref="E195:F195"/>
    <mergeCell ref="E192:F192"/>
    <mergeCell ref="E193:F193"/>
    <mergeCell ref="G210:N210"/>
    <mergeCell ref="E184:F184"/>
    <mergeCell ref="G173:N173"/>
    <mergeCell ref="E178:F178"/>
    <mergeCell ref="G205:N205"/>
    <mergeCell ref="E206:F206"/>
    <mergeCell ref="E205:F205"/>
    <mergeCell ref="G193:N193"/>
    <mergeCell ref="G196:N196"/>
    <mergeCell ref="G194:N194"/>
    <mergeCell ref="E200:F200"/>
    <mergeCell ref="G183:N183"/>
    <mergeCell ref="E179:F179"/>
    <mergeCell ref="E173:F173"/>
    <mergeCell ref="E185:F185"/>
    <mergeCell ref="E182:F182"/>
    <mergeCell ref="E183:F183"/>
    <mergeCell ref="E194:F194"/>
    <mergeCell ref="G172:N172"/>
    <mergeCell ref="F137:G137"/>
    <mergeCell ref="F118:N118"/>
    <mergeCell ref="F116:N116"/>
    <mergeCell ref="E131:N131"/>
    <mergeCell ref="E130:N130"/>
    <mergeCell ref="F141:G141"/>
    <mergeCell ref="G167:N167"/>
    <mergeCell ref="G179:N179"/>
    <mergeCell ref="G177:N177"/>
    <mergeCell ref="G166:N166"/>
    <mergeCell ref="I140:K140"/>
    <mergeCell ref="E177:F177"/>
    <mergeCell ref="G169:N169"/>
    <mergeCell ref="G175:N175"/>
    <mergeCell ref="G174:N174"/>
    <mergeCell ref="F139:G139"/>
    <mergeCell ref="M139:N139"/>
    <mergeCell ref="I147:K147"/>
    <mergeCell ref="G168:N168"/>
    <mergeCell ref="I146:K146"/>
    <mergeCell ref="M148:N148"/>
    <mergeCell ref="F117:N117"/>
    <mergeCell ref="M136:N136"/>
    <mergeCell ref="M145:N145"/>
    <mergeCell ref="M75:M76"/>
    <mergeCell ref="U77:U78"/>
    <mergeCell ref="T77:T78"/>
    <mergeCell ref="T79:T80"/>
    <mergeCell ref="U79:U80"/>
    <mergeCell ref="T81:T82"/>
    <mergeCell ref="S75:S76"/>
    <mergeCell ref="S77:S78"/>
    <mergeCell ref="S79:S80"/>
    <mergeCell ref="N77:N78"/>
    <mergeCell ref="N81:N82"/>
    <mergeCell ref="N75:N76"/>
    <mergeCell ref="N79:N80"/>
    <mergeCell ref="N65:N66"/>
    <mergeCell ref="S73:S74"/>
    <mergeCell ref="E56:N56"/>
    <mergeCell ref="M61:N61"/>
    <mergeCell ref="M63:M64"/>
    <mergeCell ref="N69:N70"/>
    <mergeCell ref="M65:M66"/>
    <mergeCell ref="M71:M72"/>
    <mergeCell ref="M69:M70"/>
    <mergeCell ref="E57:N57"/>
    <mergeCell ref="T83:T84"/>
    <mergeCell ref="U83:U84"/>
    <mergeCell ref="U81:U82"/>
    <mergeCell ref="S83:S84"/>
    <mergeCell ref="E100:N100"/>
    <mergeCell ref="E101:N101"/>
    <mergeCell ref="E95:N95"/>
    <mergeCell ref="E98:N98"/>
    <mergeCell ref="S87:S88"/>
    <mergeCell ref="N87:N88"/>
    <mergeCell ref="S81:S82"/>
    <mergeCell ref="E99:N99"/>
    <mergeCell ref="F136:G136"/>
    <mergeCell ref="F119:N119"/>
    <mergeCell ref="F124:N124"/>
    <mergeCell ref="E132:N132"/>
    <mergeCell ref="F123:N123"/>
    <mergeCell ref="F120:N120"/>
    <mergeCell ref="F121:N121"/>
    <mergeCell ref="I136:K136"/>
    <mergeCell ref="T85:T86"/>
    <mergeCell ref="F114:N114"/>
    <mergeCell ref="F113:N113"/>
    <mergeCell ref="F107:N107"/>
    <mergeCell ref="F108:N108"/>
    <mergeCell ref="F112:N112"/>
    <mergeCell ref="E94:I94"/>
    <mergeCell ref="T87:T88"/>
    <mergeCell ref="F85:G86"/>
    <mergeCell ref="H85:H86"/>
    <mergeCell ref="F105:N105"/>
    <mergeCell ref="F106:N106"/>
    <mergeCell ref="E133:N133"/>
    <mergeCell ref="E102:N102"/>
    <mergeCell ref="M153:N153"/>
    <mergeCell ref="M149:N149"/>
    <mergeCell ref="M141:N141"/>
    <mergeCell ref="I138:K138"/>
    <mergeCell ref="I141:K141"/>
    <mergeCell ref="G182:N182"/>
    <mergeCell ref="F146:G146"/>
    <mergeCell ref="I148:K148"/>
    <mergeCell ref="E187:N187"/>
    <mergeCell ref="G185:N185"/>
    <mergeCell ref="G180:N180"/>
    <mergeCell ref="E172:F172"/>
    <mergeCell ref="G178:N178"/>
    <mergeCell ref="E176:F176"/>
    <mergeCell ref="E175:F175"/>
    <mergeCell ref="F145:G145"/>
    <mergeCell ref="F144:G144"/>
    <mergeCell ref="F148:G148"/>
    <mergeCell ref="E162:N162"/>
    <mergeCell ref="F143:G143"/>
    <mergeCell ref="I143:K143"/>
    <mergeCell ref="M142:N142"/>
    <mergeCell ref="M140:N140"/>
    <mergeCell ref="F142:G142"/>
    <mergeCell ref="L6:N6"/>
    <mergeCell ref="K8:N8"/>
    <mergeCell ref="D10:N10"/>
    <mergeCell ref="E31:N31"/>
    <mergeCell ref="D12:N12"/>
    <mergeCell ref="E29:N29"/>
    <mergeCell ref="E25:N25"/>
    <mergeCell ref="E22:N22"/>
    <mergeCell ref="E23:N23"/>
    <mergeCell ref="D13:N13"/>
    <mergeCell ref="E304:F304"/>
    <mergeCell ref="E15:N15"/>
    <mergeCell ref="E17:N17"/>
    <mergeCell ref="E33:N33"/>
    <mergeCell ref="E34:N34"/>
    <mergeCell ref="E35:N35"/>
    <mergeCell ref="M67:M68"/>
    <mergeCell ref="N67:N68"/>
    <mergeCell ref="E16:N16"/>
    <mergeCell ref="E18:N18"/>
    <mergeCell ref="E26:N26"/>
    <mergeCell ref="M81:M82"/>
    <mergeCell ref="N63:N64"/>
    <mergeCell ref="E40:N40"/>
    <mergeCell ref="E46:N46"/>
    <mergeCell ref="E50:N50"/>
    <mergeCell ref="E58:N58"/>
    <mergeCell ref="E47:N47"/>
    <mergeCell ref="E49:N49"/>
    <mergeCell ref="E53:N53"/>
    <mergeCell ref="E52:N52"/>
    <mergeCell ref="I150:K150"/>
    <mergeCell ref="M150:N150"/>
    <mergeCell ref="I139:K139"/>
    <mergeCell ref="E19:N19"/>
    <mergeCell ref="E28:N28"/>
    <mergeCell ref="E39:N39"/>
    <mergeCell ref="E32:N32"/>
    <mergeCell ref="E37:N37"/>
    <mergeCell ref="E38:N38"/>
    <mergeCell ref="E36:N36"/>
    <mergeCell ref="E30:N30"/>
    <mergeCell ref="E27:N27"/>
    <mergeCell ref="E21:N21"/>
    <mergeCell ref="E24:N24"/>
    <mergeCell ref="E311:F311"/>
    <mergeCell ref="G311:N311"/>
    <mergeCell ref="E308:F308"/>
    <mergeCell ref="G308:N308"/>
    <mergeCell ref="E310:F310"/>
    <mergeCell ref="G307:N307"/>
    <mergeCell ref="G310:N310"/>
    <mergeCell ref="E309:F309"/>
    <mergeCell ref="G309:N309"/>
    <mergeCell ref="G303:N303"/>
    <mergeCell ref="F151:G151"/>
    <mergeCell ref="I151:K151"/>
    <mergeCell ref="I152:K152"/>
    <mergeCell ref="F79:G80"/>
    <mergeCell ref="G304:N304"/>
    <mergeCell ref="G306:N306"/>
    <mergeCell ref="E305:F305"/>
    <mergeCell ref="G305:N305"/>
    <mergeCell ref="M151:N151"/>
    <mergeCell ref="E168:F168"/>
    <mergeCell ref="M152:N152"/>
    <mergeCell ref="G176:N176"/>
    <mergeCell ref="E166:F166"/>
    <mergeCell ref="E160:N160"/>
    <mergeCell ref="F81:G82"/>
    <mergeCell ref="F83:G84"/>
    <mergeCell ref="F147:G147"/>
    <mergeCell ref="E303:F303"/>
    <mergeCell ref="G171:N171"/>
    <mergeCell ref="F153:G153"/>
    <mergeCell ref="F154:G154"/>
    <mergeCell ref="E167:F167"/>
    <mergeCell ref="E169:F169"/>
    <mergeCell ref="E272:N272"/>
    <mergeCell ref="E273:N273"/>
    <mergeCell ref="E275:F275"/>
    <mergeCell ref="G275:N275"/>
    <mergeCell ref="E276:F276"/>
    <mergeCell ref="G276:N276"/>
    <mergeCell ref="I61:K61"/>
    <mergeCell ref="L61:L62"/>
    <mergeCell ref="F61:G62"/>
    <mergeCell ref="H61:H62"/>
    <mergeCell ref="E61:E62"/>
    <mergeCell ref="E174:F174"/>
    <mergeCell ref="F152:G152"/>
    <mergeCell ref="I153:K153"/>
    <mergeCell ref="E161:N161"/>
    <mergeCell ref="M137:N137"/>
    <mergeCell ref="I137:K137"/>
    <mergeCell ref="I149:K149"/>
    <mergeCell ref="I154:K154"/>
    <mergeCell ref="M154:N154"/>
    <mergeCell ref="F149:G149"/>
    <mergeCell ref="F150:G150"/>
    <mergeCell ref="F138:G138"/>
    <mergeCell ref="M138:N138"/>
    <mergeCell ref="E284:F284"/>
    <mergeCell ref="G284:N284"/>
    <mergeCell ref="E281:F281"/>
    <mergeCell ref="G281:N281"/>
    <mergeCell ref="E282:F282"/>
    <mergeCell ref="G282:N282"/>
    <mergeCell ref="E283:F283"/>
    <mergeCell ref="G283:N283"/>
    <mergeCell ref="E277:F277"/>
    <mergeCell ref="G277:N277"/>
    <mergeCell ref="E278:F278"/>
    <mergeCell ref="G278:N278"/>
    <mergeCell ref="G279:N279"/>
    <mergeCell ref="G280:N280"/>
  </mergeCells>
  <phoneticPr fontId="39" type="noConversion"/>
  <conditionalFormatting sqref="G302:N311 G233:N242 G205:N214 G219:N228 G192:N201 G176:N185 F139:N154 E24:N47 F21:N22 E21:E23 H67:L67 M67:N88 H69 J68:L88 H71:I71 H73:I73 H75:I75 H77:I77 H79:I79 H81:I81 H83:I83 H85:I85 H87:I87 F109:N124">
    <cfRule type="expression" dxfId="202" priority="34" stopIfTrue="1">
      <formula>$W$28</formula>
    </cfRule>
  </conditionalFormatting>
  <conditionalFormatting sqref="J94:N94">
    <cfRule type="expression" dxfId="201" priority="36" stopIfTrue="1">
      <formula>($W$28=TRUE)</formula>
    </cfRule>
    <cfRule type="expression" dxfId="200" priority="37" stopIfTrue="1">
      <formula>($W$94=TRUE)</formula>
    </cfRule>
  </conditionalFormatting>
  <conditionalFormatting sqref="G247:N256">
    <cfRule type="expression" dxfId="199" priority="10" stopIfTrue="1">
      <formula>$W$28</formula>
    </cfRule>
  </conditionalFormatting>
  <conditionalFormatting sqref="G261:N270">
    <cfRule type="expression" dxfId="198" priority="9" stopIfTrue="1">
      <formula>$W$28</formula>
    </cfRule>
  </conditionalFormatting>
  <conditionalFormatting sqref="I69">
    <cfRule type="expression" dxfId="197" priority="6" stopIfTrue="1">
      <formula>$W$28</formula>
    </cfRule>
  </conditionalFormatting>
  <conditionalFormatting sqref="F67">
    <cfRule type="expression" dxfId="196" priority="3" stopIfTrue="1">
      <formula>$W$28</formula>
    </cfRule>
  </conditionalFormatting>
  <conditionalFormatting sqref="F69 F71 F73 F75 F77 F79 F81 F83 F85 F87">
    <cfRule type="expression" dxfId="195" priority="4" stopIfTrue="1">
      <formula>$W$28</formula>
    </cfRule>
  </conditionalFormatting>
  <conditionalFormatting sqref="G275:N284">
    <cfRule type="expression" dxfId="194" priority="2" stopIfTrue="1">
      <formula>$W$28</formula>
    </cfRule>
  </conditionalFormatting>
  <conditionalFormatting sqref="G289:N298">
    <cfRule type="expression" dxfId="193" priority="1" stopIfTrue="1">
      <formula>$W$28</formula>
    </cfRule>
  </conditionalFormatting>
  <dataValidations disablePrompts="1" xWindow="1302" yWindow="507" count="4">
    <dataValidation allowBlank="1" showInputMessage="1" sqref="F139:F154 G140:G154" xr:uid="{00000000-0002-0000-0500-000000000000}"/>
    <dataValidation type="list" allowBlank="1" showInputMessage="1" showErrorMessage="1" sqref="L137:L154" xr:uid="{00000000-0002-0000-0500-000001000000}">
      <formula1>EUconst_TrueFalse</formula1>
    </dataValidation>
    <dataValidation type="list" allowBlank="1" showInputMessage="1" showErrorMessage="1" sqref="F63 F65 F67:G88" xr:uid="{00000000-0002-0000-0500-000002000000}">
      <formula1>MeteringDevices</formula1>
    </dataValidation>
    <dataValidation type="list" allowBlank="1" showInputMessage="1" showErrorMessage="1" sqref="F109:N124" xr:uid="{00000000-0002-0000-0500-000003000000}">
      <formula1>InformationSources</formula1>
    </dataValidation>
  </dataValidations>
  <hyperlinks>
    <hyperlink ref="F317:L317" location="JUMP_E_Top" display="JUMP_E_Top" xr:uid="{00000000-0004-0000-0500-000000000000}"/>
    <hyperlink ref="E4:F4" location="JUMP_D_Bottom" display="End of sheet" xr:uid="{00000000-0004-0000-0500-000001000000}"/>
    <hyperlink ref="G3:H3" location="JUMP_7a" display="Description" xr:uid="{00000000-0004-0000-0500-000002000000}"/>
    <hyperlink ref="I3:J3" location="JUMP_7b" display="Measuring Instruments" xr:uid="{00000000-0004-0000-0500-000003000000}"/>
    <hyperlink ref="K3:L3" location="JUMP_7d" display="Information Sources" xr:uid="{00000000-0004-0000-0500-000004000000}"/>
    <hyperlink ref="G4:H4" location="JUMP_7e" display="Laboratories" xr:uid="{00000000-0004-0000-0500-000005000000}"/>
    <hyperlink ref="I4:J4" location="JUMP_7f" display="Procedures" xr:uid="{00000000-0004-0000-0500-000006000000}"/>
    <hyperlink ref="G2:H2" location="JUMP_a_Content" display="Table of contents" xr:uid="{00000000-0004-0000-0500-000007000000}"/>
    <hyperlink ref="I2:J2" location="JUMP_C_Top" display="Previous sheet" xr:uid="{00000000-0004-0000-0500-000008000000}"/>
    <hyperlink ref="K2:L2" location="JUMP_E_Top" display="Next sheet" xr:uid="{00000000-0004-0000-0500-000009000000}"/>
    <hyperlink ref="E3:F3" location="JUMP_D_Top" display="Top of sheet" xr:uid="{00000000-0004-0000-0500-00000A000000}"/>
  </hyperlinks>
  <pageMargins left="0.78740157480314965" right="0.78740157480314965" top="0.78740157480314965" bottom="0.78740157480314965" header="0.39370078740157483" footer="0.39370078740157483"/>
  <pageSetup paperSize="9" scale="61" fitToHeight="10" orientation="portrait" r:id="rId1"/>
  <headerFooter alignWithMargins="0">
    <oddHeader>&amp;L&amp;F, &amp;A&amp;R&amp;D, &amp;T</oddHeader>
    <oddFooter>&amp;C&amp;P / &amp;N</oddFooter>
  </headerFooter>
  <rowBreaks count="2" manualBreakCount="2">
    <brk id="52" max="16383" man="1"/>
    <brk id="159" min="1" max="13" man="1"/>
  </rowBreaks>
  <colBreaks count="1" manualBreakCount="1">
    <brk id="17" max="2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indexed="11"/>
    <pageSetUpPr fitToPage="1"/>
  </sheetPr>
  <dimension ref="A1:W784"/>
  <sheetViews>
    <sheetView topLeftCell="B1" zoomScaleNormal="100" workbookViewId="0">
      <pane ySplit="4" topLeftCell="A5" activePane="bottomLeft" state="frozen"/>
      <selection activeCell="B2" sqref="B2"/>
      <selection pane="bottomLeft" activeCell="B2" sqref="B2:D4"/>
    </sheetView>
  </sheetViews>
  <sheetFormatPr defaultColWidth="9.140625" defaultRowHeight="12.75" outlineLevelRow="1" x14ac:dyDescent="0.2"/>
  <cols>
    <col min="1" max="1" width="2.7109375" style="8" hidden="1" customWidth="1"/>
    <col min="2" max="2" width="2.7109375" style="11" customWidth="1"/>
    <col min="3" max="3" width="4.7109375" style="11" customWidth="1"/>
    <col min="4" max="4" width="4.7109375" style="185" customWidth="1"/>
    <col min="5" max="14" width="12.7109375" style="11" customWidth="1"/>
    <col min="15" max="15" width="6.7109375" style="11" customWidth="1"/>
    <col min="16" max="16" width="59.7109375" style="11" hidden="1" customWidth="1"/>
    <col min="17" max="23" width="11.42578125" style="8" hidden="1" customWidth="1"/>
    <col min="24" max="16384" width="9.140625" style="8"/>
  </cols>
  <sheetData>
    <row r="1" spans="1:23" ht="13.5" hidden="1" thickBot="1" x14ac:dyDescent="0.25">
      <c r="A1" s="17" t="s">
        <v>1090</v>
      </c>
      <c r="B1" s="6"/>
      <c r="C1" s="6"/>
      <c r="D1" s="16"/>
      <c r="E1" s="6"/>
      <c r="F1" s="6"/>
      <c r="G1" s="6"/>
      <c r="H1" s="6"/>
      <c r="I1" s="6"/>
      <c r="J1" s="6"/>
      <c r="K1" s="6"/>
      <c r="L1" s="6"/>
      <c r="M1" s="6"/>
      <c r="N1" s="6"/>
      <c r="O1" s="17"/>
      <c r="P1" s="17" t="s">
        <v>1090</v>
      </c>
      <c r="Q1" s="17" t="s">
        <v>1090</v>
      </c>
      <c r="R1" s="17" t="s">
        <v>1090</v>
      </c>
      <c r="S1" s="17" t="s">
        <v>1090</v>
      </c>
      <c r="T1" s="17" t="s">
        <v>1090</v>
      </c>
      <c r="U1" s="17" t="s">
        <v>1090</v>
      </c>
      <c r="V1" s="17" t="s">
        <v>1090</v>
      </c>
      <c r="W1" s="17" t="s">
        <v>1090</v>
      </c>
    </row>
    <row r="2" spans="1:23" ht="13.5" thickBot="1" x14ac:dyDescent="0.25">
      <c r="A2" s="17"/>
      <c r="B2" s="803" t="str">
        <f>Translations!$B$430</f>
        <v>E.
Source streams</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c r="P2" s="17"/>
      <c r="Q2" s="72"/>
      <c r="R2" s="72"/>
      <c r="S2" s="72"/>
      <c r="T2" s="72"/>
      <c r="U2" s="72"/>
      <c r="V2" s="72"/>
      <c r="W2" s="72"/>
    </row>
    <row r="3" spans="1:23" x14ac:dyDescent="0.2">
      <c r="A3" s="17"/>
      <c r="B3" s="806"/>
      <c r="C3" s="807"/>
      <c r="D3" s="808"/>
      <c r="E3" s="776" t="str">
        <f>Translations!$B$63</f>
        <v>Top of sheet</v>
      </c>
      <c r="F3" s="776"/>
      <c r="G3" s="776">
        <v>1</v>
      </c>
      <c r="H3" s="776"/>
      <c r="I3" s="776">
        <v>2</v>
      </c>
      <c r="J3" s="776"/>
      <c r="K3" s="776">
        <v>3</v>
      </c>
      <c r="L3" s="776"/>
      <c r="M3" s="777"/>
      <c r="N3" s="778"/>
      <c r="O3" s="7"/>
      <c r="P3" s="17"/>
      <c r="Q3" s="72"/>
      <c r="R3" s="72"/>
      <c r="S3" s="72"/>
      <c r="T3" s="72"/>
      <c r="U3" s="72"/>
      <c r="V3" s="72"/>
      <c r="W3" s="72"/>
    </row>
    <row r="4" spans="1:23" ht="13.5" thickBot="1" x14ac:dyDescent="0.25">
      <c r="A4" s="17"/>
      <c r="B4" s="809"/>
      <c r="C4" s="810"/>
      <c r="D4" s="811"/>
      <c r="E4" s="776" t="str">
        <f>Translations!$B$64</f>
        <v>End of sheet</v>
      </c>
      <c r="F4" s="776"/>
      <c r="G4" s="776">
        <v>4</v>
      </c>
      <c r="H4" s="776"/>
      <c r="I4" s="776">
        <v>5</v>
      </c>
      <c r="J4" s="776"/>
      <c r="K4" s="776" t="str">
        <f>Translations!$B$431</f>
        <v>6 to 10</v>
      </c>
      <c r="L4" s="776"/>
      <c r="M4" s="777"/>
      <c r="N4" s="778"/>
      <c r="O4" s="7"/>
      <c r="P4" s="17"/>
      <c r="Q4" s="72"/>
      <c r="R4" s="72"/>
      <c r="S4" s="72"/>
      <c r="T4" s="72"/>
      <c r="U4" s="72"/>
      <c r="V4" s="72"/>
      <c r="W4" s="72"/>
    </row>
    <row r="5" spans="1:23" ht="12.75" customHeight="1" thickBot="1" x14ac:dyDescent="0.25">
      <c r="A5" s="72"/>
      <c r="B5" s="8"/>
      <c r="C5" s="9"/>
      <c r="D5" s="10"/>
      <c r="E5" s="8"/>
      <c r="F5" s="10"/>
      <c r="G5" s="10"/>
      <c r="H5" s="10"/>
      <c r="I5" s="8"/>
      <c r="J5" s="8"/>
      <c r="K5" s="8"/>
      <c r="L5" s="8"/>
      <c r="M5" s="7"/>
      <c r="N5" s="7"/>
      <c r="O5" s="7"/>
      <c r="P5" s="17"/>
      <c r="Q5" s="72"/>
      <c r="R5" s="72"/>
      <c r="S5" s="72"/>
      <c r="T5" s="72"/>
      <c r="U5" s="72"/>
      <c r="V5" s="72"/>
      <c r="W5" s="72"/>
    </row>
    <row r="6" spans="1:23" s="184" customFormat="1" ht="25.5" customHeight="1" thickBot="1" x14ac:dyDescent="0.25">
      <c r="A6" s="76"/>
      <c r="B6" s="34"/>
      <c r="C6" s="812" t="str">
        <f>Translations!$B$432</f>
        <v>E. Source Streams</v>
      </c>
      <c r="D6" s="812"/>
      <c r="E6" s="812"/>
      <c r="F6" s="812"/>
      <c r="G6" s="812"/>
      <c r="H6" s="812"/>
      <c r="I6" s="812"/>
      <c r="J6" s="812"/>
      <c r="K6" s="812"/>
      <c r="L6" s="1000" t="str">
        <f>IF(AND(NOT(ISBLANK(CNTR_InstHasCalculation)), CNTR_InstHasCalculation=FALSE),EUconst_NotRelevant,EUconst_Relevant)</f>
        <v>relevant</v>
      </c>
      <c r="M6" s="1001"/>
      <c r="N6" s="1002"/>
      <c r="O6" s="36"/>
      <c r="P6" s="41"/>
      <c r="Q6" s="76"/>
      <c r="R6" s="76"/>
      <c r="S6" s="76"/>
      <c r="T6" s="76"/>
      <c r="U6" s="76"/>
      <c r="V6" s="76"/>
      <c r="W6" s="76"/>
    </row>
    <row r="7" spans="1:23" ht="5.0999999999999996" customHeight="1" x14ac:dyDescent="0.2">
      <c r="A7" s="72"/>
      <c r="B7" s="8"/>
      <c r="C7" s="8"/>
      <c r="D7" s="10"/>
      <c r="E7" s="8"/>
      <c r="F7" s="8"/>
      <c r="G7" s="8"/>
      <c r="H7" s="8"/>
      <c r="I7" s="8"/>
      <c r="J7" s="8"/>
      <c r="K7" s="8"/>
      <c r="L7" s="8"/>
      <c r="M7" s="7"/>
      <c r="N7" s="7"/>
      <c r="O7" s="7"/>
      <c r="P7" s="17"/>
      <c r="Q7" s="72"/>
      <c r="R7" s="72"/>
      <c r="S7" s="72"/>
      <c r="T7" s="72"/>
      <c r="U7" s="72"/>
      <c r="V7" s="72"/>
      <c r="W7" s="72"/>
    </row>
    <row r="8" spans="1:23" x14ac:dyDescent="0.2">
      <c r="A8" s="72"/>
      <c r="B8" s="8"/>
      <c r="C8" s="8"/>
      <c r="D8" s="8"/>
      <c r="E8" s="8"/>
      <c r="F8" s="8"/>
      <c r="G8" s="8"/>
      <c r="H8" s="8"/>
      <c r="I8" s="8"/>
      <c r="J8" s="8"/>
      <c r="K8" s="918" t="str">
        <f>IF(L6=EUconst_NotRelevant,HYPERLINK("#JUMP_F_Top",EUconst_MsgNextSheet),HYPERLINK("",EUconst_MsgEnterThisSection))</f>
        <v>Please enter data in this section</v>
      </c>
      <c r="L8" s="918"/>
      <c r="M8" s="918"/>
      <c r="N8" s="918"/>
      <c r="O8" s="8"/>
      <c r="P8" s="72"/>
      <c r="Q8" s="72"/>
      <c r="R8" s="72"/>
      <c r="S8" s="72"/>
      <c r="T8" s="72"/>
      <c r="U8" s="72"/>
      <c r="V8" s="72"/>
      <c r="W8" s="72"/>
    </row>
    <row r="9" spans="1:23" ht="5.0999999999999996" customHeight="1" x14ac:dyDescent="0.2">
      <c r="A9" s="72"/>
      <c r="B9" s="8"/>
      <c r="C9" s="8"/>
      <c r="D9" s="10"/>
      <c r="E9" s="8"/>
      <c r="F9" s="8"/>
      <c r="G9" s="8"/>
      <c r="H9" s="8"/>
      <c r="I9" s="8"/>
      <c r="J9" s="8"/>
      <c r="K9" s="8"/>
      <c r="L9" s="8"/>
      <c r="M9" s="7"/>
      <c r="N9" s="7"/>
      <c r="O9" s="7"/>
      <c r="P9" s="17"/>
      <c r="Q9" s="72"/>
      <c r="R9" s="72"/>
      <c r="S9" s="72"/>
      <c r="T9" s="72"/>
      <c r="U9" s="72"/>
      <c r="V9" s="72"/>
      <c r="W9" s="72"/>
    </row>
    <row r="10" spans="1:23" s="34" customFormat="1" ht="18.75" customHeight="1" x14ac:dyDescent="0.2">
      <c r="A10" s="76"/>
      <c r="B10" s="414"/>
      <c r="C10" s="53">
        <v>8</v>
      </c>
      <c r="D10" s="884" t="str">
        <f>Translations!$B$19</f>
        <v>Details on the applied tiers for activity data and calculation factors</v>
      </c>
      <c r="E10" s="884"/>
      <c r="F10" s="884"/>
      <c r="G10" s="884"/>
      <c r="H10" s="884"/>
      <c r="I10" s="884"/>
      <c r="J10" s="884"/>
      <c r="K10" s="884"/>
      <c r="L10" s="884"/>
      <c r="M10" s="884"/>
      <c r="N10" s="884"/>
      <c r="O10" s="414"/>
      <c r="P10" s="15"/>
      <c r="Q10" s="72"/>
      <c r="R10" s="72"/>
      <c r="S10" s="76"/>
      <c r="T10" s="76"/>
      <c r="U10" s="76"/>
      <c r="V10" s="72"/>
      <c r="W10" s="72"/>
    </row>
    <row r="11" spans="1:23" ht="12.75" customHeight="1" x14ac:dyDescent="0.2">
      <c r="A11" s="72"/>
      <c r="D11" s="13"/>
      <c r="E11" s="22"/>
      <c r="G11" s="2"/>
      <c r="H11" s="2"/>
      <c r="I11" s="2"/>
      <c r="J11" s="2"/>
      <c r="L11" s="2"/>
      <c r="M11" s="2"/>
      <c r="N11" s="2"/>
      <c r="P11" s="15"/>
      <c r="Q11" s="72"/>
      <c r="R11" s="72"/>
      <c r="S11" s="76"/>
      <c r="T11" s="76"/>
      <c r="U11" s="76"/>
      <c r="V11" s="72"/>
      <c r="W11" s="72"/>
    </row>
    <row r="12" spans="1:23" ht="12.75" customHeight="1" x14ac:dyDescent="0.2">
      <c r="A12" s="72"/>
      <c r="D12" s="769" t="str">
        <f>Translations!$B$433</f>
        <v>Please note that the guiding text is only displayed for the first source stream.</v>
      </c>
      <c r="E12" s="767"/>
      <c r="F12" s="767"/>
      <c r="G12" s="767"/>
      <c r="H12" s="767"/>
      <c r="I12" s="767"/>
      <c r="J12" s="767"/>
      <c r="K12" s="767"/>
      <c r="L12" s="767"/>
      <c r="M12" s="767"/>
      <c r="N12" s="767"/>
      <c r="P12" s="15"/>
      <c r="Q12" s="72"/>
      <c r="R12" s="72"/>
      <c r="S12" s="76"/>
      <c r="T12" s="76"/>
      <c r="U12" s="76"/>
      <c r="V12" s="72"/>
      <c r="W12" s="72"/>
    </row>
    <row r="13" spans="1:23" ht="12.75" customHeight="1" x14ac:dyDescent="0.2">
      <c r="A13" s="72"/>
      <c r="D13" s="769" t="str">
        <f>Translations!$B$434</f>
        <v>If you want to display data for further source streams, please click on the "+" signs at the left (data grouping function).</v>
      </c>
      <c r="E13" s="767"/>
      <c r="F13" s="767"/>
      <c r="G13" s="767"/>
      <c r="H13" s="767"/>
      <c r="I13" s="767"/>
      <c r="J13" s="767"/>
      <c r="K13" s="767"/>
      <c r="L13" s="767"/>
      <c r="M13" s="767"/>
      <c r="N13" s="767"/>
      <c r="P13" s="15"/>
      <c r="Q13" s="72"/>
      <c r="R13" s="72"/>
      <c r="S13" s="76"/>
      <c r="T13" s="76"/>
      <c r="U13" s="76"/>
      <c r="V13" s="72"/>
      <c r="W13" s="72"/>
    </row>
    <row r="14" spans="1:23" ht="12.75" customHeight="1" x14ac:dyDescent="0.2">
      <c r="A14" s="72"/>
      <c r="D14" s="769" t="str">
        <f>Translations!$B$435</f>
        <v>For adding further source streams, please go to section 6.e in sheet C_InstallationDescription, and use the macro there.</v>
      </c>
      <c r="E14" s="767"/>
      <c r="F14" s="767"/>
      <c r="G14" s="767"/>
      <c r="H14" s="767"/>
      <c r="I14" s="767"/>
      <c r="J14" s="767"/>
      <c r="K14" s="767"/>
      <c r="L14" s="767"/>
      <c r="M14" s="767"/>
      <c r="N14" s="767"/>
      <c r="P14" s="15"/>
      <c r="Q14" s="72"/>
      <c r="R14" s="72"/>
      <c r="S14" s="76"/>
      <c r="T14" s="76"/>
      <c r="U14" s="76"/>
      <c r="V14" s="72"/>
      <c r="W14" s="72"/>
    </row>
    <row r="15" spans="1:23" ht="12.75" customHeight="1" x14ac:dyDescent="0.2">
      <c r="A15" s="72"/>
      <c r="D15" s="769" t="str">
        <f>Translations!$B$135</f>
        <v>For showing/hiding examples, press the "Examples" button in the navigation area.</v>
      </c>
      <c r="E15" s="767"/>
      <c r="F15" s="767"/>
      <c r="G15" s="767"/>
      <c r="H15" s="767"/>
      <c r="I15" s="767"/>
      <c r="J15" s="767"/>
      <c r="K15" s="767"/>
      <c r="L15" s="767"/>
      <c r="M15" s="767"/>
      <c r="N15" s="767"/>
      <c r="P15" s="15"/>
      <c r="Q15" s="72"/>
      <c r="R15" s="72"/>
      <c r="S15" s="76"/>
      <c r="T15" s="76"/>
      <c r="U15" s="76"/>
      <c r="V15" s="72"/>
      <c r="W15" s="72"/>
    </row>
    <row r="16" spans="1:23" ht="12.75" customHeight="1" x14ac:dyDescent="0.2">
      <c r="A16" s="17"/>
      <c r="D16" s="769" t="str">
        <f>Translations!$B$436</f>
        <v>The example is integrated in the first source stream.</v>
      </c>
      <c r="E16" s="767"/>
      <c r="F16" s="767"/>
      <c r="G16" s="767"/>
      <c r="H16" s="767"/>
      <c r="I16" s="767"/>
      <c r="J16" s="767"/>
      <c r="K16" s="767"/>
      <c r="L16" s="767"/>
      <c r="M16" s="767"/>
      <c r="N16" s="767"/>
      <c r="P16" s="15"/>
      <c r="Q16" s="72"/>
      <c r="R16" s="72"/>
      <c r="S16" s="66" t="s">
        <v>470</v>
      </c>
      <c r="T16" s="107" t="s">
        <v>471</v>
      </c>
      <c r="U16" s="107" t="s">
        <v>472</v>
      </c>
      <c r="V16" s="72"/>
      <c r="W16" s="72"/>
    </row>
    <row r="17" spans="1:23" ht="12.75" customHeight="1" thickBot="1" x14ac:dyDescent="0.25">
      <c r="A17" s="72"/>
      <c r="C17" s="54"/>
      <c r="D17" s="55"/>
      <c r="E17" s="56"/>
      <c r="F17" s="54"/>
      <c r="G17" s="57"/>
      <c r="H17" s="57"/>
      <c r="I17" s="57"/>
      <c r="J17" s="57"/>
      <c r="K17" s="57"/>
      <c r="L17" s="57"/>
      <c r="M17" s="57"/>
      <c r="N17" s="57"/>
      <c r="P17" s="15"/>
      <c r="Q17" s="72"/>
      <c r="R17" s="72"/>
      <c r="S17" s="75"/>
      <c r="T17" s="72"/>
      <c r="U17" s="72"/>
      <c r="V17" s="72"/>
      <c r="W17" s="72"/>
    </row>
    <row r="18" spans="1:23" ht="12.75" customHeight="1" thickBot="1" x14ac:dyDescent="0.25">
      <c r="A18" s="72"/>
      <c r="D18" s="13"/>
      <c r="E18" s="22"/>
      <c r="G18" s="2"/>
      <c r="H18" s="2"/>
      <c r="I18" s="2"/>
      <c r="J18" s="2"/>
      <c r="L18" s="2"/>
      <c r="M18" s="2"/>
      <c r="N18" s="2"/>
      <c r="P18" s="15"/>
      <c r="Q18" s="72"/>
      <c r="R18" s="72"/>
      <c r="S18" s="66" t="s">
        <v>470</v>
      </c>
      <c r="T18" s="107" t="s">
        <v>471</v>
      </c>
      <c r="U18" s="107" t="s">
        <v>472</v>
      </c>
      <c r="V18" s="72"/>
      <c r="W18" s="72"/>
    </row>
    <row r="19" spans="1:23" s="186" customFormat="1" ht="15" customHeight="1" thickBot="1" x14ac:dyDescent="0.25">
      <c r="A19" s="76"/>
      <c r="B19" s="34"/>
      <c r="C19" s="35" t="str">
        <f>"F"&amp;Q19</f>
        <v>F1</v>
      </c>
      <c r="D19" s="1040" t="str">
        <f>CONCATENATE(Euconst_SourceStream," ", Q19,":")</f>
        <v>Source Stream 1:</v>
      </c>
      <c r="E19" s="1040"/>
      <c r="F19" s="1040"/>
      <c r="G19" s="1066"/>
      <c r="H19" s="1067" t="str">
        <f>IF(INDEX(C_InstallationDescription!$F$194:$F$204,MATCH(C19,C_InstallationDescription!$E$194:$E$204,0))&gt;0,INDEX(C_InstallationDescription!$F$194:$F$204,MATCH(C19,C_InstallationDescription!$E$194:$E$204,0)),"")</f>
        <v/>
      </c>
      <c r="I19" s="1067"/>
      <c r="J19" s="1067"/>
      <c r="K19" s="1067"/>
      <c r="L19" s="1068"/>
      <c r="M19" s="1069" t="str">
        <f>IF(S19=TRUE,IF(U19="",T19,U19),"")</f>
        <v/>
      </c>
      <c r="N19" s="1070"/>
      <c r="O19" s="36"/>
      <c r="P19" s="41"/>
      <c r="Q19" s="33">
        <v>1</v>
      </c>
      <c r="R19" s="37"/>
      <c r="S19" s="40" t="b">
        <f>IF(INDEX(C_InstallationDescription!$M:$M,MATCH(Q21,C_InstallationDescription!$Q:$Q,0))="",FALSE,TRUE)</f>
        <v>0</v>
      </c>
      <c r="T19" s="92" t="str">
        <f>IF(S19=TRUE,INDEX(C_InstallationDescription!$M:$M,MATCH(Q21,C_InstallationDescription!$Q:$Q,0)),"")</f>
        <v/>
      </c>
      <c r="U19" s="40" t="str">
        <f>IF(S19=TRUE,IF(ISBLANK(INDEX(C_InstallationDescription!$N:$N,MATCH(Q21,C_InstallationDescription!$Q:$Q,0))),"",INDEX(C_InstallationDescription!$N:$N,MATCH(Q21,C_InstallationDescription!$Q:$Q,0))),"")</f>
        <v/>
      </c>
      <c r="V19" s="37"/>
      <c r="W19" s="37"/>
    </row>
    <row r="20" spans="1:23" s="24" customFormat="1" ht="5.0999999999999996" customHeight="1" x14ac:dyDescent="0.2">
      <c r="A20" s="72"/>
      <c r="B20" s="8"/>
      <c r="C20" s="8"/>
      <c r="D20" s="8"/>
      <c r="E20" s="8"/>
      <c r="F20" s="8"/>
      <c r="G20" s="8"/>
      <c r="H20" s="8"/>
      <c r="I20" s="8"/>
      <c r="J20" s="8"/>
      <c r="K20" s="8"/>
      <c r="L20" s="8"/>
      <c r="M20" s="7"/>
      <c r="N20" s="7"/>
      <c r="O20" s="7"/>
      <c r="P20" s="17"/>
      <c r="Q20" s="12"/>
      <c r="R20" s="23"/>
      <c r="S20" s="23"/>
      <c r="T20" s="23"/>
      <c r="U20" s="23"/>
      <c r="V20" s="23"/>
      <c r="W20" s="23"/>
    </row>
    <row r="21" spans="1:23" s="24" customFormat="1" ht="12.75" customHeight="1" x14ac:dyDescent="0.2">
      <c r="A21" s="72"/>
      <c r="B21" s="8"/>
      <c r="C21" s="8"/>
      <c r="D21" s="13"/>
      <c r="E21" s="924" t="str">
        <f>Translations!$B$437</f>
        <v>Source stream type:</v>
      </c>
      <c r="F21" s="924"/>
      <c r="G21" s="925"/>
      <c r="H21" s="1071" t="str">
        <f>IF(INDEX(C_InstallationDescription!$I$194:$I$204,MATCH(C19,C_InstallationDescription!$E$194:$E$204,0))&gt;0,INDEX(C_InstallationDescription!$I$194:$I$204,MATCH(C19,C_InstallationDescription!$E$194:$E$204,0)),"")</f>
        <v/>
      </c>
      <c r="I21" s="1072"/>
      <c r="J21" s="1072"/>
      <c r="K21" s="1072"/>
      <c r="L21" s="1073"/>
      <c r="O21" s="7"/>
      <c r="P21" s="17"/>
      <c r="Q21" s="39" t="str">
        <f>EUconst_CNTR_SourceCategory&amp;C19</f>
        <v>SourceCategory_F1</v>
      </c>
      <c r="R21" s="23"/>
      <c r="S21" s="23"/>
      <c r="T21" s="23"/>
      <c r="U21" s="23"/>
      <c r="V21" s="23"/>
      <c r="W21" s="23"/>
    </row>
    <row r="22" spans="1:23" s="24" customFormat="1" x14ac:dyDescent="0.2">
      <c r="A22" s="23"/>
      <c r="B22" s="8"/>
      <c r="C22" s="8"/>
      <c r="D22" s="11"/>
      <c r="E22" s="924" t="str">
        <f>Translations!$B$438</f>
        <v>Method applicable according to MRR:</v>
      </c>
      <c r="F22" s="924"/>
      <c r="G22" s="925"/>
      <c r="H22" s="1062" t="str">
        <f>IF(H21="","",INDEX(EUwideConstants!F:F,MATCH(H21,EUwideConstants!Q:Q,0)))</f>
        <v/>
      </c>
      <c r="I22" s="1062"/>
      <c r="J22" s="1062"/>
      <c r="K22" s="1062"/>
      <c r="L22" s="1062"/>
      <c r="M22" s="2"/>
      <c r="N22" s="2"/>
      <c r="O22" s="7"/>
      <c r="P22" s="17"/>
      <c r="Q22" s="12"/>
      <c r="R22" s="23"/>
      <c r="S22" s="23"/>
      <c r="T22" s="23"/>
      <c r="U22" s="23"/>
      <c r="V22" s="23"/>
      <c r="W22" s="23"/>
    </row>
    <row r="23" spans="1:23" s="24" customFormat="1" x14ac:dyDescent="0.2">
      <c r="A23" s="23"/>
      <c r="D23" s="38"/>
      <c r="E23" s="924" t="str">
        <f>Translations!$B$439</f>
        <v>Parameter to which uncertainty applies:</v>
      </c>
      <c r="F23" s="924"/>
      <c r="G23" s="925"/>
      <c r="H23" s="1062" t="str">
        <f>IF(H21="","",INDEX(EUwideConstants!E:E,MATCH(H21,EUwideConstants!Q:Q,0)))</f>
        <v/>
      </c>
      <c r="I23" s="1062"/>
      <c r="J23" s="1062"/>
      <c r="K23" s="1062"/>
      <c r="L23" s="1062"/>
      <c r="P23" s="17"/>
      <c r="Q23" s="12"/>
      <c r="R23" s="23"/>
      <c r="S23" s="23"/>
      <c r="T23" s="23"/>
      <c r="U23" s="23"/>
      <c r="V23" s="23"/>
      <c r="W23" s="23"/>
    </row>
    <row r="24" spans="1:23" s="24" customFormat="1" ht="5.0999999999999996" customHeight="1" thickBot="1" x14ac:dyDescent="0.25">
      <c r="A24" s="23"/>
      <c r="P24" s="29"/>
      <c r="Q24" s="23"/>
      <c r="R24" s="23"/>
      <c r="S24" s="23"/>
      <c r="T24" s="23"/>
      <c r="U24" s="23"/>
      <c r="V24" s="23"/>
      <c r="W24" s="23"/>
    </row>
    <row r="25" spans="1:23" s="186" customFormat="1" ht="15" customHeight="1" thickBot="1" x14ac:dyDescent="0.25">
      <c r="A25" s="17" t="s">
        <v>1373</v>
      </c>
      <c r="B25" s="34"/>
      <c r="C25" s="35"/>
      <c r="D25" s="1040" t="str">
        <f>Translations!$B$440</f>
        <v>Example Source Stream:</v>
      </c>
      <c r="E25" s="1040"/>
      <c r="F25" s="1040"/>
      <c r="G25" s="1066"/>
      <c r="H25" s="1090" t="str">
        <f>Translations!$B$295</f>
        <v>Heavy fuel oil</v>
      </c>
      <c r="I25" s="1090"/>
      <c r="J25" s="1090"/>
      <c r="K25" s="1090"/>
      <c r="L25" s="1091"/>
      <c r="M25" s="1097" t="str">
        <f>Translations!$B$313</f>
        <v>Major</v>
      </c>
      <c r="N25" s="1098"/>
      <c r="O25" s="36"/>
      <c r="P25" s="41"/>
      <c r="Q25" s="33">
        <v>1</v>
      </c>
      <c r="R25" s="37"/>
      <c r="S25" s="40" t="b">
        <f>IF(INDEX(C_InstallationDescription!$M:$M,MATCH(Q27,C_InstallationDescription!$Q:$Q,0))="",FALSE,TRUE)</f>
        <v>0</v>
      </c>
      <c r="T25" s="92" t="str">
        <f>IF(S25=TRUE,INDEX(C_InstallationDescription!$M:$M,MATCH(Q27,C_InstallationDescription!$Q:$Q,0)),"")</f>
        <v/>
      </c>
      <c r="U25" s="40" t="str">
        <f>IF(S25=TRUE,IF(ISBLANK(INDEX(C_InstallationDescription!$N:$N,MATCH(Q27,C_InstallationDescription!$Q:$Q,0))),"",INDEX(C_InstallationDescription!$N:$N,MATCH(Q27,C_InstallationDescription!$Q:$Q,0))),"")</f>
        <v/>
      </c>
      <c r="V25" s="37"/>
      <c r="W25" s="37"/>
    </row>
    <row r="26" spans="1:23" s="24" customFormat="1" ht="5.0999999999999996" customHeight="1" x14ac:dyDescent="0.2">
      <c r="A26" s="17" t="s">
        <v>1373</v>
      </c>
      <c r="B26" s="8"/>
      <c r="C26" s="8"/>
      <c r="D26" s="8"/>
      <c r="E26" s="8"/>
      <c r="F26" s="8"/>
      <c r="G26" s="8"/>
      <c r="H26" s="8"/>
      <c r="I26" s="8"/>
      <c r="J26" s="8"/>
      <c r="K26" s="8"/>
      <c r="L26" s="8"/>
      <c r="M26" s="7"/>
      <c r="N26" s="7"/>
      <c r="O26" s="7"/>
      <c r="P26" s="17"/>
      <c r="Q26" s="12"/>
      <c r="R26" s="23"/>
      <c r="S26" s="23"/>
      <c r="T26" s="23"/>
      <c r="U26" s="23"/>
      <c r="V26" s="23"/>
      <c r="W26" s="23"/>
    </row>
    <row r="27" spans="1:23" s="24" customFormat="1" ht="12.75" customHeight="1" x14ac:dyDescent="0.2">
      <c r="A27" s="17" t="s">
        <v>1373</v>
      </c>
      <c r="B27" s="8"/>
      <c r="C27" s="8"/>
      <c r="D27" s="13"/>
      <c r="E27" s="924" t="str">
        <f>Translations!$B$437</f>
        <v>Source stream type:</v>
      </c>
      <c r="F27" s="924"/>
      <c r="G27" s="925"/>
      <c r="H27" s="1092" t="str">
        <f>Translations!$B$296</f>
        <v>Combustion: Other gaseous &amp; liquid fuels</v>
      </c>
      <c r="I27" s="1093"/>
      <c r="J27" s="1093"/>
      <c r="K27" s="1093"/>
      <c r="L27" s="1094"/>
      <c r="O27" s="7"/>
      <c r="P27" s="17"/>
      <c r="Q27" s="39" t="str">
        <f>EUconst_CNTR_SourceCategory&amp;C25</f>
        <v>SourceCategory_</v>
      </c>
      <c r="R27" s="23"/>
      <c r="S27" s="23"/>
      <c r="T27" s="23"/>
      <c r="U27" s="23"/>
      <c r="V27" s="23"/>
      <c r="W27" s="23"/>
    </row>
    <row r="28" spans="1:23" s="24" customFormat="1" x14ac:dyDescent="0.2">
      <c r="A28" s="17" t="s">
        <v>1373</v>
      </c>
      <c r="B28" s="8"/>
      <c r="C28" s="8"/>
      <c r="D28" s="11"/>
      <c r="E28" s="924" t="str">
        <f>Translations!$B$438</f>
        <v>Method applicable according to MRR:</v>
      </c>
      <c r="F28" s="924"/>
      <c r="G28" s="925"/>
      <c r="H28" s="1089" t="str">
        <f>Translations!$B$441</f>
        <v>Standard method: Fuel, Article 24(1)</v>
      </c>
      <c r="I28" s="1089"/>
      <c r="J28" s="1089"/>
      <c r="K28" s="1089"/>
      <c r="L28" s="1089"/>
      <c r="M28" s="2"/>
      <c r="N28" s="2"/>
      <c r="O28" s="7"/>
      <c r="P28" s="17"/>
      <c r="Q28" s="12"/>
      <c r="R28" s="23"/>
      <c r="S28" s="23"/>
      <c r="T28" s="23"/>
      <c r="U28" s="23"/>
      <c r="V28" s="23"/>
      <c r="W28" s="23"/>
    </row>
    <row r="29" spans="1:23" s="24" customFormat="1" x14ac:dyDescent="0.2">
      <c r="A29" s="17" t="s">
        <v>1373</v>
      </c>
      <c r="D29" s="38"/>
      <c r="E29" s="924" t="str">
        <f>Translations!$B$439</f>
        <v>Parameter to which uncertainty applies:</v>
      </c>
      <c r="F29" s="924"/>
      <c r="G29" s="925"/>
      <c r="H29" s="1089" t="str">
        <f>Translations!$B$442</f>
        <v>Amount of fuel [t] or [Nm3]</v>
      </c>
      <c r="I29" s="1089"/>
      <c r="J29" s="1089"/>
      <c r="K29" s="1089"/>
      <c r="L29" s="1089"/>
      <c r="P29" s="17"/>
      <c r="Q29" s="12"/>
      <c r="R29" s="23"/>
      <c r="S29" s="23"/>
      <c r="T29" s="23"/>
      <c r="U29" s="23"/>
      <c r="V29" s="23"/>
      <c r="W29" s="23"/>
    </row>
    <row r="30" spans="1:23" s="24" customFormat="1" ht="5.0999999999999996" customHeight="1" x14ac:dyDescent="0.2">
      <c r="A30" s="17" t="s">
        <v>1373</v>
      </c>
      <c r="P30" s="29"/>
      <c r="Q30" s="23"/>
      <c r="R30" s="23"/>
      <c r="S30" s="23"/>
      <c r="T30" s="23"/>
      <c r="U30" s="23"/>
      <c r="V30" s="23"/>
      <c r="W30" s="23"/>
    </row>
    <row r="31" spans="1:23" s="24" customFormat="1" x14ac:dyDescent="0.2">
      <c r="A31" s="23"/>
      <c r="E31" s="869" t="str">
        <f>Translations!$B$443</f>
        <v>The source stream name, the source stream type, and the category will be displayed automatically based on your entries in section 6.e in sheet C_InstallationDescription.</v>
      </c>
      <c r="F31" s="869"/>
      <c r="G31" s="869"/>
      <c r="H31" s="869"/>
      <c r="I31" s="869"/>
      <c r="J31" s="869"/>
      <c r="K31" s="869"/>
      <c r="L31" s="869"/>
      <c r="M31" s="869"/>
      <c r="N31" s="869"/>
      <c r="O31" s="188"/>
      <c r="P31" s="29"/>
      <c r="Q31" s="23"/>
      <c r="R31" s="23"/>
      <c r="S31" s="23"/>
      <c r="T31" s="23"/>
      <c r="U31" s="23"/>
      <c r="V31" s="23"/>
      <c r="W31" s="23"/>
    </row>
    <row r="32" spans="1:23" s="24" customFormat="1" ht="38.85" customHeight="1" x14ac:dyDescent="0.2">
      <c r="A32" s="23"/>
      <c r="E32" s="869" t="str">
        <f>Translations!$B$444</f>
        <v>If you have not attributed the source stream to an applicable category (major, minor, de-minimis) there, the category which is automatically displayed in that section will be used. If this is the case, the template cannot correctly indicate below which tiers are to be applied. Therefore please make sure to select an applicable category correctly in the section mentioned above.</v>
      </c>
      <c r="F32" s="869"/>
      <c r="G32" s="869"/>
      <c r="H32" s="869"/>
      <c r="I32" s="869"/>
      <c r="J32" s="869"/>
      <c r="K32" s="869"/>
      <c r="L32" s="869"/>
      <c r="M32" s="869"/>
      <c r="N32" s="869"/>
      <c r="O32" s="188"/>
      <c r="P32" s="29"/>
      <c r="Q32" s="23"/>
      <c r="R32" s="23"/>
      <c r="S32" s="23"/>
      <c r="T32" s="23"/>
      <c r="U32" s="23"/>
      <c r="V32" s="23"/>
      <c r="W32" s="23"/>
    </row>
    <row r="33" spans="1:23" s="24" customFormat="1" ht="25.5" customHeight="1" x14ac:dyDescent="0.2">
      <c r="A33" s="23"/>
      <c r="E33" s="869" t="str">
        <f>Translations!$B$445</f>
        <v>As the source stream type can be clearly assigned to a monitoring method applicable according to the MRR (Articles 24 and 25) and the parameters to which the uncertainty of the activity data applies (Annex II), this information is provided automatically based on the MRR.</v>
      </c>
      <c r="F33" s="869"/>
      <c r="G33" s="869"/>
      <c r="H33" s="869"/>
      <c r="I33" s="869"/>
      <c r="J33" s="869"/>
      <c r="K33" s="869"/>
      <c r="L33" s="869"/>
      <c r="M33" s="869"/>
      <c r="N33" s="869"/>
      <c r="O33" s="188"/>
      <c r="P33" s="29"/>
      <c r="Q33" s="23"/>
      <c r="R33" s="23"/>
      <c r="S33" s="23"/>
      <c r="T33" s="23"/>
      <c r="U33" s="23"/>
      <c r="V33" s="23"/>
      <c r="W33" s="23"/>
    </row>
    <row r="34" spans="1:23" s="24" customFormat="1" ht="5.0999999999999996" customHeight="1" x14ac:dyDescent="0.2">
      <c r="A34" s="23"/>
      <c r="P34" s="29"/>
      <c r="Q34" s="23"/>
      <c r="R34" s="23"/>
      <c r="S34" s="23"/>
      <c r="T34" s="23"/>
      <c r="U34" s="23"/>
      <c r="V34" s="23"/>
      <c r="W34" s="23"/>
    </row>
    <row r="35" spans="1:23" s="24" customFormat="1" ht="15" customHeight="1" x14ac:dyDescent="0.2">
      <c r="A35" s="23"/>
      <c r="D35" s="1040" t="str">
        <f>Translations!$B$446</f>
        <v>Automatic guidance on applicable tiers:</v>
      </c>
      <c r="E35" s="1040"/>
      <c r="F35" s="1040"/>
      <c r="G35" s="1040"/>
      <c r="H35" s="1040"/>
      <c r="I35" s="1040"/>
      <c r="J35" s="1040"/>
      <c r="K35" s="1040"/>
      <c r="L35" s="1040"/>
      <c r="M35" s="1040"/>
      <c r="N35" s="1040"/>
      <c r="P35" s="29"/>
      <c r="Q35" s="23"/>
      <c r="R35" s="23"/>
      <c r="S35" s="23"/>
      <c r="T35" s="23"/>
      <c r="U35" s="23"/>
      <c r="V35" s="23"/>
      <c r="W35" s="23"/>
    </row>
    <row r="36" spans="1:23" s="24" customFormat="1" ht="5.0999999999999996" customHeight="1" x14ac:dyDescent="0.2">
      <c r="A36" s="23"/>
      <c r="D36" s="257"/>
      <c r="E36" s="257"/>
      <c r="F36" s="257"/>
      <c r="G36" s="257"/>
      <c r="H36" s="257"/>
      <c r="I36" s="257"/>
      <c r="J36" s="257"/>
      <c r="K36" s="257"/>
      <c r="L36" s="257"/>
      <c r="M36" s="257"/>
      <c r="N36" s="257"/>
      <c r="P36" s="29"/>
      <c r="Q36" s="23"/>
      <c r="R36" s="23"/>
      <c r="S36" s="23"/>
      <c r="T36" s="23"/>
      <c r="U36" s="23"/>
      <c r="V36" s="23"/>
      <c r="W36" s="23"/>
    </row>
    <row r="37" spans="1:23" s="24" customFormat="1" ht="39.950000000000003" customHeight="1" x14ac:dyDescent="0.2">
      <c r="A37" s="23"/>
      <c r="D37" s="13"/>
      <c r="E37" s="869" t="str">
        <f>Translations!$B$447</f>
        <v>Below in sections (c) and (f) the required tiers for activity data and calculation factors are displayed in the green fields based on your inputs in section 5(d) and (e), and 6(e) and 6(f). Those are the minimum tiers for major source streams in category C installations. However, lower requirements may be allowed. An appropriate guidance is displayed in the green text box below, depending on the following points:</v>
      </c>
      <c r="F37" s="869"/>
      <c r="G37" s="869"/>
      <c r="H37" s="869"/>
      <c r="I37" s="869"/>
      <c r="J37" s="869"/>
      <c r="K37" s="869"/>
      <c r="L37" s="869"/>
      <c r="M37" s="869"/>
      <c r="N37" s="869"/>
      <c r="P37" s="15"/>
      <c r="Q37" s="23"/>
      <c r="R37" s="23"/>
      <c r="S37" s="23"/>
      <c r="T37" s="23"/>
      <c r="U37" s="23"/>
      <c r="V37" s="23"/>
      <c r="W37" s="23"/>
    </row>
    <row r="38" spans="1:23" s="24" customFormat="1" ht="12.75" customHeight="1" x14ac:dyDescent="0.2">
      <c r="A38" s="23"/>
      <c r="D38" s="13"/>
      <c r="E38" s="49" t="s">
        <v>1292</v>
      </c>
      <c r="F38" s="869" t="str">
        <f>Translations!$B$448</f>
        <v>Reduced requirements apply to installations with low emissions in accordance with Article 47(2);</v>
      </c>
      <c r="G38" s="869"/>
      <c r="H38" s="869"/>
      <c r="I38" s="869"/>
      <c r="J38" s="869"/>
      <c r="K38" s="869"/>
      <c r="L38" s="869"/>
      <c r="M38" s="869"/>
      <c r="N38" s="869"/>
      <c r="P38" s="29"/>
      <c r="Q38" s="23"/>
      <c r="R38" s="23"/>
      <c r="S38" s="23"/>
      <c r="T38" s="23"/>
      <c r="U38" s="23"/>
      <c r="V38" s="23"/>
      <c r="W38" s="23"/>
    </row>
    <row r="39" spans="1:23" s="24" customFormat="1" ht="12.75" customHeight="1" x14ac:dyDescent="0.2">
      <c r="A39" s="23"/>
      <c r="D39" s="13"/>
      <c r="E39" s="49" t="s">
        <v>1292</v>
      </c>
      <c r="F39" s="869" t="str">
        <f>Translations!$B$449</f>
        <v>The installation category (A, B or C) in accordance with Article 19;</v>
      </c>
      <c r="G39" s="869"/>
      <c r="H39" s="869"/>
      <c r="I39" s="869"/>
      <c r="J39" s="869"/>
      <c r="K39" s="869"/>
      <c r="L39" s="869"/>
      <c r="M39" s="869"/>
      <c r="N39" s="869"/>
      <c r="P39" s="29"/>
      <c r="Q39" s="23"/>
      <c r="R39" s="23"/>
      <c r="S39" s="23"/>
      <c r="T39" s="23"/>
      <c r="U39" s="23"/>
      <c r="V39" s="23"/>
      <c r="W39" s="23"/>
    </row>
    <row r="40" spans="1:23" s="24" customFormat="1" ht="12.75" customHeight="1" x14ac:dyDescent="0.2">
      <c r="A40" s="23"/>
      <c r="D40" s="13"/>
      <c r="E40" s="49" t="s">
        <v>1292</v>
      </c>
      <c r="F40" s="869" t="str">
        <f>Translations!$B$450</f>
        <v>Reduced requirements apply to minor source streams and de-minimimis source streams as classified pursuant to Article 19(3).</v>
      </c>
      <c r="G40" s="869"/>
      <c r="H40" s="869"/>
      <c r="I40" s="869"/>
      <c r="J40" s="869"/>
      <c r="K40" s="869"/>
      <c r="L40" s="869"/>
      <c r="M40" s="869"/>
      <c r="N40" s="869"/>
      <c r="P40" s="29"/>
      <c r="Q40" s="23"/>
      <c r="R40" s="23"/>
      <c r="S40" s="23"/>
      <c r="T40" s="23"/>
      <c r="U40" s="23"/>
      <c r="V40" s="23"/>
      <c r="W40" s="23"/>
    </row>
    <row r="41" spans="1:23" s="24" customFormat="1" ht="12.75" customHeight="1" x14ac:dyDescent="0.2">
      <c r="A41" s="23"/>
      <c r="D41" s="13"/>
      <c r="E41" s="798" t="str">
        <f>Translations!$B$451</f>
        <v>This message on applicable tiers is relevant for the activity data and for all calculation factors.</v>
      </c>
      <c r="F41" s="798"/>
      <c r="G41" s="798"/>
      <c r="H41" s="798"/>
      <c r="I41" s="798"/>
      <c r="J41" s="798"/>
      <c r="K41" s="798"/>
      <c r="L41" s="798"/>
      <c r="M41" s="798"/>
      <c r="N41" s="798"/>
      <c r="P41" s="29"/>
      <c r="Q41" s="23"/>
      <c r="R41" s="23"/>
      <c r="S41" s="23"/>
      <c r="T41" s="23"/>
      <c r="U41" s="23"/>
      <c r="V41" s="23"/>
      <c r="W41" s="23"/>
    </row>
    <row r="42" spans="1:23" s="24" customFormat="1" ht="5.0999999999999996" customHeight="1" x14ac:dyDescent="0.2">
      <c r="A42" s="23"/>
      <c r="D42" s="13"/>
      <c r="P42" s="29"/>
      <c r="Q42" s="23"/>
      <c r="R42" s="23"/>
      <c r="S42" s="23"/>
      <c r="T42" s="23"/>
      <c r="U42" s="23"/>
      <c r="V42" s="23"/>
      <c r="W42" s="23"/>
    </row>
    <row r="43" spans="1:23" s="24" customFormat="1" ht="51" customHeight="1" x14ac:dyDescent="0.2">
      <c r="A43" s="23"/>
      <c r="D43" s="13"/>
      <c r="E43" s="1063" t="str">
        <f>IF(H19="","",INDEX(EUconst_SmallEmiSouStreamMsg,MATCH(Q43,EUconst_SmallEmiSouStream,0)))</f>
        <v/>
      </c>
      <c r="F43" s="1064"/>
      <c r="G43" s="1064"/>
      <c r="H43" s="1064"/>
      <c r="I43" s="1064"/>
      <c r="J43" s="1064"/>
      <c r="K43" s="1064"/>
      <c r="L43" s="1064"/>
      <c r="M43" s="1064"/>
      <c r="N43" s="1065"/>
      <c r="P43" s="15"/>
      <c r="Q43" s="43" t="str">
        <f>IF(CNTR_SmallEmitter=TRUE,EUconst_CNTR_SmallEmitter,EUconst_CNTR_NoSmallEmitter) &amp; IF((CNTR_Category)="","C",CNTR_Category) &amp; "_" &amp; IF(M19="",1,MATCH(M19,SourceCategory,0))</f>
        <v>NoSmallEmitter_C_1</v>
      </c>
      <c r="R43" s="23"/>
      <c r="S43" s="23"/>
      <c r="T43" s="23"/>
      <c r="U43" s="23"/>
      <c r="V43" s="23"/>
      <c r="W43" s="23"/>
    </row>
    <row r="44" spans="1:23" s="24" customFormat="1" ht="5.0999999999999996" customHeight="1" x14ac:dyDescent="0.2">
      <c r="A44" s="17" t="s">
        <v>1373</v>
      </c>
      <c r="D44" s="13"/>
      <c r="P44" s="29"/>
      <c r="Q44" s="23"/>
      <c r="R44" s="23"/>
      <c r="S44" s="23"/>
      <c r="T44" s="23"/>
      <c r="U44" s="23"/>
      <c r="V44" s="23"/>
      <c r="W44" s="23"/>
    </row>
    <row r="45" spans="1:23" s="24" customFormat="1" x14ac:dyDescent="0.2">
      <c r="A45" s="17" t="s">
        <v>1373</v>
      </c>
      <c r="D45" s="391" t="str">
        <f>Translations!$B$452</f>
        <v>Example data:</v>
      </c>
      <c r="P45" s="29"/>
      <c r="Q45" s="29"/>
      <c r="R45" s="29"/>
      <c r="S45" s="23"/>
      <c r="T45" s="23"/>
      <c r="U45" s="23"/>
      <c r="V45" s="23"/>
      <c r="W45" s="23"/>
    </row>
    <row r="46" spans="1:23" s="24" customFormat="1" ht="51" customHeight="1" x14ac:dyDescent="0.2">
      <c r="A46" s="17" t="s">
        <v>1373</v>
      </c>
      <c r="D46" s="13"/>
      <c r="E46" s="1086" t="str">
        <f>Translations!$B$453</f>
        <v>Art. 26(1): The minimum tiers displayed below shall at least apply.
However, you may apply a tier up to two levels lower, with a minimum of tier 1, where you can show to the satisfaction of the competent authority that the tier required in accordance with the first subparagraph is technically not feasible or incurs unreasonable costs.</v>
      </c>
      <c r="F46" s="1087"/>
      <c r="G46" s="1087"/>
      <c r="H46" s="1087"/>
      <c r="I46" s="1087"/>
      <c r="J46" s="1087"/>
      <c r="K46" s="1087"/>
      <c r="L46" s="1087"/>
      <c r="M46" s="1087"/>
      <c r="N46" s="1088"/>
      <c r="P46" s="15"/>
      <c r="Q46" s="43"/>
      <c r="R46" s="23"/>
      <c r="S46" s="23"/>
      <c r="T46" s="23"/>
      <c r="U46" s="23"/>
      <c r="V46" s="23"/>
      <c r="W46" s="23"/>
    </row>
    <row r="47" spans="1:23" s="24" customFormat="1" ht="12.75" customHeight="1" x14ac:dyDescent="0.2">
      <c r="A47" s="23"/>
      <c r="D47" s="13"/>
      <c r="P47" s="29"/>
      <c r="Q47" s="23"/>
      <c r="R47" s="23"/>
      <c r="S47" s="23"/>
      <c r="T47" s="23"/>
      <c r="U47" s="23"/>
      <c r="V47" s="23"/>
      <c r="W47" s="23"/>
    </row>
    <row r="48" spans="1:23" s="24" customFormat="1" ht="15" customHeight="1" x14ac:dyDescent="0.2">
      <c r="A48" s="23"/>
      <c r="D48" s="1040" t="str">
        <f>Translations!$B$454</f>
        <v>Activity Data:</v>
      </c>
      <c r="E48" s="1040"/>
      <c r="F48" s="1040"/>
      <c r="G48" s="1040"/>
      <c r="H48" s="1040"/>
      <c r="I48" s="1040"/>
      <c r="J48" s="1040"/>
      <c r="K48" s="1040"/>
      <c r="L48" s="1040"/>
      <c r="M48" s="1040"/>
      <c r="N48" s="1040"/>
      <c r="P48" s="29"/>
      <c r="Q48" s="23"/>
      <c r="R48" s="23"/>
      <c r="S48" s="23"/>
      <c r="T48" s="23"/>
      <c r="U48" s="23"/>
      <c r="V48" s="23"/>
      <c r="W48" s="23"/>
    </row>
    <row r="49" spans="1:23" s="24" customFormat="1" ht="5.0999999999999996" customHeight="1" x14ac:dyDescent="0.2">
      <c r="A49" s="23"/>
      <c r="D49" s="13"/>
      <c r="P49" s="29"/>
      <c r="Q49" s="23"/>
      <c r="R49" s="23"/>
      <c r="S49" s="23"/>
      <c r="T49" s="23"/>
      <c r="U49" s="23"/>
      <c r="V49" s="23"/>
      <c r="W49" s="23"/>
    </row>
    <row r="50" spans="1:23" s="24" customFormat="1" x14ac:dyDescent="0.2">
      <c r="A50" s="23"/>
      <c r="D50" s="13" t="s">
        <v>1018</v>
      </c>
      <c r="E50" s="825" t="str">
        <f>Translations!$B$455</f>
        <v>Activity data determination method:</v>
      </c>
      <c r="F50" s="825"/>
      <c r="G50" s="825"/>
      <c r="H50" s="825"/>
      <c r="I50" s="825"/>
      <c r="J50" s="825"/>
      <c r="K50" s="825"/>
      <c r="L50" s="825"/>
      <c r="M50" s="825"/>
      <c r="N50" s="825"/>
      <c r="P50" s="29"/>
      <c r="Q50" s="23"/>
      <c r="R50" s="23"/>
      <c r="S50" s="23"/>
      <c r="T50" s="23"/>
      <c r="U50" s="23"/>
      <c r="V50" s="23"/>
      <c r="W50" s="23"/>
    </row>
    <row r="51" spans="1:23" s="24" customFormat="1" ht="5.0999999999999996" customHeight="1" x14ac:dyDescent="0.2">
      <c r="A51" s="23"/>
      <c r="D51" s="13"/>
      <c r="E51" s="14"/>
      <c r="F51" s="14"/>
      <c r="G51" s="14"/>
      <c r="H51" s="14"/>
      <c r="I51" s="14"/>
      <c r="L51" s="22"/>
      <c r="P51" s="29"/>
      <c r="Q51" s="23"/>
      <c r="R51" s="23"/>
      <c r="S51" s="23"/>
      <c r="T51" s="23"/>
      <c r="U51" s="23"/>
      <c r="V51" s="23"/>
      <c r="W51" s="23"/>
    </row>
    <row r="52" spans="1:23" s="24" customFormat="1" ht="12.75" customHeight="1" x14ac:dyDescent="0.2">
      <c r="A52" s="23"/>
      <c r="D52" s="25" t="s">
        <v>1030</v>
      </c>
      <c r="E52" s="11" t="str">
        <f>Translations!$B$456</f>
        <v>Determination method:</v>
      </c>
      <c r="G52" s="14"/>
      <c r="H52" s="1060"/>
      <c r="I52" s="1061"/>
      <c r="P52" s="220"/>
      <c r="Q52" s="23"/>
      <c r="R52" s="23"/>
      <c r="S52" s="23"/>
      <c r="T52" s="23"/>
      <c r="U52" s="23"/>
      <c r="V52" s="23"/>
      <c r="W52" s="63" t="str">
        <f>IF(M19="","",IF(M19=INDEX(SourceCategory,3),1,IF(CNTR_InstHasCalculation=FALSE,0,2)))</f>
        <v/>
      </c>
    </row>
    <row r="53" spans="1:23" s="24" customFormat="1" ht="12.75" customHeight="1" x14ac:dyDescent="0.2">
      <c r="A53" s="17" t="s">
        <v>1373</v>
      </c>
      <c r="D53" s="25"/>
      <c r="E53" s="11"/>
      <c r="G53" s="14"/>
      <c r="H53" s="1084" t="str">
        <f>Translations!$B$457</f>
        <v>Continual</v>
      </c>
      <c r="I53" s="1085"/>
      <c r="P53" s="220"/>
      <c r="Q53" s="23"/>
      <c r="R53" s="23"/>
      <c r="S53" s="23"/>
      <c r="T53" s="23"/>
      <c r="U53" s="23"/>
      <c r="V53" s="23"/>
      <c r="W53" s="63" t="str">
        <f>IF(M28="","",IF(M28=INDEX(SourceCategory,3),1,IF(CNTR_InstHasCalculation=FALSE,0,2)))</f>
        <v/>
      </c>
    </row>
    <row r="54" spans="1:23" s="24" customFormat="1" ht="25.5" customHeight="1" x14ac:dyDescent="0.2">
      <c r="A54" s="23"/>
      <c r="D54" s="25"/>
      <c r="E54" s="869" t="str">
        <f>Translations!$B$458</f>
        <v>Pursuant to Article 27(1) the activity data of a source stream can be determined (a) by continual metering at the process which causes the emissions, or (b) based on aggregation of metering of the amount separately delivered taking into account relevant stock changes (batch metering).</v>
      </c>
      <c r="F54" s="869"/>
      <c r="G54" s="869"/>
      <c r="H54" s="869"/>
      <c r="I54" s="869"/>
      <c r="J54" s="869"/>
      <c r="K54" s="869"/>
      <c r="L54" s="869"/>
      <c r="M54" s="869"/>
      <c r="N54" s="869"/>
      <c r="P54" s="29"/>
      <c r="Q54" s="23"/>
      <c r="R54" s="23"/>
      <c r="S54" s="23"/>
      <c r="T54" s="23"/>
      <c r="U54" s="23"/>
      <c r="V54" s="23"/>
      <c r="W54" s="23"/>
    </row>
    <row r="55" spans="1:23" s="24" customFormat="1" ht="5.0999999999999996" customHeight="1" x14ac:dyDescent="0.2">
      <c r="A55" s="23"/>
      <c r="D55" s="25"/>
      <c r="G55" s="14"/>
      <c r="H55" s="44"/>
      <c r="I55" s="44"/>
      <c r="P55" s="29"/>
      <c r="Q55" s="23"/>
      <c r="R55" s="23"/>
      <c r="S55" s="23"/>
      <c r="T55" s="23"/>
      <c r="U55" s="23"/>
      <c r="V55" s="23"/>
      <c r="W55" s="23"/>
    </row>
    <row r="56" spans="1:23" s="24" customFormat="1" ht="12.75" customHeight="1" x14ac:dyDescent="0.2">
      <c r="A56" s="23"/>
      <c r="E56" s="46"/>
      <c r="F56" s="1049" t="str">
        <f>Translations!$B$459</f>
        <v>Reference to procedure used for determining stock piles at end of year:</v>
      </c>
      <c r="G56" s="1049"/>
      <c r="H56" s="1049"/>
      <c r="I56" s="1049"/>
      <c r="J56" s="1050"/>
      <c r="K56" s="1060"/>
      <c r="L56" s="1061"/>
      <c r="P56" s="29"/>
      <c r="Q56" s="23"/>
      <c r="R56" s="23"/>
      <c r="S56" s="23"/>
      <c r="T56" s="23"/>
      <c r="U56" s="29"/>
      <c r="V56" s="32" t="b">
        <f>IF(OR(H19="",ISBLANK(H52)),FALSE,IF(MATCH(H52,EUconst_ActivityDeterminationMethod,0)=2,TRUE,FALSE))</f>
        <v>0</v>
      </c>
      <c r="W56" s="63" t="str">
        <f>IF(V56=TRUE,0,W52)</f>
        <v/>
      </c>
    </row>
    <row r="57" spans="1:23" s="24" customFormat="1" ht="12.75" customHeight="1" x14ac:dyDescent="0.2">
      <c r="A57" s="17" t="s">
        <v>1373</v>
      </c>
      <c r="D57" s="11"/>
      <c r="E57" s="46"/>
      <c r="F57" s="1049"/>
      <c r="G57" s="1049"/>
      <c r="H57" s="1049"/>
      <c r="I57" s="1049"/>
      <c r="J57" s="1050"/>
      <c r="K57" s="1082"/>
      <c r="L57" s="1083"/>
      <c r="P57" s="29"/>
      <c r="Q57" s="23"/>
      <c r="R57" s="23"/>
      <c r="S57" s="23"/>
      <c r="T57" s="23"/>
      <c r="U57" s="29"/>
      <c r="V57" s="32" t="b">
        <f>IF(OR(H29="",ISBLANK(H54)),FALSE,IF(MATCH(H54,EUconst_ActivityDeterminationMethod,0)=2,TRUE,FALSE))</f>
        <v>0</v>
      </c>
      <c r="W57" s="63">
        <f>IF(V57=TRUE,0,W54)</f>
        <v>0</v>
      </c>
    </row>
    <row r="58" spans="1:23" s="24" customFormat="1" ht="12.75" customHeight="1" x14ac:dyDescent="0.2">
      <c r="A58" s="23"/>
      <c r="F58" s="869" t="str">
        <f>Translations!$B$460</f>
        <v xml:space="preserve">This is only relevant if you selected "Batch" as determination method. Please refer to the procedure described under section 7(i). </v>
      </c>
      <c r="G58" s="869"/>
      <c r="H58" s="869"/>
      <c r="I58" s="869"/>
      <c r="J58" s="869"/>
      <c r="K58" s="869"/>
      <c r="L58" s="869"/>
      <c r="M58" s="869"/>
      <c r="N58" s="869"/>
      <c r="P58" s="29"/>
      <c r="Q58" s="23"/>
      <c r="R58" s="23"/>
      <c r="S58" s="23"/>
      <c r="T58" s="23"/>
      <c r="U58" s="23"/>
      <c r="V58" s="23"/>
      <c r="W58" s="23"/>
    </row>
    <row r="59" spans="1:23" s="24" customFormat="1" ht="12.75" customHeight="1" x14ac:dyDescent="0.2">
      <c r="A59" s="23"/>
      <c r="F59" s="798" t="str">
        <f>Translations!$B$461</f>
        <v>Installations with low emissions (section 5(e)) are not required to include the stocks determination in their uncertainty assessment (Article 47(5)).</v>
      </c>
      <c r="G59" s="798"/>
      <c r="H59" s="798"/>
      <c r="I59" s="798"/>
      <c r="J59" s="798"/>
      <c r="K59" s="798"/>
      <c r="L59" s="798"/>
      <c r="M59" s="798"/>
      <c r="N59" s="798"/>
      <c r="P59" s="29"/>
      <c r="Q59" s="23"/>
      <c r="R59" s="23"/>
      <c r="S59" s="23"/>
      <c r="T59" s="23"/>
      <c r="U59" s="23"/>
      <c r="V59" s="23"/>
      <c r="W59" s="23"/>
    </row>
    <row r="60" spans="1:23" s="24" customFormat="1" ht="5.0999999999999996" customHeight="1" x14ac:dyDescent="0.2">
      <c r="A60" s="23"/>
      <c r="P60" s="29"/>
      <c r="Q60" s="23"/>
      <c r="R60" s="23"/>
      <c r="S60" s="23"/>
      <c r="T60" s="23"/>
      <c r="U60" s="23"/>
      <c r="V60" s="23"/>
      <c r="W60" s="23"/>
    </row>
    <row r="61" spans="1:23" s="24" customFormat="1" ht="12.75" customHeight="1" x14ac:dyDescent="0.2">
      <c r="A61" s="23"/>
      <c r="D61" s="46" t="s">
        <v>1031</v>
      </c>
      <c r="E61" s="11" t="str">
        <f>Translations!$B$462</f>
        <v>Instrument under control of:</v>
      </c>
      <c r="G61" s="14"/>
      <c r="H61" s="1060"/>
      <c r="I61" s="1061"/>
      <c r="J61" s="25"/>
      <c r="P61" s="29"/>
      <c r="Q61" s="23"/>
      <c r="R61" s="23"/>
      <c r="S61" s="23"/>
      <c r="T61" s="23"/>
      <c r="U61" s="23"/>
      <c r="V61" s="23"/>
      <c r="W61" s="63" t="str">
        <f>W52</f>
        <v/>
      </c>
    </row>
    <row r="62" spans="1:23" s="24" customFormat="1" ht="12.75" customHeight="1" x14ac:dyDescent="0.2">
      <c r="A62" s="17" t="s">
        <v>1373</v>
      </c>
      <c r="D62" s="46"/>
      <c r="E62" s="11"/>
      <c r="G62" s="14"/>
      <c r="H62" s="1084" t="str">
        <f>Translations!$B$149</f>
        <v>Operator</v>
      </c>
      <c r="I62" s="1085"/>
      <c r="J62" s="25"/>
      <c r="P62" s="29"/>
      <c r="Q62" s="23"/>
      <c r="R62" s="23"/>
      <c r="S62" s="23"/>
      <c r="T62" s="23"/>
      <c r="U62" s="23"/>
      <c r="V62" s="23"/>
      <c r="W62" s="63">
        <f>W55</f>
        <v>0</v>
      </c>
    </row>
    <row r="63" spans="1:23" s="24" customFormat="1" ht="12.75" customHeight="1" x14ac:dyDescent="0.2">
      <c r="A63" s="23"/>
      <c r="D63" s="25"/>
      <c r="E63" s="869" t="str">
        <f>Translations!$B$463</f>
        <v>Please choose "operator" if the measurement instrument is under your own control and "Trade partner" if it is outside your own control.</v>
      </c>
      <c r="F63" s="869"/>
      <c r="G63" s="869"/>
      <c r="H63" s="869"/>
      <c r="I63" s="869"/>
      <c r="J63" s="869"/>
      <c r="K63" s="869"/>
      <c r="L63" s="869"/>
      <c r="M63" s="869"/>
      <c r="N63" s="869"/>
      <c r="P63" s="15"/>
      <c r="Q63" s="23"/>
      <c r="R63" s="23"/>
      <c r="S63" s="23"/>
      <c r="T63" s="23"/>
      <c r="U63" s="23"/>
      <c r="V63" s="23"/>
      <c r="W63" s="23"/>
    </row>
    <row r="64" spans="1:23" s="24" customFormat="1" ht="25.5" customHeight="1" x14ac:dyDescent="0.2">
      <c r="A64" s="23"/>
      <c r="D64" s="25"/>
      <c r="E64" s="869" t="str">
        <f>Translations!$B$464</f>
        <v>If more than one instrument is relevant, please choose "trade partner" if this is the case for at least one of the instruments used for this source streams. In this case use the comment box under point (b) below to identify which instruments are under the operator's control and which ones are under the trading partner's control.</v>
      </c>
      <c r="F64" s="869"/>
      <c r="G64" s="869"/>
      <c r="H64" s="869"/>
      <c r="I64" s="869"/>
      <c r="J64" s="869"/>
      <c r="K64" s="869"/>
      <c r="L64" s="869"/>
      <c r="M64" s="869"/>
      <c r="N64" s="869"/>
      <c r="P64" s="15"/>
      <c r="Q64" s="23"/>
      <c r="R64" s="23"/>
      <c r="S64" s="23"/>
      <c r="T64" s="23"/>
      <c r="U64" s="23"/>
      <c r="V64" s="23"/>
      <c r="W64" s="23"/>
    </row>
    <row r="65" spans="1:23" s="24" customFormat="1" ht="5.0999999999999996" customHeight="1" x14ac:dyDescent="0.2">
      <c r="A65" s="23"/>
      <c r="D65" s="25"/>
      <c r="G65" s="14"/>
      <c r="H65" s="44"/>
      <c r="I65" s="44"/>
      <c r="J65" s="25"/>
      <c r="P65" s="29"/>
      <c r="Q65" s="23"/>
      <c r="R65" s="23"/>
      <c r="S65" s="23"/>
      <c r="T65" s="23"/>
      <c r="U65" s="23"/>
      <c r="V65" s="23"/>
      <c r="W65" s="23"/>
    </row>
    <row r="66" spans="1:23" s="24" customFormat="1" ht="12.75" customHeight="1" x14ac:dyDescent="0.2">
      <c r="A66" s="23"/>
      <c r="D66" s="25"/>
      <c r="E66" s="46" t="s">
        <v>1296</v>
      </c>
      <c r="F66" s="767" t="str">
        <f>Translations!$B$465</f>
        <v>Please confirm that the conditions of Article 29(1) are satisfied:</v>
      </c>
      <c r="G66" s="732"/>
      <c r="H66" s="732"/>
      <c r="I66" s="732"/>
      <c r="J66" s="732"/>
      <c r="K66" s="732"/>
      <c r="L66" s="192"/>
      <c r="P66" s="29"/>
      <c r="Q66" s="23"/>
      <c r="R66" s="23"/>
      <c r="S66" s="23"/>
      <c r="T66" s="23"/>
      <c r="U66" s="23"/>
      <c r="V66" s="32" t="b">
        <f>IF(OR(H19="",ISBLANK(H61)),FALSE,IF(MATCH(H61,EUconst_OwnerInstrument,0)=1,TRUE,FALSE))</f>
        <v>0</v>
      </c>
      <c r="W66" s="63" t="str">
        <f>IF(V66=TRUE,0,W52)</f>
        <v/>
      </c>
    </row>
    <row r="67" spans="1:23" s="24" customFormat="1" ht="12.75" customHeight="1" x14ac:dyDescent="0.2">
      <c r="A67" s="17" t="s">
        <v>1373</v>
      </c>
      <c r="D67" s="25"/>
      <c r="E67" s="46"/>
      <c r="F67" s="767"/>
      <c r="G67" s="732"/>
      <c r="H67" s="732"/>
      <c r="I67" s="732"/>
      <c r="J67" s="732"/>
      <c r="K67" s="732"/>
      <c r="L67" s="390"/>
      <c r="P67" s="29"/>
      <c r="Q67" s="23"/>
      <c r="R67" s="23"/>
      <c r="S67" s="23"/>
      <c r="T67" s="23"/>
      <c r="U67" s="23"/>
      <c r="V67" s="32" t="b">
        <f>IF(OR(H31="",ISBLANK(H63)),FALSE,IF(MATCH(H63,EUconst_OwnerInstrument,0)=1,TRUE,FALSE))</f>
        <v>0</v>
      </c>
      <c r="W67" s="63" t="str">
        <f>IF(V67=TRUE,0,W56)</f>
        <v/>
      </c>
    </row>
    <row r="68" spans="1:23" s="24" customFormat="1" ht="12.75" customHeight="1" x14ac:dyDescent="0.2">
      <c r="A68" s="23"/>
      <c r="D68" s="25"/>
      <c r="E68" s="25"/>
      <c r="F68" s="869" t="str">
        <f>Translations!$B$466</f>
        <v>This point is only relevant if you are not the owner of the measurement instrument.</v>
      </c>
      <c r="G68" s="869"/>
      <c r="H68" s="869"/>
      <c r="I68" s="869"/>
      <c r="J68" s="869"/>
      <c r="K68" s="869"/>
      <c r="L68" s="869"/>
      <c r="M68" s="869"/>
      <c r="N68" s="869"/>
      <c r="P68" s="29"/>
      <c r="Q68" s="23"/>
      <c r="R68" s="23"/>
      <c r="S68" s="23"/>
      <c r="T68" s="23"/>
      <c r="U68" s="23"/>
      <c r="V68" s="23"/>
      <c r="W68" s="23"/>
    </row>
    <row r="69" spans="1:23" s="24" customFormat="1" ht="25.5" customHeight="1" x14ac:dyDescent="0.2">
      <c r="A69" s="23"/>
      <c r="D69" s="25"/>
      <c r="E69" s="25"/>
      <c r="F69" s="869" t="str">
        <f>Translations!$B$467</f>
        <v>Pursuant to Article 29(1) you are only allowed to rely on instruments that are not under your own control if the instruments comply at least with as high a tier as own instruments, give more reliable results, and are less prone to control risks.</v>
      </c>
      <c r="G69" s="869"/>
      <c r="H69" s="869"/>
      <c r="I69" s="869"/>
      <c r="J69" s="869"/>
      <c r="K69" s="869"/>
      <c r="L69" s="869"/>
      <c r="M69" s="869"/>
      <c r="N69" s="869"/>
      <c r="P69" s="29"/>
      <c r="Q69" s="23"/>
      <c r="R69" s="23"/>
      <c r="S69" s="23"/>
      <c r="T69" s="23"/>
      <c r="U69" s="23"/>
      <c r="V69" s="16"/>
      <c r="W69" s="23"/>
    </row>
    <row r="70" spans="1:23" s="24" customFormat="1" ht="5.0999999999999996" customHeight="1" x14ac:dyDescent="0.2">
      <c r="A70" s="23"/>
      <c r="D70" s="25"/>
      <c r="E70" s="25"/>
      <c r="G70" s="14"/>
      <c r="N70" s="44"/>
      <c r="P70" s="29"/>
      <c r="Q70" s="23"/>
      <c r="R70" s="23"/>
      <c r="S70" s="23"/>
      <c r="T70" s="23"/>
      <c r="U70" s="23"/>
      <c r="V70" s="16"/>
      <c r="W70" s="23"/>
    </row>
    <row r="71" spans="1:23" s="24" customFormat="1" ht="12.75" customHeight="1" x14ac:dyDescent="0.2">
      <c r="A71" s="23"/>
      <c r="D71" s="25"/>
      <c r="E71" s="46" t="s">
        <v>1297</v>
      </c>
      <c r="F71" s="1049" t="str">
        <f>Translations!$B$468</f>
        <v>Do you use invoices for determining the amount of this fuel or material?</v>
      </c>
      <c r="G71" s="1049"/>
      <c r="H71" s="1049"/>
      <c r="I71" s="1049"/>
      <c r="J71" s="1049"/>
      <c r="K71" s="1050"/>
      <c r="L71" s="192"/>
      <c r="P71" s="29"/>
      <c r="Q71" s="23"/>
      <c r="R71" s="23"/>
      <c r="S71" s="23"/>
      <c r="T71" s="23"/>
      <c r="U71" s="23"/>
      <c r="V71" s="32" t="b">
        <f>IF(OR(H19="",ISBLANK(H61)),FALSE,IF(MATCH(H61,EUconst_OwnerInstrument,0)=1,TRUE,FALSE))</f>
        <v>0</v>
      </c>
      <c r="W71" s="63" t="str">
        <f>IF(V71=TRUE,0,W52)</f>
        <v/>
      </c>
    </row>
    <row r="72" spans="1:23" s="24" customFormat="1" ht="12.75" customHeight="1" x14ac:dyDescent="0.2">
      <c r="A72" s="17" t="s">
        <v>1373</v>
      </c>
      <c r="D72" s="25"/>
      <c r="E72" s="46"/>
      <c r="F72" s="767"/>
      <c r="G72" s="732"/>
      <c r="H72" s="732"/>
      <c r="I72" s="732"/>
      <c r="J72" s="732"/>
      <c r="K72" s="732"/>
      <c r="L72" s="390"/>
      <c r="P72" s="29"/>
      <c r="Q72" s="23"/>
      <c r="R72" s="23"/>
      <c r="S72" s="23"/>
      <c r="T72" s="23"/>
      <c r="U72" s="23"/>
      <c r="V72" s="32" t="b">
        <f>IF(OR(H36="",ISBLANK(H68)),FALSE,IF(MATCH(H68,EUconst_OwnerInstrument,0)=1,TRUE,FALSE))</f>
        <v>0</v>
      </c>
      <c r="W72" s="63" t="str">
        <f>IF(V72=TRUE,0,W61)</f>
        <v/>
      </c>
    </row>
    <row r="73" spans="1:23" s="24" customFormat="1" ht="12.75" customHeight="1" x14ac:dyDescent="0.2">
      <c r="A73" s="23"/>
      <c r="D73" s="25"/>
      <c r="E73" s="25"/>
      <c r="F73" s="869" t="str">
        <f>Translations!$B$466</f>
        <v>This point is only relevant if you are not the owner of the measurement instrument.</v>
      </c>
      <c r="G73" s="869"/>
      <c r="H73" s="869"/>
      <c r="I73" s="869"/>
      <c r="J73" s="869"/>
      <c r="K73" s="869"/>
      <c r="L73" s="869"/>
      <c r="M73" s="869"/>
      <c r="N73" s="869"/>
      <c r="P73" s="29"/>
      <c r="Q73" s="23"/>
      <c r="R73" s="23"/>
      <c r="S73" s="23"/>
      <c r="T73" s="23"/>
      <c r="U73" s="23"/>
      <c r="V73" s="23"/>
      <c r="W73" s="23"/>
    </row>
    <row r="74" spans="1:23" s="24" customFormat="1" ht="5.0999999999999996" customHeight="1" x14ac:dyDescent="0.2">
      <c r="A74" s="23"/>
      <c r="D74" s="25"/>
      <c r="E74" s="25"/>
      <c r="G74" s="14"/>
      <c r="J74" s="25"/>
      <c r="L74" s="45"/>
      <c r="P74" s="29"/>
      <c r="Q74" s="23"/>
      <c r="R74" s="23"/>
      <c r="S74" s="23"/>
      <c r="T74" s="23"/>
      <c r="U74" s="23"/>
      <c r="V74" s="23"/>
      <c r="W74" s="23"/>
    </row>
    <row r="75" spans="1:23" s="24" customFormat="1" ht="12.75" customHeight="1" x14ac:dyDescent="0.2">
      <c r="A75" s="23"/>
      <c r="D75" s="25"/>
      <c r="E75" s="46" t="s">
        <v>1298</v>
      </c>
      <c r="F75" s="1049" t="str">
        <f>Translations!$B$469</f>
        <v>Please confirm that the trade partner and the operator are independent:</v>
      </c>
      <c r="G75" s="1049"/>
      <c r="H75" s="1049"/>
      <c r="I75" s="1049"/>
      <c r="J75" s="1049"/>
      <c r="K75" s="1050"/>
      <c r="L75" s="192"/>
      <c r="P75" s="29"/>
      <c r="Q75" s="23"/>
      <c r="R75" s="23"/>
      <c r="S75" s="23"/>
      <c r="T75" s="23"/>
      <c r="U75" s="23"/>
      <c r="V75" s="32" t="b">
        <f>IF(OR(H19="",ISBLANK(H61)),FALSE,IF(MATCH(H61,EUconst_OwnerInstrument,0)=1,TRUE,FALSE))</f>
        <v>0</v>
      </c>
      <c r="W75" s="63" t="str">
        <f>IF(V75=TRUE,0,W52)</f>
        <v/>
      </c>
    </row>
    <row r="76" spans="1:23" s="24" customFormat="1" ht="12.75" customHeight="1" x14ac:dyDescent="0.2">
      <c r="A76" s="17" t="s">
        <v>1373</v>
      </c>
      <c r="D76" s="25"/>
      <c r="E76" s="46"/>
      <c r="F76" s="767"/>
      <c r="G76" s="732"/>
      <c r="H76" s="732"/>
      <c r="I76" s="732"/>
      <c r="J76" s="732"/>
      <c r="K76" s="732"/>
      <c r="L76" s="390"/>
      <c r="P76" s="29"/>
      <c r="Q76" s="23"/>
      <c r="R76" s="23"/>
      <c r="S76" s="23"/>
      <c r="T76" s="23"/>
      <c r="U76" s="23"/>
      <c r="V76" s="32" t="b">
        <f>IF(OR(H40="",ISBLANK(H72)),FALSE,IF(MATCH(H72,EUconst_OwnerInstrument,0)=1,TRUE,FALSE))</f>
        <v>0</v>
      </c>
      <c r="W76" s="63">
        <f>IF(V76=TRUE,0,W65)</f>
        <v>0</v>
      </c>
    </row>
    <row r="77" spans="1:23" s="24" customFormat="1" x14ac:dyDescent="0.2">
      <c r="A77" s="23"/>
      <c r="D77" s="25"/>
      <c r="E77" s="25"/>
      <c r="F77" s="869" t="str">
        <f>Translations!$B$470</f>
        <v xml:space="preserve">This point is only relevant if you are not the owner of the measurement instrument </v>
      </c>
      <c r="G77" s="869"/>
      <c r="H77" s="869"/>
      <c r="I77" s="869"/>
      <c r="J77" s="869"/>
      <c r="K77" s="869"/>
      <c r="L77" s="869"/>
      <c r="M77" s="869"/>
      <c r="N77" s="869"/>
      <c r="P77" s="29"/>
      <c r="Q77" s="23"/>
      <c r="R77" s="23"/>
      <c r="S77" s="23"/>
      <c r="T77" s="23"/>
      <c r="U77" s="23"/>
      <c r="V77" s="23"/>
      <c r="W77" s="23"/>
    </row>
    <row r="78" spans="1:23" s="24" customFormat="1" x14ac:dyDescent="0.2">
      <c r="A78" s="23"/>
      <c r="D78" s="25"/>
      <c r="E78" s="25"/>
      <c r="F78" s="869" t="str">
        <f>Translations!$B$471</f>
        <v>Pursuant to Article 29(1) point (a) you may only rely on invoices if the trade partners are independent.</v>
      </c>
      <c r="G78" s="869"/>
      <c r="H78" s="869"/>
      <c r="I78" s="869"/>
      <c r="J78" s="869"/>
      <c r="K78" s="869"/>
      <c r="L78" s="869"/>
      <c r="M78" s="869"/>
      <c r="N78" s="869"/>
      <c r="P78" s="29"/>
      <c r="Q78" s="23"/>
      <c r="R78" s="23"/>
      <c r="S78" s="23"/>
      <c r="T78" s="23"/>
      <c r="U78" s="23"/>
      <c r="V78" s="23"/>
      <c r="W78" s="23"/>
    </row>
    <row r="79" spans="1:23" s="24" customFormat="1" x14ac:dyDescent="0.2">
      <c r="A79" s="23"/>
      <c r="P79" s="29"/>
      <c r="Q79" s="23"/>
      <c r="R79" s="23"/>
      <c r="S79" s="23"/>
      <c r="T79" s="23"/>
      <c r="U79" s="23"/>
      <c r="V79" s="23"/>
      <c r="W79" s="23"/>
    </row>
    <row r="80" spans="1:23" s="24" customFormat="1" ht="12.75" customHeight="1" x14ac:dyDescent="0.2">
      <c r="A80" s="23"/>
      <c r="D80" s="13" t="s">
        <v>1020</v>
      </c>
      <c r="E80" s="14" t="str">
        <f>Translations!$B$472</f>
        <v>Measurement instruments used:</v>
      </c>
      <c r="H80" s="215"/>
      <c r="I80" s="215"/>
      <c r="J80" s="215"/>
      <c r="K80" s="215"/>
      <c r="L80" s="215"/>
      <c r="P80" s="15"/>
      <c r="Q80" s="23"/>
      <c r="R80" s="23"/>
      <c r="S80" s="23"/>
      <c r="T80" s="23"/>
      <c r="U80" s="23"/>
      <c r="V80" s="23"/>
      <c r="W80" s="23"/>
    </row>
    <row r="81" spans="1:23" s="24" customFormat="1" ht="12.75" customHeight="1" x14ac:dyDescent="0.2">
      <c r="A81" s="17" t="s">
        <v>1373</v>
      </c>
      <c r="D81" s="13"/>
      <c r="E81" s="14"/>
      <c r="H81" s="258" t="s">
        <v>289</v>
      </c>
      <c r="I81" s="258" t="s">
        <v>408</v>
      </c>
      <c r="J81" s="258"/>
      <c r="K81" s="258"/>
      <c r="L81" s="258"/>
      <c r="P81" s="15"/>
      <c r="Q81" s="23"/>
      <c r="R81" s="23"/>
      <c r="S81" s="23"/>
      <c r="T81" s="23"/>
      <c r="U81" s="23"/>
      <c r="V81" s="23"/>
      <c r="W81" s="23"/>
    </row>
    <row r="82" spans="1:23" s="24" customFormat="1" x14ac:dyDescent="0.2">
      <c r="A82" s="23"/>
      <c r="D82" s="13"/>
      <c r="E82" s="869" t="str">
        <f>Translations!$B$473</f>
        <v xml:space="preserve">Please select here one or more from the instruments which you have defined in section 7(b). </v>
      </c>
      <c r="F82" s="869"/>
      <c r="G82" s="869"/>
      <c r="H82" s="869"/>
      <c r="I82" s="869"/>
      <c r="J82" s="869"/>
      <c r="K82" s="869"/>
      <c r="L82" s="869"/>
      <c r="M82" s="869"/>
      <c r="N82" s="869"/>
      <c r="P82" s="15"/>
      <c r="Q82" s="23"/>
      <c r="R82" s="23"/>
      <c r="S82" s="23"/>
      <c r="T82" s="23"/>
      <c r="U82" s="23"/>
      <c r="V82" s="23"/>
      <c r="W82" s="23"/>
    </row>
    <row r="83" spans="1:23" s="24" customFormat="1" ht="25.5" customHeight="1" x14ac:dyDescent="0.2">
      <c r="A83" s="23"/>
      <c r="D83" s="13"/>
      <c r="E83" s="869" t="str">
        <f>Translations!$B$474</f>
        <v>If more than 5 measurement instruments are used for this source stream, e.g. if the p/T compensation is done using separate instruments, please use the comment box below for further description.</v>
      </c>
      <c r="F83" s="869"/>
      <c r="G83" s="869"/>
      <c r="H83" s="869"/>
      <c r="I83" s="869"/>
      <c r="J83" s="869"/>
      <c r="K83" s="869"/>
      <c r="L83" s="869"/>
      <c r="M83" s="869"/>
      <c r="N83" s="869"/>
      <c r="P83" s="15"/>
      <c r="Q83" s="23"/>
      <c r="R83" s="23"/>
      <c r="S83" s="23"/>
      <c r="T83" s="23"/>
      <c r="U83" s="23"/>
      <c r="V83" s="23"/>
      <c r="W83" s="23"/>
    </row>
    <row r="84" spans="1:23" s="24" customFormat="1" ht="5.0999999999999996" customHeight="1" x14ac:dyDescent="0.2">
      <c r="A84" s="23"/>
      <c r="D84" s="13"/>
      <c r="E84" s="14"/>
      <c r="P84" s="15"/>
      <c r="Q84" s="23"/>
      <c r="R84" s="23"/>
      <c r="S84" s="23"/>
      <c r="T84" s="23"/>
      <c r="U84" s="23"/>
      <c r="V84" s="23"/>
      <c r="W84" s="23"/>
    </row>
    <row r="85" spans="1:23" s="24" customFormat="1" x14ac:dyDescent="0.2">
      <c r="A85" s="23"/>
      <c r="D85" s="13"/>
      <c r="E85" s="24" t="str">
        <f>Translations!$B$475</f>
        <v>Comment / Description of approach, if several instruments used:</v>
      </c>
      <c r="I85" s="11"/>
      <c r="P85" s="29"/>
      <c r="Q85" s="23"/>
      <c r="R85" s="23"/>
      <c r="S85" s="23"/>
      <c r="T85" s="23"/>
      <c r="U85" s="23"/>
      <c r="V85" s="23"/>
      <c r="W85" s="23"/>
    </row>
    <row r="86" spans="1:23" s="24" customFormat="1" ht="25.5" customHeight="1" x14ac:dyDescent="0.2">
      <c r="A86" s="23"/>
      <c r="D86" s="13"/>
      <c r="E86" s="869" t="str">
        <f>Translations!$B$476</f>
        <v>Please explain why and how more than one instrument are relevant, if applicable. E.g it may be the case that one instrument is needed for subtracting a non-ETS part of the fuel. Weighing instruments might be used alternatively, or for corroboration purposes, etc.</v>
      </c>
      <c r="F86" s="869"/>
      <c r="G86" s="869"/>
      <c r="H86" s="869"/>
      <c r="I86" s="869"/>
      <c r="J86" s="869"/>
      <c r="K86" s="869"/>
      <c r="L86" s="869"/>
      <c r="M86" s="869"/>
      <c r="N86" s="869"/>
      <c r="P86" s="15"/>
      <c r="Q86" s="23"/>
      <c r="R86" s="23"/>
      <c r="S86" s="23"/>
      <c r="T86" s="23"/>
      <c r="U86" s="23"/>
      <c r="V86" s="23"/>
      <c r="W86" s="23"/>
    </row>
    <row r="87" spans="1:23" s="24" customFormat="1" ht="12.75" customHeight="1" x14ac:dyDescent="0.2">
      <c r="A87" s="23"/>
      <c r="D87" s="13"/>
      <c r="E87" s="1051"/>
      <c r="F87" s="1052"/>
      <c r="G87" s="1052"/>
      <c r="H87" s="1052"/>
      <c r="I87" s="1052"/>
      <c r="J87" s="1052"/>
      <c r="K87" s="1052"/>
      <c r="L87" s="1052"/>
      <c r="M87" s="1052"/>
      <c r="N87" s="1053"/>
      <c r="P87" s="29"/>
      <c r="Q87" s="23"/>
      <c r="R87" s="23"/>
      <c r="S87" s="23"/>
      <c r="T87" s="23"/>
      <c r="U87" s="23"/>
      <c r="V87" s="23"/>
      <c r="W87" s="23"/>
    </row>
    <row r="88" spans="1:23" s="24" customFormat="1" x14ac:dyDescent="0.2">
      <c r="A88" s="23"/>
      <c r="D88" s="13"/>
      <c r="E88" s="1054"/>
      <c r="F88" s="1055"/>
      <c r="G88" s="1055"/>
      <c r="H88" s="1055"/>
      <c r="I88" s="1055"/>
      <c r="J88" s="1055"/>
      <c r="K88" s="1055"/>
      <c r="L88" s="1055"/>
      <c r="M88" s="1055"/>
      <c r="N88" s="1056"/>
      <c r="P88" s="29"/>
      <c r="Q88" s="29"/>
      <c r="R88" s="29"/>
      <c r="S88" s="23"/>
      <c r="T88" s="23"/>
      <c r="U88" s="23"/>
      <c r="V88" s="23"/>
      <c r="W88" s="23"/>
    </row>
    <row r="89" spans="1:23" s="24" customFormat="1" x14ac:dyDescent="0.2">
      <c r="A89" s="23"/>
      <c r="D89" s="13"/>
      <c r="E89" s="1057"/>
      <c r="F89" s="1058"/>
      <c r="G89" s="1058"/>
      <c r="H89" s="1058"/>
      <c r="I89" s="1058"/>
      <c r="J89" s="1058"/>
      <c r="K89" s="1058"/>
      <c r="L89" s="1058"/>
      <c r="M89" s="1058"/>
      <c r="N89" s="1059"/>
      <c r="P89" s="29"/>
      <c r="Q89" s="29"/>
      <c r="R89" s="29"/>
      <c r="S89" s="23"/>
      <c r="T89" s="23"/>
      <c r="U89" s="23"/>
      <c r="V89" s="23"/>
      <c r="W89" s="23"/>
    </row>
    <row r="90" spans="1:23" s="24" customFormat="1" x14ac:dyDescent="0.2">
      <c r="A90" s="23"/>
      <c r="D90" s="13"/>
      <c r="P90" s="29"/>
      <c r="Q90" s="29"/>
      <c r="R90" s="29"/>
      <c r="S90" s="23"/>
      <c r="T90" s="23"/>
      <c r="U90" s="23"/>
      <c r="V90" s="23"/>
      <c r="W90" s="23"/>
    </row>
    <row r="91" spans="1:23" s="24" customFormat="1" ht="12.75" customHeight="1" x14ac:dyDescent="0.2">
      <c r="A91" s="23"/>
      <c r="D91" s="13" t="s">
        <v>554</v>
      </c>
      <c r="E91" s="14" t="str">
        <f>Translations!$B$477</f>
        <v>Activity data tier level required:</v>
      </c>
      <c r="H91" s="30" t="str">
        <f>IF(H21="","",IF(CNTR_Category="A",INDEX(EUwideConstants!$G:$G,MATCH(Q91,EUwideConstants!$S:$S,0)),INDEX(EUwideConstants!$P:$P,MATCH(Q91,EUwideConstants!$S:$S,0))))</f>
        <v/>
      </c>
      <c r="I91" s="26" t="str">
        <f>IF(H91="","",IF(S91=0,EUconst_NA,IF(ISERROR(S91),"",EUconst_MsgTierActivityLevel &amp; " " &amp;S91)))</f>
        <v/>
      </c>
      <c r="J91" s="27"/>
      <c r="K91" s="27"/>
      <c r="L91" s="27"/>
      <c r="M91" s="27"/>
      <c r="N91" s="28"/>
      <c r="P91" s="29"/>
      <c r="Q91" s="92" t="str">
        <f>EUconst_CNTR_ActivityData&amp;H21</f>
        <v>ActivityData_</v>
      </c>
      <c r="R91" s="29"/>
      <c r="S91" s="32" t="str">
        <f>IF(H91="","",IF(H91=EUconst_NA,"",INDEX(EUwideConstants!$H:$O,MATCH(Q91,EUwideConstants!$S:$S,0),MATCH(H91,CNTR_TierList,0))))</f>
        <v/>
      </c>
      <c r="T91" s="23"/>
      <c r="U91" s="23"/>
      <c r="V91" s="23"/>
      <c r="W91" s="23"/>
    </row>
    <row r="92" spans="1:23" s="24" customFormat="1" ht="12.75" customHeight="1" x14ac:dyDescent="0.2">
      <c r="A92" s="23"/>
      <c r="D92" s="13" t="s">
        <v>1022</v>
      </c>
      <c r="E92" s="14" t="str">
        <f>Translations!$B$478</f>
        <v>Activity data tier used:</v>
      </c>
      <c r="H92" s="192"/>
      <c r="I92" s="26" t="str">
        <f>IF(OR(ISBLANK(H92),H92=EUconst_NoTier),"",IF(S92=0,EUconst_NA,IF(ISERROR(S92),"",EUconst_MsgTierActivityLevel &amp; " " &amp;S92)))</f>
        <v/>
      </c>
      <c r="J92" s="27"/>
      <c r="K92" s="27"/>
      <c r="L92" s="27"/>
      <c r="M92" s="27"/>
      <c r="N92" s="28"/>
      <c r="P92" s="29"/>
      <c r="Q92" s="92" t="str">
        <f>EUconst_CNTR_ActivityData&amp;H21</f>
        <v>ActivityData_</v>
      </c>
      <c r="R92" s="29"/>
      <c r="S92" s="32" t="str">
        <f>IF(ISBLANK(H92),"",IF(H92=EUconst_NA,"",INDEX(EUwideConstants!$H:$O,MATCH(Q92,EUwideConstants!$S:$S,0),MATCH(H92,CNTR_TierList,0))))</f>
        <v/>
      </c>
      <c r="T92" s="23"/>
      <c r="U92" s="23"/>
      <c r="V92" s="23"/>
      <c r="W92" s="23"/>
    </row>
    <row r="93" spans="1:23" s="24" customFormat="1" ht="12.75" customHeight="1" x14ac:dyDescent="0.2">
      <c r="A93" s="23"/>
      <c r="D93" s="13" t="s">
        <v>1023</v>
      </c>
      <c r="E93" s="14" t="str">
        <f>Translations!$B$479</f>
        <v>Uncertainty achieved:</v>
      </c>
      <c r="H93" s="229"/>
      <c r="I93" s="14" t="str">
        <f>Translations!$B$480</f>
        <v>Comment:</v>
      </c>
      <c r="J93" s="193"/>
      <c r="K93" s="194"/>
      <c r="L93" s="194"/>
      <c r="M93" s="194"/>
      <c r="N93" s="195"/>
      <c r="P93" s="29"/>
      <c r="Q93" s="29"/>
      <c r="R93" s="29"/>
      <c r="S93" s="23"/>
      <c r="T93" s="23"/>
      <c r="U93" s="23"/>
      <c r="V93" s="23"/>
      <c r="W93" s="23"/>
    </row>
    <row r="94" spans="1:23" s="24" customFormat="1" x14ac:dyDescent="0.2">
      <c r="A94" s="17" t="s">
        <v>1373</v>
      </c>
      <c r="D94" s="391" t="str">
        <f>Translations!$B$452</f>
        <v>Example data:</v>
      </c>
      <c r="P94" s="29"/>
      <c r="Q94" s="29"/>
      <c r="R94" s="29"/>
      <c r="S94" s="23"/>
      <c r="T94" s="23"/>
      <c r="U94" s="23"/>
      <c r="V94" s="23"/>
      <c r="W94" s="23"/>
    </row>
    <row r="95" spans="1:23" s="24" customFormat="1" ht="12.75" customHeight="1" x14ac:dyDescent="0.2">
      <c r="A95" s="17" t="s">
        <v>1373</v>
      </c>
      <c r="D95" s="13" t="s">
        <v>554</v>
      </c>
      <c r="E95" s="14" t="str">
        <f>Translations!$B$477</f>
        <v>Activity data tier level required:</v>
      </c>
      <c r="H95" s="259">
        <v>2</v>
      </c>
      <c r="I95" s="261" t="str">
        <f>Translations!$B$481</f>
        <v>Uncertainty shall not be more than ± 5.0%</v>
      </c>
      <c r="J95" s="262"/>
      <c r="K95" s="262"/>
      <c r="L95" s="262"/>
      <c r="M95" s="262"/>
      <c r="N95" s="263"/>
      <c r="P95" s="29"/>
      <c r="Q95" s="92"/>
      <c r="R95" s="29"/>
      <c r="S95" s="32"/>
      <c r="T95" s="23"/>
      <c r="U95" s="23"/>
      <c r="V95" s="23"/>
      <c r="W95" s="23"/>
    </row>
    <row r="96" spans="1:23" s="24" customFormat="1" ht="12.75" customHeight="1" x14ac:dyDescent="0.2">
      <c r="A96" s="17" t="s">
        <v>1373</v>
      </c>
      <c r="D96" s="13" t="s">
        <v>1022</v>
      </c>
      <c r="E96" s="14" t="str">
        <f>Translations!$B$478</f>
        <v>Activity data tier used:</v>
      </c>
      <c r="H96" s="259">
        <v>3</v>
      </c>
      <c r="I96" s="261" t="str">
        <f>Translations!$B$482</f>
        <v>Uncertainty shall not be more than ± 2.5%</v>
      </c>
      <c r="J96" s="262"/>
      <c r="K96" s="262"/>
      <c r="L96" s="262"/>
      <c r="M96" s="262"/>
      <c r="N96" s="263"/>
      <c r="P96" s="29"/>
      <c r="Q96" s="92"/>
      <c r="R96" s="29"/>
      <c r="S96" s="32"/>
      <c r="T96" s="23"/>
      <c r="U96" s="23"/>
      <c r="V96" s="23"/>
      <c r="W96" s="23"/>
    </row>
    <row r="97" spans="1:23" s="24" customFormat="1" ht="12.75" customHeight="1" x14ac:dyDescent="0.2">
      <c r="A97" s="17" t="s">
        <v>1373</v>
      </c>
      <c r="D97" s="13" t="s">
        <v>1023</v>
      </c>
      <c r="E97" s="14" t="str">
        <f>Translations!$B$479</f>
        <v>Uncertainty achieved:</v>
      </c>
      <c r="H97" s="260">
        <v>2.2499999999999999E-2</v>
      </c>
      <c r="I97" s="14" t="str">
        <f>Translations!$B$480</f>
        <v>Comment:</v>
      </c>
      <c r="J97" s="261" t="str">
        <f>Translations!$B$483</f>
        <v>Covered by national legal metrological control --&gt; MPE in service</v>
      </c>
      <c r="K97" s="262"/>
      <c r="L97" s="262"/>
      <c r="M97" s="262"/>
      <c r="N97" s="263"/>
      <c r="P97" s="29"/>
      <c r="Q97" s="29"/>
      <c r="R97" s="29"/>
      <c r="S97" s="23"/>
      <c r="T97" s="23"/>
      <c r="U97" s="23"/>
      <c r="V97" s="23"/>
      <c r="W97" s="23"/>
    </row>
    <row r="98" spans="1:23" s="24" customFormat="1" x14ac:dyDescent="0.2">
      <c r="A98" s="23"/>
      <c r="D98" s="13"/>
      <c r="E98" s="869" t="str">
        <f>Translations!$B$484</f>
        <v>With regard to the tier level required and the tier level used, please provide here the uncertainty achieved in service over the whole reporting period.</v>
      </c>
      <c r="F98" s="869"/>
      <c r="G98" s="869"/>
      <c r="H98" s="869"/>
      <c r="I98" s="869"/>
      <c r="J98" s="869"/>
      <c r="K98" s="869"/>
      <c r="L98" s="869"/>
      <c r="M98" s="869"/>
      <c r="N98" s="869"/>
      <c r="P98" s="29"/>
      <c r="Q98" s="29"/>
      <c r="R98" s="29"/>
      <c r="S98" s="23"/>
      <c r="T98" s="23"/>
      <c r="U98" s="23"/>
      <c r="V98" s="23"/>
      <c r="W98" s="23"/>
    </row>
    <row r="99" spans="1:23" s="24" customFormat="1" x14ac:dyDescent="0.2">
      <c r="A99" s="23"/>
      <c r="D99" s="13"/>
      <c r="E99" s="869" t="str">
        <f>Translations!$B$485</f>
        <v>In general, this value should be the result of an uncertainty assessment (see section 7(c)). However, Articles 28(2), (3) and 29(2) allow to apply several simplifications:</v>
      </c>
      <c r="F99" s="869"/>
      <c r="G99" s="869"/>
      <c r="H99" s="869"/>
      <c r="I99" s="869"/>
      <c r="J99" s="869"/>
      <c r="K99" s="869"/>
      <c r="L99" s="869"/>
      <c r="M99" s="869"/>
      <c r="N99" s="869"/>
      <c r="P99" s="29"/>
      <c r="Q99" s="29"/>
      <c r="R99" s="29"/>
      <c r="S99" s="23"/>
      <c r="T99" s="23"/>
      <c r="U99" s="23"/>
      <c r="V99" s="23"/>
      <c r="W99" s="23"/>
    </row>
    <row r="100" spans="1:23" s="24" customFormat="1" ht="37.700000000000003" customHeight="1" x14ac:dyDescent="0.2">
      <c r="A100" s="23"/>
      <c r="D100" s="13"/>
      <c r="E100" s="132" t="s">
        <v>1292</v>
      </c>
      <c r="F100" s="869" t="str">
        <f>Translations!$B$486</f>
        <v>You may use the maximum permissible errors specified for the measuring instrument in service, or where lower, the uncertainty obtained by calibration, multiplied by a conservative adjustment factor for taking into account the effect of uncertainty in service, provided that measuring instruments are installed in an environment appropriate for their use specifications, or</v>
      </c>
      <c r="G100" s="869"/>
      <c r="H100" s="869"/>
      <c r="I100" s="869"/>
      <c r="J100" s="869"/>
      <c r="K100" s="869"/>
      <c r="L100" s="869"/>
      <c r="M100" s="869"/>
      <c r="N100" s="869"/>
      <c r="P100" s="29"/>
      <c r="Q100" s="29"/>
      <c r="R100" s="29"/>
      <c r="S100" s="23"/>
      <c r="T100" s="23"/>
      <c r="U100" s="23"/>
      <c r="V100" s="23"/>
      <c r="W100" s="23"/>
    </row>
    <row r="101" spans="1:23" s="24" customFormat="1" ht="25.5" customHeight="1" x14ac:dyDescent="0.2">
      <c r="A101" s="23"/>
      <c r="D101" s="13"/>
      <c r="E101" s="132" t="s">
        <v>1292</v>
      </c>
      <c r="F101" s="869" t="str">
        <f>Translations!$B$487</f>
        <v>You may use the maximum permissible error in service as the uncertainty achieved provided that the measuring instrument is subject to national legal metrological control.</v>
      </c>
      <c r="G101" s="869"/>
      <c r="H101" s="869"/>
      <c r="I101" s="869"/>
      <c r="J101" s="869"/>
      <c r="K101" s="869"/>
      <c r="L101" s="869"/>
      <c r="M101" s="869"/>
      <c r="N101" s="869"/>
      <c r="P101" s="29"/>
      <c r="Q101" s="29"/>
      <c r="R101" s="29"/>
      <c r="S101" s="23"/>
      <c r="T101" s="23"/>
      <c r="U101" s="23"/>
      <c r="V101" s="23"/>
      <c r="W101" s="23"/>
    </row>
    <row r="102" spans="1:23" s="24" customFormat="1" x14ac:dyDescent="0.2">
      <c r="A102" s="23"/>
      <c r="D102" s="13"/>
      <c r="E102" s="869" t="str">
        <f>Translations!$B$488</f>
        <v>Please use the comment box (point (h) below) to describe how the uncertainty achieved over the whole period is determined.</v>
      </c>
      <c r="F102" s="869"/>
      <c r="G102" s="869"/>
      <c r="H102" s="869"/>
      <c r="I102" s="869"/>
      <c r="J102" s="869"/>
      <c r="K102" s="869"/>
      <c r="L102" s="869"/>
      <c r="M102" s="869"/>
      <c r="N102" s="869"/>
      <c r="P102" s="29"/>
      <c r="Q102" s="29"/>
      <c r="R102" s="29"/>
      <c r="S102" s="23"/>
      <c r="T102" s="23"/>
      <c r="U102" s="23"/>
      <c r="V102" s="23"/>
      <c r="W102" s="23"/>
    </row>
    <row r="103" spans="1:23" s="24" customFormat="1" x14ac:dyDescent="0.2">
      <c r="A103" s="23"/>
      <c r="D103" s="13"/>
      <c r="E103" s="869" t="str">
        <f>Translations!$B$1171</f>
        <v>For further guidance please consult Articles 28 and 29 of the MRR and Guidance Document 4 and use the "Tool for uncertainty assessment".</v>
      </c>
      <c r="F103" s="869"/>
      <c r="G103" s="869"/>
      <c r="H103" s="869"/>
      <c r="I103" s="869"/>
      <c r="J103" s="869"/>
      <c r="K103" s="869"/>
      <c r="L103" s="869"/>
      <c r="M103" s="869"/>
      <c r="N103" s="869"/>
      <c r="P103" s="29"/>
      <c r="Q103" s="29"/>
      <c r="R103" s="29"/>
      <c r="S103" s="23"/>
      <c r="T103" s="23"/>
      <c r="U103" s="23"/>
      <c r="V103" s="23"/>
      <c r="W103" s="23"/>
    </row>
    <row r="104" spans="1:23" s="24" customFormat="1" ht="5.0999999999999996" customHeight="1" x14ac:dyDescent="0.2">
      <c r="A104" s="23"/>
      <c r="D104" s="13"/>
      <c r="E104" s="67"/>
      <c r="F104" s="67"/>
      <c r="G104" s="67"/>
      <c r="H104" s="67"/>
      <c r="I104" s="67"/>
      <c r="J104" s="67"/>
      <c r="K104" s="67"/>
      <c r="L104" s="67"/>
      <c r="M104" s="67"/>
      <c r="N104" s="67"/>
      <c r="P104" s="29"/>
      <c r="Q104" s="29"/>
      <c r="R104" s="29"/>
      <c r="S104" s="23"/>
      <c r="T104" s="23"/>
      <c r="U104" s="23"/>
      <c r="V104" s="23"/>
      <c r="W104" s="23"/>
    </row>
    <row r="105" spans="1:23" s="24" customFormat="1" ht="15" customHeight="1" x14ac:dyDescent="0.2">
      <c r="A105" s="23"/>
      <c r="D105" s="1040" t="str">
        <f>Translations!$B$490</f>
        <v>Calculation factors:</v>
      </c>
      <c r="E105" s="1040"/>
      <c r="F105" s="1040"/>
      <c r="G105" s="1040"/>
      <c r="H105" s="1040"/>
      <c r="I105" s="1040"/>
      <c r="J105" s="1040"/>
      <c r="K105" s="1040"/>
      <c r="L105" s="1040"/>
      <c r="M105" s="1040"/>
      <c r="N105" s="1040"/>
      <c r="P105" s="29"/>
      <c r="Q105" s="29"/>
      <c r="R105" s="29"/>
      <c r="S105" s="29"/>
      <c r="T105" s="6"/>
      <c r="U105" s="23"/>
      <c r="V105" s="23"/>
      <c r="W105" s="23"/>
    </row>
    <row r="106" spans="1:23" s="24" customFormat="1" ht="5.0999999999999996" customHeight="1" x14ac:dyDescent="0.2">
      <c r="A106" s="23"/>
      <c r="D106" s="13"/>
      <c r="E106" s="14"/>
      <c r="P106" s="29"/>
      <c r="Q106" s="29"/>
      <c r="R106" s="29"/>
      <c r="S106" s="29"/>
      <c r="T106" s="6"/>
      <c r="U106" s="23"/>
      <c r="V106" s="23"/>
      <c r="W106" s="23"/>
    </row>
    <row r="107" spans="1:23" s="24" customFormat="1" ht="25.5" customHeight="1" x14ac:dyDescent="0.2">
      <c r="A107" s="23"/>
      <c r="D107" s="13"/>
      <c r="E107" s="869" t="str">
        <f>Translations!$B$491</f>
        <v xml:space="preserve">According to Article 30(1) calculation factors can be determined either as default values or by laboratory analyses. Which of these options is used is determined by the applicable tier.
</v>
      </c>
      <c r="F107" s="869"/>
      <c r="G107" s="869"/>
      <c r="H107" s="869"/>
      <c r="I107" s="869"/>
      <c r="J107" s="869"/>
      <c r="K107" s="869"/>
      <c r="L107" s="869"/>
      <c r="M107" s="869"/>
      <c r="N107" s="869"/>
      <c r="P107" s="29"/>
      <c r="Q107" s="29"/>
      <c r="R107" s="29"/>
      <c r="S107" s="29"/>
      <c r="T107" s="23"/>
      <c r="U107" s="23"/>
      <c r="V107" s="23"/>
      <c r="W107" s="23"/>
    </row>
    <row r="108" spans="1:23" s="24" customFormat="1" ht="12.75" customHeight="1" x14ac:dyDescent="0.2">
      <c r="A108" s="23"/>
      <c r="D108" s="13"/>
      <c r="E108" s="869" t="str">
        <f>Translations!$B$492</f>
        <v>The following categories of tiers are used for your guidance (in accordance with guidance document 1):</v>
      </c>
      <c r="F108" s="869"/>
      <c r="G108" s="869"/>
      <c r="H108" s="869"/>
      <c r="I108" s="869"/>
      <c r="J108" s="869"/>
      <c r="K108" s="869"/>
      <c r="L108" s="869"/>
      <c r="M108" s="869"/>
      <c r="N108" s="869"/>
      <c r="P108" s="130"/>
      <c r="Q108" s="131"/>
      <c r="R108" s="72"/>
      <c r="S108" s="72"/>
      <c r="T108" s="72"/>
      <c r="U108" s="72"/>
      <c r="V108" s="72"/>
      <c r="W108" s="72"/>
    </row>
    <row r="109" spans="1:23" ht="12.75" customHeight="1" x14ac:dyDescent="0.2">
      <c r="A109" s="72"/>
      <c r="B109" s="8"/>
      <c r="C109" s="8"/>
      <c r="D109" s="8"/>
      <c r="E109" s="1074" t="str">
        <f>Translations!$B$1172</f>
        <v>Type I default values (tier 1):</v>
      </c>
      <c r="F109" s="1079" t="str">
        <f>Translations!$B$1173</f>
        <v>Type I default values include either of the following methods:</v>
      </c>
      <c r="G109" s="1079"/>
      <c r="H109" s="1079"/>
      <c r="I109" s="1079"/>
      <c r="J109" s="1079"/>
      <c r="K109" s="1079"/>
      <c r="L109" s="1079"/>
      <c r="M109" s="1079"/>
      <c r="N109" s="1079"/>
      <c r="O109" s="24"/>
      <c r="P109" s="130"/>
      <c r="Q109" s="131"/>
      <c r="R109" s="72"/>
      <c r="S109" s="72"/>
      <c r="T109" s="72"/>
      <c r="U109" s="72"/>
      <c r="V109" s="72"/>
      <c r="W109" s="72"/>
    </row>
    <row r="110" spans="1:23" ht="12.75" customHeight="1" x14ac:dyDescent="0.2">
      <c r="A110" s="72"/>
      <c r="B110" s="8"/>
      <c r="C110" s="8"/>
      <c r="D110" s="8"/>
      <c r="E110" s="1080"/>
      <c r="F110" s="132" t="s">
        <v>1292</v>
      </c>
      <c r="G110" s="869" t="str">
        <f>Translations!$B$1174</f>
        <v xml:space="preserve">Use standard factors listed in Annex VI (i.e. in principle IPCC values), or </v>
      </c>
      <c r="H110" s="869"/>
      <c r="I110" s="869"/>
      <c r="J110" s="869"/>
      <c r="K110" s="869"/>
      <c r="L110" s="869"/>
      <c r="M110" s="869"/>
      <c r="N110" s="869"/>
      <c r="O110" s="24"/>
      <c r="P110" s="130"/>
      <c r="Q110" s="131"/>
      <c r="R110" s="72"/>
      <c r="S110" s="72"/>
      <c r="T110" s="72"/>
      <c r="U110" s="72"/>
      <c r="V110" s="72"/>
      <c r="W110" s="72"/>
    </row>
    <row r="111" spans="1:23" ht="25.5" customHeight="1" x14ac:dyDescent="0.2">
      <c r="A111" s="72"/>
      <c r="B111" s="8"/>
      <c r="C111" s="8"/>
      <c r="D111" s="8"/>
      <c r="E111" s="1081"/>
      <c r="F111" s="132" t="s">
        <v>1292</v>
      </c>
      <c r="G111" s="1077" t="str">
        <f>Translations!$B$1175</f>
        <v>Use other constant values in accordance with point (e) of Article 31(1) where such standard factors are not available, i.e. analyses carried out in the past but still valid.</v>
      </c>
      <c r="H111" s="1077"/>
      <c r="I111" s="1077"/>
      <c r="J111" s="1077"/>
      <c r="K111" s="1077"/>
      <c r="L111" s="1077"/>
      <c r="M111" s="1077"/>
      <c r="N111" s="1077"/>
      <c r="O111" s="24"/>
      <c r="P111" s="130"/>
      <c r="Q111" s="131"/>
      <c r="R111" s="72"/>
      <c r="S111" s="72"/>
      <c r="T111" s="72"/>
      <c r="U111" s="72"/>
      <c r="V111" s="72"/>
      <c r="W111" s="72"/>
    </row>
    <row r="112" spans="1:23" ht="12.75" customHeight="1" x14ac:dyDescent="0.2">
      <c r="A112" s="72"/>
      <c r="B112" s="8"/>
      <c r="C112" s="8"/>
      <c r="D112" s="8"/>
      <c r="E112" s="1074" t="str">
        <f>Translations!$B$1176</f>
        <v>Type II default values (tier 2):</v>
      </c>
      <c r="F112" s="1079" t="str">
        <f>Translations!$B$1177</f>
        <v>Type II default values include either of the following methods, which are considered equivalent:</v>
      </c>
      <c r="G112" s="1079"/>
      <c r="H112" s="1079"/>
      <c r="I112" s="1079"/>
      <c r="J112" s="1079"/>
      <c r="K112" s="1079"/>
      <c r="L112" s="1079"/>
      <c r="M112" s="1079"/>
      <c r="N112" s="1079"/>
      <c r="O112" s="24"/>
      <c r="P112" s="130"/>
      <c r="Q112" s="131"/>
      <c r="R112" s="72"/>
      <c r="S112" s="72"/>
      <c r="T112" s="72"/>
      <c r="U112" s="72"/>
      <c r="V112" s="72"/>
      <c r="W112" s="72"/>
    </row>
    <row r="113" spans="1:23" ht="12.75" customHeight="1" x14ac:dyDescent="0.2">
      <c r="A113" s="72"/>
      <c r="B113" s="8"/>
      <c r="C113" s="8"/>
      <c r="D113" s="8"/>
      <c r="E113" s="1080"/>
      <c r="F113" s="132" t="s">
        <v>1292</v>
      </c>
      <c r="G113" s="869" t="str">
        <f>Translations!$B$1178</f>
        <v xml:space="preserve">Use country specific emission factors in accordance with point (b) of Article 31(1), i.e. values used for the national GHG inventory, or </v>
      </c>
      <c r="H113" s="869"/>
      <c r="I113" s="869"/>
      <c r="J113" s="869"/>
      <c r="K113" s="869"/>
      <c r="L113" s="869"/>
      <c r="M113" s="869"/>
      <c r="N113" s="869"/>
      <c r="O113" s="24"/>
      <c r="P113" s="130"/>
      <c r="Q113" s="131"/>
      <c r="R113" s="72"/>
      <c r="S113" s="72"/>
      <c r="T113" s="72"/>
      <c r="U113" s="72"/>
      <c r="V113" s="72"/>
      <c r="W113" s="72"/>
    </row>
    <row r="114" spans="1:23" ht="25.5" customHeight="1" x14ac:dyDescent="0.2">
      <c r="A114" s="72"/>
      <c r="B114" s="8"/>
      <c r="C114" s="8"/>
      <c r="D114" s="8"/>
      <c r="E114" s="1080"/>
      <c r="F114" s="132" t="s">
        <v>1292</v>
      </c>
      <c r="G114" s="869" t="str">
        <f>Translations!$B$1179</f>
        <v xml:space="preserve">Use other values published by the CA for more disaggregated fuel types in accordance with point (c) of Article 31(1), or other literature values which are agreed with the CA, or </v>
      </c>
      <c r="H114" s="869"/>
      <c r="I114" s="869"/>
      <c r="J114" s="869"/>
      <c r="K114" s="869"/>
      <c r="L114" s="869"/>
      <c r="M114" s="869"/>
      <c r="N114" s="869"/>
      <c r="O114" s="24"/>
      <c r="P114" s="130"/>
      <c r="Q114" s="131"/>
      <c r="R114" s="72"/>
      <c r="S114" s="72"/>
      <c r="T114" s="72"/>
      <c r="U114" s="72"/>
      <c r="V114" s="72"/>
      <c r="W114" s="72"/>
    </row>
    <row r="115" spans="1:23" ht="12.75" customHeight="1" x14ac:dyDescent="0.2">
      <c r="A115" s="72"/>
      <c r="B115" s="8"/>
      <c r="C115" s="8"/>
      <c r="D115" s="8"/>
      <c r="E115" s="1081"/>
      <c r="F115" s="132" t="s">
        <v>1292</v>
      </c>
      <c r="G115" s="1077" t="str">
        <f>Translations!$B$1180</f>
        <v>Use other constant values in accordance with point (d) of Article 31(1), i.e. values guaranteed by the supplier with a carbon content within 1%.</v>
      </c>
      <c r="H115" s="1077"/>
      <c r="I115" s="1077"/>
      <c r="J115" s="1077"/>
      <c r="K115" s="1077"/>
      <c r="L115" s="1077"/>
      <c r="M115" s="1077"/>
      <c r="N115" s="1077"/>
      <c r="O115" s="24"/>
      <c r="P115" s="130"/>
      <c r="Q115" s="131"/>
      <c r="R115" s="72"/>
      <c r="S115" s="72"/>
      <c r="T115" s="72"/>
      <c r="U115" s="72"/>
      <c r="V115" s="72"/>
      <c r="W115" s="72"/>
    </row>
    <row r="116" spans="1:23" ht="38.85" customHeight="1" x14ac:dyDescent="0.2">
      <c r="A116" s="72"/>
      <c r="B116" s="8"/>
      <c r="C116" s="8"/>
      <c r="D116" s="8"/>
      <c r="E116" s="1074" t="str">
        <f>Translations!$B$1181</f>
        <v xml:space="preserve">Established proxies (tier 2b): </v>
      </c>
      <c r="F116" s="1079" t="str">
        <f>Translations!$B$498</f>
        <v>These are methods based on empirical correlations as determined at least once per year in accordance with the requirements applicable for laboratory analyses. However, these analyses are only carried out once per year, therefore this tier is considered a lower level than full analyses. The proxy correlations may be based on:</v>
      </c>
      <c r="G116" s="1079"/>
      <c r="H116" s="1079"/>
      <c r="I116" s="1079"/>
      <c r="J116" s="1079"/>
      <c r="K116" s="1079"/>
      <c r="L116" s="1079"/>
      <c r="M116" s="1079"/>
      <c r="N116" s="1079"/>
      <c r="O116" s="24"/>
      <c r="P116" s="130"/>
      <c r="Q116" s="131"/>
      <c r="R116" s="72"/>
      <c r="S116" s="72"/>
      <c r="T116" s="72"/>
      <c r="U116" s="72"/>
      <c r="V116" s="72"/>
      <c r="W116" s="72"/>
    </row>
    <row r="117" spans="1:23" ht="12.75" customHeight="1" x14ac:dyDescent="0.2">
      <c r="A117" s="72"/>
      <c r="B117" s="8"/>
      <c r="C117" s="8"/>
      <c r="D117" s="8"/>
      <c r="E117" s="1080"/>
      <c r="F117" s="132" t="s">
        <v>1292</v>
      </c>
      <c r="G117" s="869" t="str">
        <f>Translations!$B$499</f>
        <v>density measurement of specific oils or gases, including those common to the refinery or steel industry, or</v>
      </c>
      <c r="H117" s="869"/>
      <c r="I117" s="869"/>
      <c r="J117" s="869"/>
      <c r="K117" s="869"/>
      <c r="L117" s="869"/>
      <c r="M117" s="869"/>
      <c r="N117" s="869"/>
      <c r="O117" s="24"/>
      <c r="P117" s="130"/>
      <c r="Q117" s="131"/>
      <c r="R117" s="72"/>
      <c r="S117" s="72"/>
      <c r="T117" s="72"/>
      <c r="U117" s="72"/>
      <c r="V117" s="72"/>
      <c r="W117" s="72"/>
    </row>
    <row r="118" spans="1:23" ht="12.75" customHeight="1" x14ac:dyDescent="0.2">
      <c r="A118" s="72"/>
      <c r="B118" s="8"/>
      <c r="C118" s="8"/>
      <c r="D118" s="8"/>
      <c r="E118" s="1081"/>
      <c r="F118" s="396" t="s">
        <v>1292</v>
      </c>
      <c r="G118" s="1077" t="str">
        <f>Translations!$B$500</f>
        <v>net calorific value for specific coal types.</v>
      </c>
      <c r="H118" s="1077"/>
      <c r="I118" s="1077"/>
      <c r="J118" s="1077"/>
      <c r="K118" s="1077"/>
      <c r="L118" s="1077"/>
      <c r="M118" s="1077"/>
      <c r="N118" s="1077"/>
      <c r="O118" s="24"/>
      <c r="P118" s="130"/>
      <c r="Q118" s="131"/>
      <c r="R118" s="72"/>
      <c r="S118" s="72"/>
      <c r="T118" s="72"/>
      <c r="U118" s="72"/>
      <c r="V118" s="72"/>
      <c r="W118" s="72"/>
    </row>
    <row r="119" spans="1:23" ht="38.85" customHeight="1" x14ac:dyDescent="0.2">
      <c r="A119" s="72"/>
      <c r="B119" s="8"/>
      <c r="C119" s="8"/>
      <c r="D119" s="8"/>
      <c r="E119" s="395" t="str">
        <f>Translations!$B$1182</f>
        <v xml:space="preserve">Purchasing records (tier 2b): </v>
      </c>
      <c r="F119" s="1078" t="str">
        <f>Translations!$B$502</f>
        <v>The net calorific value may be derived from the purchasing records provided by the fuel supplier, provided it has been derived based on accepted national or international standards. (Applicable only in case of commercially traded fuels).</v>
      </c>
      <c r="G119" s="1078"/>
      <c r="H119" s="1078"/>
      <c r="I119" s="1078"/>
      <c r="J119" s="1078"/>
      <c r="K119" s="1078"/>
      <c r="L119" s="1078"/>
      <c r="M119" s="1078"/>
      <c r="N119" s="1078"/>
      <c r="O119" s="24"/>
      <c r="P119" s="130"/>
      <c r="Q119" s="131"/>
      <c r="R119" s="72"/>
      <c r="S119" s="72"/>
      <c r="T119" s="72"/>
      <c r="U119" s="72"/>
      <c r="V119" s="72"/>
      <c r="W119" s="72"/>
    </row>
    <row r="120" spans="1:23" ht="25.5" customHeight="1" x14ac:dyDescent="0.2">
      <c r="A120" s="72"/>
      <c r="B120" s="8"/>
      <c r="C120" s="8"/>
      <c r="D120" s="8"/>
      <c r="E120" s="1074" t="str">
        <f>Translations!$B$1183</f>
        <v xml:space="preserve">Laboratory analyses (highest tier): </v>
      </c>
      <c r="F120" s="1079" t="str">
        <f>Translations!$B$1184</f>
        <v xml:space="preserve">In this case the requirements of Article 32 to 35 on analyses are fully applicable, including the use of the 'established proxies', if applicable and where the uncertainty of the empirical correlation does not exceed 1/3 of the uncertainty value associated with the applicable tier for activity data. </v>
      </c>
      <c r="G120" s="1079"/>
      <c r="H120" s="1079"/>
      <c r="I120" s="1079"/>
      <c r="J120" s="1079"/>
      <c r="K120" s="1079"/>
      <c r="L120" s="1079"/>
      <c r="M120" s="1079"/>
      <c r="N120" s="1079"/>
      <c r="O120" s="24"/>
      <c r="P120" s="130"/>
      <c r="Q120" s="131"/>
      <c r="R120" s="72"/>
      <c r="S120" s="72"/>
      <c r="T120" s="72"/>
      <c r="U120" s="72"/>
      <c r="V120" s="72"/>
      <c r="W120" s="72"/>
    </row>
    <row r="121" spans="1:23" ht="38.85" customHeight="1" x14ac:dyDescent="0.2">
      <c r="A121" s="72"/>
      <c r="B121" s="8"/>
      <c r="C121" s="8"/>
      <c r="D121" s="8"/>
      <c r="E121" s="1076"/>
      <c r="F121" s="1077" t="str">
        <f>Translations!$B$1185</f>
        <v>For pure chemical substances, the competent authority can accept the use of the stoichiometric carbon content as meeting the tier that requires laboratory analysis, provided that the operator demonstrates that such analyses would lead to unreasonable costs and the stoichiometric value will not lead to under-estimation of the emissions.</v>
      </c>
      <c r="G121" s="1077"/>
      <c r="H121" s="1077"/>
      <c r="I121" s="1077"/>
      <c r="J121" s="1077"/>
      <c r="K121" s="1077"/>
      <c r="L121" s="1077"/>
      <c r="M121" s="1077"/>
      <c r="N121" s="1077"/>
      <c r="O121" s="24"/>
      <c r="P121" s="130"/>
      <c r="Q121" s="131"/>
      <c r="R121" s="72"/>
      <c r="S121" s="72"/>
      <c r="T121" s="72"/>
      <c r="U121" s="72"/>
      <c r="V121" s="72"/>
      <c r="W121" s="72"/>
    </row>
    <row r="122" spans="1:23" s="24" customFormat="1" ht="12.75" customHeight="1" x14ac:dyDescent="0.2">
      <c r="A122" s="23"/>
      <c r="B122" s="8"/>
      <c r="C122" s="8"/>
      <c r="D122" s="11"/>
      <c r="E122" s="1074" t="str">
        <f>Translations!$B$1186</f>
        <v>Type I biomass fraction (tier 1):</v>
      </c>
      <c r="F122" s="869" t="str">
        <f>Translations!$B$1187</f>
        <v>One of the following methods has to be applied, which are considered equivalent:</v>
      </c>
      <c r="G122" s="869"/>
      <c r="H122" s="869"/>
      <c r="I122" s="869"/>
      <c r="J122" s="869"/>
      <c r="K122" s="869"/>
      <c r="L122" s="869"/>
      <c r="M122" s="869"/>
      <c r="N122" s="869"/>
      <c r="P122" s="130"/>
      <c r="Q122" s="131"/>
      <c r="R122" s="72"/>
      <c r="S122" s="72"/>
      <c r="T122" s="72"/>
      <c r="U122" s="72"/>
      <c r="V122" s="72"/>
      <c r="W122" s="72"/>
    </row>
    <row r="123" spans="1:23" ht="12.75" customHeight="1" x14ac:dyDescent="0.2">
      <c r="A123" s="72"/>
      <c r="B123" s="8"/>
      <c r="C123" s="8"/>
      <c r="D123" s="8"/>
      <c r="E123" s="1075"/>
      <c r="F123" s="132" t="s">
        <v>1292</v>
      </c>
      <c r="G123" s="869" t="str">
        <f>Translations!$B$1188</f>
        <v>Use values from those published by the competent authority or the Commission for this type of fuel or material, or</v>
      </c>
      <c r="H123" s="869"/>
      <c r="I123" s="869"/>
      <c r="J123" s="869"/>
      <c r="K123" s="869"/>
      <c r="L123" s="869"/>
      <c r="M123" s="869"/>
      <c r="N123" s="869"/>
      <c r="O123" s="24"/>
      <c r="P123" s="130"/>
      <c r="Q123" s="131"/>
      <c r="R123" s="72"/>
      <c r="S123" s="72"/>
      <c r="T123" s="72"/>
      <c r="U123" s="72"/>
      <c r="V123" s="72"/>
      <c r="W123" s="72"/>
    </row>
    <row r="124" spans="1:23" ht="12.75" customHeight="1" x14ac:dyDescent="0.2">
      <c r="A124" s="72"/>
      <c r="B124" s="8"/>
      <c r="C124" s="8"/>
      <c r="D124" s="8"/>
      <c r="E124" s="1075"/>
      <c r="F124" s="132" t="s">
        <v>1292</v>
      </c>
      <c r="G124" s="869" t="str">
        <f>Translations!$B$1189</f>
        <v>Use values in accordance with Article 31(1), i.e. a "Type I default value".</v>
      </c>
      <c r="H124" s="869"/>
      <c r="I124" s="869"/>
      <c r="J124" s="869"/>
      <c r="K124" s="869"/>
      <c r="L124" s="869"/>
      <c r="M124" s="869"/>
      <c r="N124" s="869"/>
      <c r="O124" s="417"/>
      <c r="P124" s="130"/>
      <c r="Q124" s="131"/>
      <c r="R124" s="72"/>
      <c r="S124" s="72"/>
      <c r="T124" s="72"/>
      <c r="U124" s="72"/>
      <c r="V124" s="72"/>
      <c r="W124" s="72"/>
    </row>
    <row r="125" spans="1:23" ht="25.5" customHeight="1" x14ac:dyDescent="0.2">
      <c r="A125" s="72"/>
      <c r="B125" s="8"/>
      <c r="C125" s="8"/>
      <c r="D125" s="8"/>
      <c r="E125" s="1075"/>
      <c r="F125" s="132" t="s">
        <v>1292</v>
      </c>
      <c r="G125" s="869" t="str">
        <f>Translations!$B$1190</f>
        <v xml:space="preserve">Alternatively, the operator can always assume a fossil fraction of 100%. This is considered a "No tier" methodology and a default value of 0% biomass fraction is applied. </v>
      </c>
      <c r="H125" s="869"/>
      <c r="I125" s="869"/>
      <c r="J125" s="869"/>
      <c r="K125" s="869"/>
      <c r="L125" s="869"/>
      <c r="M125" s="869"/>
      <c r="N125" s="869"/>
      <c r="O125" s="417"/>
      <c r="P125" s="130"/>
      <c r="Q125" s="131"/>
      <c r="R125" s="72"/>
      <c r="S125" s="72"/>
      <c r="T125" s="72"/>
      <c r="U125" s="72"/>
      <c r="V125" s="72"/>
      <c r="W125" s="72"/>
    </row>
    <row r="126" spans="1:23" ht="25.5" customHeight="1" x14ac:dyDescent="0.2">
      <c r="A126" s="72"/>
      <c r="B126" s="8"/>
      <c r="C126" s="8"/>
      <c r="D126" s="8"/>
      <c r="E126" s="1076"/>
      <c r="F126" s="396" t="s">
        <v>1292</v>
      </c>
      <c r="G126" s="1077" t="str">
        <f>Translations!$B$1350</f>
        <v>Application of Articles 39(3), 39(4) and 39a(5) in case of natural gas grids, into which biogas or RFNBO/RCF is injected, i.e. where the competent authority allows the zero-rated fraction to be determined using purchase records of equivalent energy content.</v>
      </c>
      <c r="H126" s="1077"/>
      <c r="I126" s="1077"/>
      <c r="J126" s="1077"/>
      <c r="K126" s="1077"/>
      <c r="L126" s="1077"/>
      <c r="M126" s="1077"/>
      <c r="N126" s="1077"/>
      <c r="O126" s="417"/>
      <c r="P126" s="130"/>
      <c r="Q126" s="131"/>
      <c r="R126" s="72"/>
      <c r="S126" s="72"/>
      <c r="T126" s="72"/>
      <c r="U126" s="72"/>
      <c r="V126" s="72"/>
      <c r="W126" s="72"/>
    </row>
    <row r="127" spans="1:23" s="24" customFormat="1" ht="31.5" customHeight="1" x14ac:dyDescent="0.2">
      <c r="A127" s="23"/>
      <c r="D127" s="13"/>
      <c r="E127" s="710" t="str">
        <f>Translations!$B$1192</f>
        <v>Type II biomass fraction (tier 2):</v>
      </c>
      <c r="F127" s="869" t="str">
        <f>Translations!$B$1351</f>
        <v>The biomass fraction is determined based on an estimation method in accordance with the second subparagraph of Article 39(2), submitted to the competent authority for approval, taking into account any guidelines on further applicable estimation methods published by the Commission (see Guidance Document 3).</v>
      </c>
      <c r="G127" s="869"/>
      <c r="H127" s="869"/>
      <c r="I127" s="869"/>
      <c r="J127" s="869"/>
      <c r="K127" s="869"/>
      <c r="L127" s="869"/>
      <c r="M127" s="869"/>
      <c r="N127" s="869"/>
      <c r="O127" s="417"/>
      <c r="P127" s="130"/>
      <c r="Q127" s="131"/>
      <c r="R127" s="72"/>
      <c r="S127" s="72"/>
      <c r="T127" s="72"/>
      <c r="U127" s="72"/>
      <c r="V127" s="72"/>
      <c r="W127" s="72"/>
    </row>
    <row r="128" spans="1:23" s="24" customFormat="1" ht="50.1" customHeight="1" x14ac:dyDescent="0.2">
      <c r="A128" s="23"/>
      <c r="D128" s="13"/>
      <c r="E128" s="394" t="str">
        <f>Translations!$B$1352</f>
        <v>Analyse biomass fraction (tier 3a):</v>
      </c>
      <c r="F128" s="1077" t="str">
        <f>Translations!$B$1197</f>
        <v>In this case laboratory analyses are to be carried out, in accordance with the first sub-paragraph of Article 39 (2) and Articles 32 to 35.</v>
      </c>
      <c r="G128" s="1077"/>
      <c r="H128" s="1077"/>
      <c r="I128" s="1077"/>
      <c r="J128" s="1077"/>
      <c r="K128" s="1077"/>
      <c r="L128" s="1077"/>
      <c r="M128" s="1077"/>
      <c r="N128" s="1077"/>
      <c r="O128" s="417"/>
      <c r="P128" s="130"/>
      <c r="Q128" s="131"/>
      <c r="R128" s="72"/>
      <c r="S128" s="72"/>
      <c r="T128" s="72"/>
      <c r="U128" s="72"/>
      <c r="V128" s="72"/>
      <c r="W128" s="72"/>
    </row>
    <row r="129" spans="1:23" s="24" customFormat="1" ht="51" customHeight="1" x14ac:dyDescent="0.2">
      <c r="A129" s="23"/>
      <c r="D129" s="13"/>
      <c r="E129" s="395" t="str">
        <f>Translations!$B$1353</f>
        <v>Mass balance biomass fraction (tier 3b):</v>
      </c>
      <c r="F129" s="1078" t="str">
        <f>Translations!$B$1354</f>
        <v>Biomass: For fuels originating from a production process with defined and traceable input streams, the operator may base the estimation on a material balance of fossil and biomass carbon entering and leaving the process, such as the mass balance system in accordance with Article 30(1) of Directive (EU) 2018/2001.</v>
      </c>
      <c r="G129" s="1078"/>
      <c r="H129" s="1078"/>
      <c r="I129" s="1078"/>
      <c r="J129" s="1078"/>
      <c r="K129" s="1078"/>
      <c r="L129" s="1078"/>
      <c r="M129" s="1078"/>
      <c r="N129" s="1078"/>
      <c r="O129" s="417"/>
      <c r="P129" s="130"/>
      <c r="Q129" s="131"/>
      <c r="R129" s="72"/>
      <c r="S129" s="72"/>
      <c r="T129" s="72"/>
      <c r="U129" s="72"/>
      <c r="V129" s="72"/>
      <c r="W129" s="72"/>
    </row>
    <row r="130" spans="1:23" ht="5.0999999999999996" customHeight="1" x14ac:dyDescent="0.2">
      <c r="A130" s="72"/>
      <c r="B130" s="8"/>
      <c r="C130" s="8"/>
      <c r="D130" s="8"/>
      <c r="E130" s="67"/>
      <c r="F130" s="67"/>
      <c r="G130" s="67"/>
      <c r="H130" s="67"/>
      <c r="I130" s="67"/>
      <c r="J130" s="67"/>
      <c r="K130" s="67"/>
      <c r="L130" s="67"/>
      <c r="M130" s="67"/>
      <c r="N130" s="67"/>
      <c r="O130" s="417"/>
      <c r="P130" s="130"/>
      <c r="Q130" s="131"/>
      <c r="R130" s="72"/>
      <c r="S130" s="72"/>
      <c r="T130" s="72"/>
      <c r="U130" s="72"/>
      <c r="V130" s="72"/>
      <c r="W130" s="72"/>
    </row>
    <row r="131" spans="1:23" ht="12.75" customHeight="1" x14ac:dyDescent="0.2">
      <c r="A131" s="72"/>
      <c r="B131" s="8"/>
      <c r="C131" s="8"/>
      <c r="D131" s="8"/>
      <c r="E131" s="133" t="str">
        <f>Translations!$B$512</f>
        <v>Note:</v>
      </c>
      <c r="F131" s="67"/>
      <c r="G131" s="67"/>
      <c r="H131" s="67"/>
      <c r="I131" s="67"/>
      <c r="J131" s="67"/>
      <c r="K131" s="67"/>
      <c r="L131" s="67"/>
      <c r="M131" s="67"/>
      <c r="N131" s="67"/>
      <c r="O131" s="417"/>
      <c r="P131" s="130"/>
      <c r="Q131" s="131"/>
      <c r="R131" s="72"/>
      <c r="S131" s="72"/>
      <c r="T131" s="72"/>
      <c r="U131" s="72"/>
      <c r="V131" s="72"/>
      <c r="W131" s="72"/>
    </row>
    <row r="132" spans="1:23" ht="25.5" customHeight="1" x14ac:dyDescent="0.2">
      <c r="A132" s="72"/>
      <c r="B132" s="8"/>
      <c r="C132" s="8"/>
      <c r="D132" s="8"/>
      <c r="E132" s="798" t="str">
        <f>Translations!$B$513</f>
        <v>The required tiers in the table below always refer to major source streams. Please refer to the information in the message box in the header area of this source stream whether lower requirements are allowed.</v>
      </c>
      <c r="F132" s="798"/>
      <c r="G132" s="798"/>
      <c r="H132" s="798"/>
      <c r="I132" s="798"/>
      <c r="J132" s="798"/>
      <c r="K132" s="798"/>
      <c r="L132" s="798"/>
      <c r="M132" s="798"/>
      <c r="N132" s="798"/>
      <c r="O132" s="417"/>
      <c r="P132" s="130"/>
      <c r="Q132" s="131"/>
      <c r="R132" s="72"/>
      <c r="S132" s="72"/>
      <c r="T132" s="72"/>
      <c r="U132" s="72"/>
      <c r="V132" s="72"/>
      <c r="W132" s="72"/>
    </row>
    <row r="133" spans="1:23" ht="12.75" customHeight="1" x14ac:dyDescent="0.2">
      <c r="A133" s="72"/>
      <c r="B133" s="8"/>
      <c r="C133" s="8"/>
      <c r="D133" s="8"/>
      <c r="E133" s="798" t="str">
        <f>Translations!$B$514</f>
        <v>In accordance with Article 26(4), for the oxidation factor and conversion factor, the operator shall, as a minimum, apply the lowest tiers listed in Annex II.</v>
      </c>
      <c r="F133" s="798"/>
      <c r="G133" s="798"/>
      <c r="H133" s="798"/>
      <c r="I133" s="798"/>
      <c r="J133" s="798"/>
      <c r="K133" s="798"/>
      <c r="L133" s="798"/>
      <c r="M133" s="798"/>
      <c r="N133" s="798"/>
      <c r="O133" s="417"/>
      <c r="P133" s="130"/>
      <c r="Q133" s="131"/>
      <c r="R133" s="72"/>
      <c r="S133" s="72"/>
      <c r="T133" s="72"/>
      <c r="U133" s="72"/>
      <c r="V133" s="72"/>
      <c r="W133" s="72"/>
    </row>
    <row r="134" spans="1:23" s="24" customFormat="1" ht="5.0999999999999996" customHeight="1" x14ac:dyDescent="0.2">
      <c r="A134" s="23"/>
      <c r="D134" s="13"/>
      <c r="E134" s="14"/>
      <c r="O134" s="417"/>
      <c r="P134" s="29"/>
      <c r="Q134" s="29"/>
      <c r="R134" s="29"/>
      <c r="S134" s="29"/>
      <c r="T134" s="23"/>
      <c r="U134" s="23"/>
      <c r="V134" s="23"/>
      <c r="W134" s="23"/>
    </row>
    <row r="135" spans="1:23" s="24" customFormat="1" ht="12.75" customHeight="1" x14ac:dyDescent="0.2">
      <c r="A135" s="23"/>
      <c r="D135" s="13" t="s">
        <v>1019</v>
      </c>
      <c r="E135" s="14" t="str">
        <f>Translations!$B$515</f>
        <v>Applied tiers for calculation factors:</v>
      </c>
      <c r="O135" s="417"/>
      <c r="P135" s="29"/>
      <c r="Q135" s="29"/>
      <c r="R135" s="29"/>
      <c r="S135" s="29"/>
      <c r="T135" s="23"/>
      <c r="U135" s="23"/>
      <c r="V135" s="23"/>
      <c r="W135" s="23"/>
    </row>
    <row r="136" spans="1:23" s="24" customFormat="1" ht="5.0999999999999996" customHeight="1" x14ac:dyDescent="0.2">
      <c r="A136" s="23"/>
      <c r="D136" s="13"/>
      <c r="E136" s="14"/>
      <c r="O136" s="417"/>
      <c r="P136" s="29"/>
      <c r="Q136" s="29"/>
      <c r="R136" s="29"/>
      <c r="S136" s="29"/>
      <c r="T136" s="23"/>
      <c r="U136" s="23"/>
      <c r="V136" s="23"/>
      <c r="W136" s="23"/>
    </row>
    <row r="137" spans="1:23" s="24" customFormat="1" ht="25.5" customHeight="1" x14ac:dyDescent="0.2">
      <c r="A137" s="23"/>
      <c r="E137" s="1044" t="str">
        <f>Translations!$B$516</f>
        <v>calculation factor</v>
      </c>
      <c r="F137" s="1044"/>
      <c r="G137" s="1044"/>
      <c r="H137" s="50" t="str">
        <f>Translations!$B$517</f>
        <v>required tier</v>
      </c>
      <c r="I137" s="50" t="str">
        <f>Translations!$B$518</f>
        <v>applied tier</v>
      </c>
      <c r="J137" s="1046" t="str">
        <f>Translations!$B$519</f>
        <v>full text for applied tier</v>
      </c>
      <c r="K137" s="1047"/>
      <c r="L137" s="1047"/>
      <c r="M137" s="1047"/>
      <c r="N137" s="1048"/>
      <c r="O137" s="417"/>
      <c r="P137" s="29"/>
      <c r="Q137" s="29"/>
      <c r="R137" s="29"/>
      <c r="S137" s="15" t="s">
        <v>1038</v>
      </c>
      <c r="T137" s="23"/>
      <c r="U137" s="23"/>
      <c r="V137" s="23"/>
      <c r="W137" s="52" t="s">
        <v>1295</v>
      </c>
    </row>
    <row r="138" spans="1:23" s="24" customFormat="1" ht="12.75" customHeight="1" x14ac:dyDescent="0.2">
      <c r="A138" s="23"/>
      <c r="D138" s="25" t="s">
        <v>1030</v>
      </c>
      <c r="E138" s="1039" t="str">
        <f>Translations!$B$520</f>
        <v>Net calorific value (NCV)</v>
      </c>
      <c r="F138" s="1039"/>
      <c r="G138" s="1039"/>
      <c r="H138" s="30" t="str">
        <f>IF(H21="","",IF(CNTR_Category="A",INDEX(EUwideConstants!$G:$G,MATCH(Q138,EUwideConstants!$S:$S,0)),INDEX(EUwideConstants!$P:$P,MATCH(Q138,EUwideConstants!$S:$S,0))))</f>
        <v/>
      </c>
      <c r="I138" s="192"/>
      <c r="J138" s="1041" t="str">
        <f t="shared" ref="J138:J143" si="0">IF(OR(ISBLANK(I138),I138=EUconst_NoTier),"",IF(S138=0,EUconst_NotApplicable,IF(ISERROR(S138),"",S138)))</f>
        <v/>
      </c>
      <c r="K138" s="1042"/>
      <c r="L138" s="1042"/>
      <c r="M138" s="1042"/>
      <c r="N138" s="1043"/>
      <c r="O138" s="417"/>
      <c r="P138" s="29"/>
      <c r="Q138" s="92" t="str">
        <f>EUconst_CNTR_NCV&amp;H21</f>
        <v>NCV_</v>
      </c>
      <c r="R138" s="29"/>
      <c r="S138" s="31" t="str">
        <f>IF(ISBLANK(I138),"",IF(I138=EUconst_NA,"",INDEX(EUwideConstants!$H:$O,MATCH(Q138,EUwideConstants!$S:$S,0),MATCH(I138,CNTR_TierList,0))))</f>
        <v/>
      </c>
      <c r="T138" s="23"/>
      <c r="U138" s="23"/>
      <c r="V138" s="23"/>
      <c r="W138" s="32" t="b">
        <f t="shared" ref="W138:W143" si="1">(H138=EUconst_NA)</f>
        <v>0</v>
      </c>
    </row>
    <row r="139" spans="1:23" s="24" customFormat="1" ht="12.75" customHeight="1" x14ac:dyDescent="0.2">
      <c r="A139" s="23"/>
      <c r="D139" s="25" t="s">
        <v>1031</v>
      </c>
      <c r="E139" s="1039" t="str">
        <f>Translations!$B$521</f>
        <v>Emission factor (preliminary)</v>
      </c>
      <c r="F139" s="1039"/>
      <c r="G139" s="1039"/>
      <c r="H139" s="30" t="str">
        <f>IF(H21="","",IF(CNTR_Category="A",INDEX(EUwideConstants!$G:$G,MATCH(Q139,EUwideConstants!$S:$S,0)),INDEX(EUwideConstants!$P:$P,MATCH(Q139,EUwideConstants!$S:$S,0))))</f>
        <v/>
      </c>
      <c r="I139" s="192"/>
      <c r="J139" s="1041" t="str">
        <f t="shared" si="0"/>
        <v/>
      </c>
      <c r="K139" s="1042"/>
      <c r="L139" s="1042"/>
      <c r="M139" s="1042"/>
      <c r="N139" s="1043"/>
      <c r="O139" s="417"/>
      <c r="P139" s="29"/>
      <c r="Q139" s="92" t="str">
        <f>EUconst_CNTR_EF&amp;H21</f>
        <v>EF_</v>
      </c>
      <c r="R139" s="29"/>
      <c r="S139" s="31" t="str">
        <f>IF(ISBLANK(I139),"",IF(I139=EUconst_NA,"",INDEX(EUwideConstants!$H:$O,MATCH(Q139,EUwideConstants!$S:$S,0),MATCH(I139,CNTR_TierList,0))))</f>
        <v/>
      </c>
      <c r="T139" s="23"/>
      <c r="U139" s="23"/>
      <c r="V139" s="23"/>
      <c r="W139" s="32" t="b">
        <f t="shared" si="1"/>
        <v>0</v>
      </c>
    </row>
    <row r="140" spans="1:23" s="24" customFormat="1" ht="12.75" customHeight="1" x14ac:dyDescent="0.2">
      <c r="A140" s="23"/>
      <c r="D140" s="25" t="s">
        <v>1468</v>
      </c>
      <c r="E140" s="1039" t="str">
        <f>Translations!$B$522</f>
        <v>Oxidation factor</v>
      </c>
      <c r="F140" s="1039"/>
      <c r="G140" s="1039"/>
      <c r="H140" s="30" t="str">
        <f>IF(H21="","",IF(CNTR_Category="A",INDEX(EUwideConstants!$G:$G,MATCH(Q140,EUwideConstants!$S:$S,0)),INDEX(EUwideConstants!$P:$P,MATCH(Q140,EUwideConstants!$S:$S,0))))</f>
        <v/>
      </c>
      <c r="I140" s="192"/>
      <c r="J140" s="1041" t="str">
        <f t="shared" si="0"/>
        <v/>
      </c>
      <c r="K140" s="1042"/>
      <c r="L140" s="1042"/>
      <c r="M140" s="1042"/>
      <c r="N140" s="1043"/>
      <c r="O140" s="417"/>
      <c r="P140" s="29"/>
      <c r="Q140" s="92" t="str">
        <f>EUconst_CNTR_OxidationFactor&amp;H21</f>
        <v>OxF_</v>
      </c>
      <c r="R140" s="29"/>
      <c r="S140" s="31" t="str">
        <f>IF(ISBLANK(I140),"",IF(I140=EUconst_NA,"",INDEX(EUwideConstants!$H:$O,MATCH(Q140,EUwideConstants!$S:$S,0),MATCH(I140,CNTR_TierList,0))))</f>
        <v/>
      </c>
      <c r="T140" s="23"/>
      <c r="U140" s="23"/>
      <c r="V140" s="23"/>
      <c r="W140" s="32" t="b">
        <f t="shared" si="1"/>
        <v>0</v>
      </c>
    </row>
    <row r="141" spans="1:23" s="24" customFormat="1" ht="12.75" customHeight="1" x14ac:dyDescent="0.2">
      <c r="A141" s="23"/>
      <c r="D141" s="25" t="s">
        <v>1469</v>
      </c>
      <c r="E141" s="1039" t="str">
        <f>Translations!$B$523</f>
        <v>Conversion factor</v>
      </c>
      <c r="F141" s="1039"/>
      <c r="G141" s="1039"/>
      <c r="H141" s="30" t="str">
        <f>IF(H21="","",IF(CNTR_Category="A",INDEX(EUwideConstants!$G:$G,MATCH(Q141,EUwideConstants!$S:$S,0)),INDEX(EUwideConstants!$P:$P,MATCH(Q141,EUwideConstants!$S:$S,0))))</f>
        <v/>
      </c>
      <c r="I141" s="192"/>
      <c r="J141" s="1041" t="str">
        <f t="shared" si="0"/>
        <v/>
      </c>
      <c r="K141" s="1042"/>
      <c r="L141" s="1042"/>
      <c r="M141" s="1042"/>
      <c r="N141" s="1043"/>
      <c r="O141" s="417"/>
      <c r="P141" s="29"/>
      <c r="Q141" s="92" t="str">
        <f>EUconst_CNTR_ConversionFactor&amp;H21</f>
        <v>ConvF_</v>
      </c>
      <c r="R141" s="29"/>
      <c r="S141" s="31" t="str">
        <f>IF(ISBLANK(I141),"",IF(I141=EUconst_NA,"",INDEX(EUwideConstants!$H:$O,MATCH(Q141,EUwideConstants!$S:$S,0),MATCH(I141,CNTR_TierList,0))))</f>
        <v/>
      </c>
      <c r="T141" s="23"/>
      <c r="U141" s="23"/>
      <c r="V141" s="23"/>
      <c r="W141" s="32" t="b">
        <f t="shared" si="1"/>
        <v>0</v>
      </c>
    </row>
    <row r="142" spans="1:23" s="24" customFormat="1" ht="12.75" customHeight="1" x14ac:dyDescent="0.2">
      <c r="A142" s="23"/>
      <c r="D142" s="25" t="s">
        <v>1470</v>
      </c>
      <c r="E142" s="1039" t="str">
        <f>Translations!$B$524</f>
        <v>Carbon content</v>
      </c>
      <c r="F142" s="1039"/>
      <c r="G142" s="1039"/>
      <c r="H142" s="30" t="str">
        <f>IF(H21="","",IF(CNTR_Category="A",INDEX(EUwideConstants!$G:$G,MATCH(Q142,EUwideConstants!$S:$S,0)),INDEX(EUwideConstants!$P:$P,MATCH(Q142,EUwideConstants!$S:$S,0))))</f>
        <v/>
      </c>
      <c r="I142" s="192"/>
      <c r="J142" s="1041" t="str">
        <f t="shared" si="0"/>
        <v/>
      </c>
      <c r="K142" s="1042"/>
      <c r="L142" s="1042"/>
      <c r="M142" s="1042"/>
      <c r="N142" s="1043"/>
      <c r="O142" s="417"/>
      <c r="P142" s="209"/>
      <c r="Q142" s="92" t="str">
        <f>EUconst_CNTR_CarbonContent&amp;H21</f>
        <v>CarbC_</v>
      </c>
      <c r="R142" s="29"/>
      <c r="S142" s="31" t="str">
        <f>IF(ISBLANK(I142),"",IF(I142=EUconst_NA,"",INDEX(EUwideConstants!$H:$O,MATCH(Q142,EUwideConstants!$S:$S,0),MATCH(I142,CNTR_TierList,0))))</f>
        <v/>
      </c>
      <c r="T142" s="23"/>
      <c r="U142" s="23"/>
      <c r="V142" s="23"/>
      <c r="W142" s="32" t="b">
        <f t="shared" si="1"/>
        <v>0</v>
      </c>
    </row>
    <row r="143" spans="1:23" s="24" customFormat="1" ht="12.75" customHeight="1" x14ac:dyDescent="0.2">
      <c r="A143" s="23"/>
      <c r="D143" s="25" t="s">
        <v>1471</v>
      </c>
      <c r="E143" s="1039" t="str">
        <f>Translations!$B$525</f>
        <v>Biomass fraction (if applicable)</v>
      </c>
      <c r="F143" s="1039"/>
      <c r="G143" s="1039"/>
      <c r="H143" s="30" t="str">
        <f>IF(H21="","",IF(CNTR_Category="A",INDEX(EUwideConstants!$G:$G,MATCH(Q143,EUwideConstants!$S:$S,0)),INDEX(EUwideConstants!$P:$P,MATCH(Q143,EUwideConstants!$S:$S,0))))</f>
        <v/>
      </c>
      <c r="I143" s="192"/>
      <c r="J143" s="1041" t="str">
        <f t="shared" si="0"/>
        <v/>
      </c>
      <c r="K143" s="1042"/>
      <c r="L143" s="1042"/>
      <c r="M143" s="1042"/>
      <c r="N143" s="1043"/>
      <c r="O143" s="417"/>
      <c r="P143" s="29"/>
      <c r="Q143" s="92" t="str">
        <f>EUconst_CNTR_BiomassContent&amp;H21</f>
        <v>BioC_</v>
      </c>
      <c r="R143" s="29"/>
      <c r="S143" s="31" t="str">
        <f>IF(ISBLANK(I143),"",IF(I143=EUconst_NA,"",INDEX(EUwideConstants!$H:$O,MATCH(Q143,EUwideConstants!$S:$S,0),MATCH(I143,CNTR_TierList,0))))</f>
        <v/>
      </c>
      <c r="T143" s="23"/>
      <c r="U143" s="23"/>
      <c r="V143" s="23"/>
      <c r="W143" s="32" t="b">
        <f t="shared" si="1"/>
        <v>0</v>
      </c>
    </row>
    <row r="144" spans="1:23" s="24" customFormat="1" x14ac:dyDescent="0.2">
      <c r="A144" s="17" t="s">
        <v>1373</v>
      </c>
      <c r="D144" s="391" t="str">
        <f>Translations!$B$452</f>
        <v>Example data:</v>
      </c>
      <c r="O144" s="417"/>
      <c r="P144" s="29"/>
      <c r="Q144" s="29"/>
      <c r="R144" s="29"/>
      <c r="S144" s="23"/>
      <c r="T144" s="23"/>
      <c r="U144" s="23"/>
      <c r="V144" s="23"/>
      <c r="W144" s="23"/>
    </row>
    <row r="145" spans="1:23" s="24" customFormat="1" ht="25.5" customHeight="1" x14ac:dyDescent="0.2">
      <c r="A145" s="17" t="s">
        <v>1373</v>
      </c>
      <c r="E145" s="1044" t="str">
        <f>Translations!$B$516</f>
        <v>calculation factor</v>
      </c>
      <c r="F145" s="1044"/>
      <c r="G145" s="1044"/>
      <c r="H145" s="50" t="str">
        <f>Translations!$B$517</f>
        <v>required tier</v>
      </c>
      <c r="I145" s="50" t="str">
        <f>Translations!$B$518</f>
        <v>applied tier</v>
      </c>
      <c r="J145" s="1046" t="str">
        <f>Translations!$B$526</f>
        <v>full text for applied tier</v>
      </c>
      <c r="K145" s="1047"/>
      <c r="L145" s="1047"/>
      <c r="M145" s="1047"/>
      <c r="N145" s="1048"/>
      <c r="O145" s="417"/>
      <c r="P145" s="29"/>
      <c r="Q145" s="29"/>
      <c r="R145" s="29"/>
      <c r="S145" s="15" t="s">
        <v>1038</v>
      </c>
      <c r="T145" s="23"/>
      <c r="U145" s="23"/>
      <c r="V145" s="23"/>
      <c r="W145" s="52" t="s">
        <v>1295</v>
      </c>
    </row>
    <row r="146" spans="1:23" s="24" customFormat="1" ht="12.75" customHeight="1" x14ac:dyDescent="0.2">
      <c r="A146" s="17" t="s">
        <v>1373</v>
      </c>
      <c r="D146" s="25" t="s">
        <v>1030</v>
      </c>
      <c r="E146" s="1039" t="str">
        <f>Translations!$B$520</f>
        <v>Net calorific value (NCV)</v>
      </c>
      <c r="F146" s="1039"/>
      <c r="G146" s="1039"/>
      <c r="H146" s="259" t="s">
        <v>1531</v>
      </c>
      <c r="I146" s="259">
        <v>3</v>
      </c>
      <c r="J146" s="1084" t="str">
        <f>Translations!$B$527</f>
        <v>Laboratory analyses</v>
      </c>
      <c r="K146" s="1096"/>
      <c r="L146" s="1096"/>
      <c r="M146" s="1096"/>
      <c r="N146" s="1085"/>
      <c r="O146" s="417"/>
      <c r="P146" s="29"/>
      <c r="Q146" s="92"/>
      <c r="R146" s="29"/>
      <c r="S146" s="31"/>
      <c r="T146" s="23"/>
      <c r="U146" s="23"/>
      <c r="V146" s="23"/>
      <c r="W146" s="32" t="b">
        <f t="shared" ref="W146:W151" si="2">(H146=EUconst_NA)</f>
        <v>0</v>
      </c>
    </row>
    <row r="147" spans="1:23" s="24" customFormat="1" ht="12.75" customHeight="1" x14ac:dyDescent="0.2">
      <c r="A147" s="17" t="s">
        <v>1373</v>
      </c>
      <c r="D147" s="25" t="s">
        <v>1031</v>
      </c>
      <c r="E147" s="1039" t="str">
        <f>Translations!$B$521</f>
        <v>Emission factor (preliminary)</v>
      </c>
      <c r="F147" s="1039"/>
      <c r="G147" s="1039"/>
      <c r="H147" s="259" t="s">
        <v>1531</v>
      </c>
      <c r="I147" s="259">
        <v>3</v>
      </c>
      <c r="J147" s="1084" t="str">
        <f>Translations!$B$527</f>
        <v>Laboratory analyses</v>
      </c>
      <c r="K147" s="1096"/>
      <c r="L147" s="1096"/>
      <c r="M147" s="1096"/>
      <c r="N147" s="1085"/>
      <c r="O147" s="417"/>
      <c r="P147" s="29"/>
      <c r="Q147" s="92"/>
      <c r="R147" s="29"/>
      <c r="S147" s="31"/>
      <c r="T147" s="23"/>
      <c r="U147" s="23"/>
      <c r="V147" s="23"/>
      <c r="W147" s="32" t="b">
        <f t="shared" si="2"/>
        <v>0</v>
      </c>
    </row>
    <row r="148" spans="1:23" s="24" customFormat="1" ht="12.75" customHeight="1" x14ac:dyDescent="0.2">
      <c r="A148" s="17" t="s">
        <v>1373</v>
      </c>
      <c r="D148" s="25" t="s">
        <v>1468</v>
      </c>
      <c r="E148" s="1039" t="str">
        <f>Translations!$B$522</f>
        <v>Oxidation factor</v>
      </c>
      <c r="F148" s="1039"/>
      <c r="G148" s="1039"/>
      <c r="H148" s="259">
        <v>1</v>
      </c>
      <c r="I148" s="259">
        <v>1</v>
      </c>
      <c r="J148" s="1084" t="str">
        <f>Translations!$B$529</f>
        <v xml:space="preserve">Default value OF=1 </v>
      </c>
      <c r="K148" s="1096"/>
      <c r="L148" s="1096"/>
      <c r="M148" s="1096"/>
      <c r="N148" s="1085"/>
      <c r="O148" s="417"/>
      <c r="P148" s="29"/>
      <c r="Q148" s="92"/>
      <c r="R148" s="29"/>
      <c r="S148" s="31"/>
      <c r="T148" s="23"/>
      <c r="U148" s="23"/>
      <c r="V148" s="23"/>
      <c r="W148" s="32" t="b">
        <f t="shared" si="2"/>
        <v>0</v>
      </c>
    </row>
    <row r="149" spans="1:23" s="24" customFormat="1" ht="12.75" customHeight="1" x14ac:dyDescent="0.2">
      <c r="A149" s="17" t="s">
        <v>1373</v>
      </c>
      <c r="D149" s="25" t="s">
        <v>1469</v>
      </c>
      <c r="E149" s="1039" t="str">
        <f>Translations!$B$523</f>
        <v>Conversion factor</v>
      </c>
      <c r="F149" s="1039"/>
      <c r="G149" s="1039"/>
      <c r="H149" s="259" t="str">
        <f>Translations!$B$530</f>
        <v>n.a.</v>
      </c>
      <c r="I149" s="390"/>
      <c r="J149" s="1082" t="s">
        <v>992</v>
      </c>
      <c r="K149" s="1095"/>
      <c r="L149" s="1095"/>
      <c r="M149" s="1095"/>
      <c r="N149" s="1083"/>
      <c r="O149" s="417"/>
      <c r="P149" s="29"/>
      <c r="Q149" s="92"/>
      <c r="R149" s="29"/>
      <c r="S149" s="31"/>
      <c r="T149" s="23"/>
      <c r="U149" s="23"/>
      <c r="V149" s="23"/>
      <c r="W149" s="32" t="b">
        <f t="shared" si="2"/>
        <v>1</v>
      </c>
    </row>
    <row r="150" spans="1:23" s="24" customFormat="1" ht="12.75" customHeight="1" x14ac:dyDescent="0.2">
      <c r="A150" s="17" t="s">
        <v>1373</v>
      </c>
      <c r="D150" s="25" t="s">
        <v>1470</v>
      </c>
      <c r="E150" s="1039" t="str">
        <f>Translations!$B$524</f>
        <v>Carbon content</v>
      </c>
      <c r="F150" s="1039"/>
      <c r="G150" s="1039"/>
      <c r="H150" s="259" t="str">
        <f>Translations!$B$530</f>
        <v>n.a.</v>
      </c>
      <c r="I150" s="390"/>
      <c r="J150" s="1082" t="s">
        <v>992</v>
      </c>
      <c r="K150" s="1095"/>
      <c r="L150" s="1095"/>
      <c r="M150" s="1095"/>
      <c r="N150" s="1083"/>
      <c r="O150" s="417"/>
      <c r="P150" s="209"/>
      <c r="Q150" s="92"/>
      <c r="R150" s="29"/>
      <c r="S150" s="31"/>
      <c r="T150" s="23"/>
      <c r="U150" s="23"/>
      <c r="V150" s="23"/>
      <c r="W150" s="32" t="b">
        <f t="shared" si="2"/>
        <v>1</v>
      </c>
    </row>
    <row r="151" spans="1:23" s="24" customFormat="1" ht="12.75" customHeight="1" x14ac:dyDescent="0.2">
      <c r="A151" s="17" t="s">
        <v>1373</v>
      </c>
      <c r="D151" s="25" t="s">
        <v>1471</v>
      </c>
      <c r="E151" s="1039" t="str">
        <f>Translations!$B$525</f>
        <v>Biomass fraction (if applicable)</v>
      </c>
      <c r="F151" s="1039"/>
      <c r="G151" s="1039"/>
      <c r="H151" s="259" t="s">
        <v>992</v>
      </c>
      <c r="I151" s="259" t="str">
        <f>Translations!$B$530</f>
        <v>n.a.</v>
      </c>
      <c r="J151" s="1084" t="s">
        <v>992</v>
      </c>
      <c r="K151" s="1096"/>
      <c r="L151" s="1096"/>
      <c r="M151" s="1096"/>
      <c r="N151" s="1085"/>
      <c r="O151" s="417"/>
      <c r="P151" s="29"/>
      <c r="Q151" s="92"/>
      <c r="R151" s="29"/>
      <c r="S151" s="31"/>
      <c r="T151" s="23"/>
      <c r="U151" s="23"/>
      <c r="V151" s="23"/>
      <c r="W151" s="32" t="b">
        <f t="shared" si="2"/>
        <v>0</v>
      </c>
    </row>
    <row r="152" spans="1:23" s="24" customFormat="1" ht="5.0999999999999996" customHeight="1" x14ac:dyDescent="0.2">
      <c r="A152" s="23"/>
      <c r="D152" s="13"/>
      <c r="O152" s="417"/>
      <c r="P152" s="29"/>
      <c r="Q152" s="23"/>
      <c r="R152" s="23"/>
      <c r="S152" s="23"/>
      <c r="T152" s="23"/>
      <c r="U152" s="23"/>
      <c r="V152" s="23"/>
      <c r="W152" s="23"/>
    </row>
    <row r="153" spans="1:23" s="24" customFormat="1" ht="12.75" customHeight="1" x14ac:dyDescent="0.2">
      <c r="A153" s="23"/>
      <c r="D153" s="13"/>
      <c r="E153" s="869" t="str">
        <f>Translations!$B$531</f>
        <v>Depending on the tier selected (default values or laboratory analysis), you are required to enter the following information for each calculation factor as applicable:</v>
      </c>
      <c r="F153" s="869"/>
      <c r="G153" s="869"/>
      <c r="H153" s="869"/>
      <c r="I153" s="869"/>
      <c r="J153" s="869"/>
      <c r="K153" s="869"/>
      <c r="L153" s="869"/>
      <c r="M153" s="869"/>
      <c r="N153" s="869"/>
      <c r="O153" s="417"/>
      <c r="P153" s="29"/>
      <c r="Q153" s="23"/>
      <c r="R153" s="23"/>
      <c r="S153" s="23"/>
      <c r="T153" s="23"/>
      <c r="U153" s="23"/>
      <c r="V153" s="23"/>
      <c r="W153" s="23"/>
    </row>
    <row r="154" spans="1:23" s="24" customFormat="1" ht="25.5" customHeight="1" x14ac:dyDescent="0.2">
      <c r="A154" s="23"/>
      <c r="D154" s="13"/>
      <c r="E154" s="869" t="str">
        <f>Translations!$B$532</f>
        <v>Where a default value is used, please enter the value, the unit and the literature source by reference to table 7(d) on the previous sheet. The value should reflect the constant value at the time of notification of the monitoring plan.</v>
      </c>
      <c r="F154" s="869"/>
      <c r="G154" s="869"/>
      <c r="H154" s="869"/>
      <c r="I154" s="869"/>
      <c r="J154" s="869"/>
      <c r="K154" s="869"/>
      <c r="L154" s="869"/>
      <c r="M154" s="869"/>
      <c r="N154" s="869"/>
      <c r="O154" s="417"/>
      <c r="P154" s="29"/>
      <c r="Q154" s="23"/>
      <c r="R154" s="23"/>
      <c r="S154" s="23"/>
      <c r="T154" s="23"/>
      <c r="U154" s="23"/>
      <c r="V154" s="23"/>
      <c r="W154" s="23"/>
    </row>
    <row r="155" spans="1:23" s="24" customFormat="1" ht="25.5" customHeight="1" x14ac:dyDescent="0.2">
      <c r="A155" s="23"/>
      <c r="D155" s="13"/>
      <c r="E155" s="869" t="str">
        <f>Translations!$B$533</f>
        <v>Where a laboratory analysis is required, please enter analytical method/laboratory by reference to table 7(e) on the previous sheet, a reference to your sampling plan, and the analysis frequency to be applied.</v>
      </c>
      <c r="F155" s="869"/>
      <c r="G155" s="869"/>
      <c r="H155" s="869"/>
      <c r="I155" s="869"/>
      <c r="J155" s="869"/>
      <c r="K155" s="869"/>
      <c r="L155" s="869"/>
      <c r="M155" s="869"/>
      <c r="N155" s="869"/>
      <c r="O155" s="417"/>
      <c r="P155" s="29"/>
      <c r="Q155" s="23"/>
      <c r="R155" s="23"/>
      <c r="S155" s="23"/>
      <c r="T155" s="23"/>
      <c r="U155" s="23"/>
      <c r="V155" s="23"/>
      <c r="W155" s="23"/>
    </row>
    <row r="156" spans="1:23" s="24" customFormat="1" x14ac:dyDescent="0.2">
      <c r="A156" s="23"/>
      <c r="D156" s="13"/>
      <c r="E156" s="67"/>
      <c r="F156" s="67"/>
      <c r="G156" s="67"/>
      <c r="H156" s="67"/>
      <c r="I156" s="67"/>
      <c r="J156" s="67"/>
      <c r="K156" s="67"/>
      <c r="L156" s="67"/>
      <c r="M156" s="67"/>
      <c r="N156" s="67"/>
      <c r="O156" s="417"/>
      <c r="P156" s="29"/>
      <c r="Q156" s="23"/>
      <c r="R156" s="23"/>
      <c r="S156" s="23"/>
      <c r="T156" s="23"/>
      <c r="U156" s="23"/>
      <c r="V156" s="23"/>
      <c r="W156" s="23"/>
    </row>
    <row r="157" spans="1:23" s="24" customFormat="1" x14ac:dyDescent="0.2">
      <c r="A157" s="23"/>
      <c r="D157" s="13" t="s">
        <v>1349</v>
      </c>
      <c r="E157" s="14" t="str">
        <f>Translations!$B$534</f>
        <v>Details for calculation factors:</v>
      </c>
      <c r="F157" s="67"/>
      <c r="G157" s="67"/>
      <c r="H157" s="67"/>
      <c r="I157" s="67"/>
      <c r="J157" s="67"/>
      <c r="K157" s="67"/>
      <c r="L157" s="67"/>
      <c r="M157" s="67"/>
      <c r="N157" s="67"/>
      <c r="O157" s="417"/>
      <c r="P157" s="29"/>
      <c r="Q157" s="23"/>
      <c r="R157" s="23"/>
      <c r="S157" s="23"/>
      <c r="T157" s="23"/>
      <c r="U157" s="23"/>
      <c r="V157" s="23"/>
      <c r="W157" s="23"/>
    </row>
    <row r="158" spans="1:23" s="24" customFormat="1" ht="5.0999999999999996" customHeight="1" x14ac:dyDescent="0.2">
      <c r="A158" s="23"/>
      <c r="D158" s="13"/>
      <c r="E158" s="67"/>
      <c r="F158" s="67"/>
      <c r="G158" s="67"/>
      <c r="H158" s="67"/>
      <c r="I158" s="67"/>
      <c r="J158" s="67"/>
      <c r="K158" s="67"/>
      <c r="L158" s="67"/>
      <c r="M158" s="67"/>
      <c r="N158" s="67"/>
      <c r="O158" s="417"/>
      <c r="P158" s="29"/>
      <c r="Q158" s="23"/>
      <c r="R158" s="23"/>
      <c r="S158" s="23"/>
      <c r="T158" s="23"/>
      <c r="U158" s="23"/>
      <c r="V158" s="23"/>
      <c r="W158" s="23"/>
    </row>
    <row r="159" spans="1:23" s="24" customFormat="1" ht="25.5" customHeight="1" x14ac:dyDescent="0.2">
      <c r="A159" s="23"/>
      <c r="E159" s="1044" t="str">
        <f t="shared" ref="E159:E165" si="3">E137</f>
        <v>calculation factor</v>
      </c>
      <c r="F159" s="1044"/>
      <c r="G159" s="1044"/>
      <c r="H159" s="50" t="str">
        <f>I137</f>
        <v>applied tier</v>
      </c>
      <c r="I159" s="51" t="str">
        <f>Translations!$B$535</f>
        <v>default value</v>
      </c>
      <c r="J159" s="51" t="str">
        <f>Translations!$B$536</f>
        <v>Unit</v>
      </c>
      <c r="K159" s="51" t="str">
        <f>Translations!$B$537</f>
        <v>source ref</v>
      </c>
      <c r="L159" s="51" t="str">
        <f>Translations!$B$538</f>
        <v>analysis ref</v>
      </c>
      <c r="M159" s="51" t="str">
        <f>Translations!$B$539</f>
        <v>sampling ref</v>
      </c>
      <c r="N159" s="51" t="str">
        <f>Translations!$B$540</f>
        <v>Analysis frequency</v>
      </c>
      <c r="O159" s="417"/>
      <c r="P159" s="29"/>
      <c r="Q159" s="23"/>
      <c r="R159" s="23"/>
      <c r="S159" s="52" t="s">
        <v>384</v>
      </c>
      <c r="T159" s="23"/>
      <c r="U159" s="23"/>
      <c r="V159" s="23"/>
      <c r="W159" s="52" t="s">
        <v>1295</v>
      </c>
    </row>
    <row r="160" spans="1:23" s="24" customFormat="1" ht="12.75" customHeight="1" x14ac:dyDescent="0.2">
      <c r="A160" s="23"/>
      <c r="D160" s="25" t="s">
        <v>1030</v>
      </c>
      <c r="E160" s="1039" t="str">
        <f t="shared" si="3"/>
        <v>Net calorific value (NCV)</v>
      </c>
      <c r="F160" s="1039"/>
      <c r="G160" s="1039"/>
      <c r="H160" s="30" t="str">
        <f t="shared" ref="H160:H165" si="4">IF(OR(ISBLANK(I138),I138=EUconst_NA),"",I138)</f>
        <v/>
      </c>
      <c r="I160" s="192"/>
      <c r="J160" s="192"/>
      <c r="K160" s="214"/>
      <c r="L160" s="213"/>
      <c r="M160" s="213"/>
      <c r="N160" s="196"/>
      <c r="O160" s="417"/>
      <c r="P160" s="209"/>
      <c r="Q160" s="23"/>
      <c r="R160" s="23"/>
      <c r="S160" s="63" t="str">
        <f>IF(H160="","",IF(I138=EUconst_NA,"",INDEX(EUwideConstants!$AL:$AR,MATCH(Q138,EUwideConstants!$S:$S,0),MATCH(I138,CNTR_TierList,0))))</f>
        <v/>
      </c>
      <c r="T160" s="23"/>
      <c r="U160" s="23"/>
      <c r="V160" s="23"/>
      <c r="W160" s="32" t="b">
        <f t="shared" ref="W160:W165" si="5">OR(H160="",H160=EUconst_NA,J138=EUconst_NotApplicable)</f>
        <v>1</v>
      </c>
    </row>
    <row r="161" spans="1:23" s="24" customFormat="1" ht="12.75" customHeight="1" x14ac:dyDescent="0.2">
      <c r="A161" s="23"/>
      <c r="D161" s="25" t="s">
        <v>1031</v>
      </c>
      <c r="E161" s="1039" t="str">
        <f t="shared" si="3"/>
        <v>Emission factor (preliminary)</v>
      </c>
      <c r="F161" s="1039"/>
      <c r="G161" s="1039"/>
      <c r="H161" s="30" t="str">
        <f t="shared" si="4"/>
        <v/>
      </c>
      <c r="I161" s="197"/>
      <c r="J161" s="192"/>
      <c r="K161" s="213"/>
      <c r="L161" s="271"/>
      <c r="M161" s="271"/>
      <c r="N161" s="196"/>
      <c r="O161" s="417"/>
      <c r="P161" s="29"/>
      <c r="Q161" s="23"/>
      <c r="R161" s="23"/>
      <c r="S161" s="63" t="str">
        <f>IF(H161="","",IF(I139=EUconst_NA,"",INDEX(EUwideConstants!$AL:$AR,MATCH(Q139,EUwideConstants!$S:$S,0),MATCH(I139,CNTR_TierList,0))))</f>
        <v/>
      </c>
      <c r="T161" s="23"/>
      <c r="U161" s="23"/>
      <c r="V161" s="23"/>
      <c r="W161" s="32" t="b">
        <f t="shared" si="5"/>
        <v>1</v>
      </c>
    </row>
    <row r="162" spans="1:23" s="24" customFormat="1" ht="12.75" customHeight="1" x14ac:dyDescent="0.2">
      <c r="A162" s="23"/>
      <c r="D162" s="25" t="s">
        <v>1468</v>
      </c>
      <c r="E162" s="1039" t="str">
        <f t="shared" si="3"/>
        <v>Oxidation factor</v>
      </c>
      <c r="F162" s="1039"/>
      <c r="G162" s="1039"/>
      <c r="H162" s="30" t="str">
        <f t="shared" si="4"/>
        <v/>
      </c>
      <c r="I162" s="192"/>
      <c r="J162" s="192"/>
      <c r="K162" s="213"/>
      <c r="L162" s="213"/>
      <c r="M162" s="213"/>
      <c r="N162" s="196"/>
      <c r="O162" s="417"/>
      <c r="P162" s="29"/>
      <c r="Q162" s="23"/>
      <c r="R162" s="23"/>
      <c r="S162" s="63" t="str">
        <f>IF(H162="","",IF(I140=EUconst_NA,"",INDEX(EUwideConstants!$AL:$AR,MATCH(Q140,EUwideConstants!$S:$S,0),MATCH(I140,CNTR_TierList,0))))</f>
        <v/>
      </c>
      <c r="T162" s="23"/>
      <c r="U162" s="23"/>
      <c r="V162" s="23"/>
      <c r="W162" s="32" t="b">
        <f t="shared" si="5"/>
        <v>1</v>
      </c>
    </row>
    <row r="163" spans="1:23" s="24" customFormat="1" ht="12.75" customHeight="1" x14ac:dyDescent="0.2">
      <c r="A163" s="23"/>
      <c r="D163" s="25" t="s">
        <v>1469</v>
      </c>
      <c r="E163" s="1039" t="str">
        <f t="shared" si="3"/>
        <v>Conversion factor</v>
      </c>
      <c r="F163" s="1039"/>
      <c r="G163" s="1039"/>
      <c r="H163" s="30" t="str">
        <f t="shared" si="4"/>
        <v/>
      </c>
      <c r="I163" s="192"/>
      <c r="J163" s="192"/>
      <c r="K163" s="213"/>
      <c r="L163" s="271"/>
      <c r="M163" s="213"/>
      <c r="N163" s="196"/>
      <c r="O163" s="417"/>
      <c r="P163" s="29"/>
      <c r="Q163" s="23"/>
      <c r="R163" s="23"/>
      <c r="S163" s="63" t="str">
        <f>IF(H163="","",IF(I141=EUconst_NA,"",INDEX(EUwideConstants!$AL:$AR,MATCH(Q141,EUwideConstants!$S:$S,0),MATCH(I141,CNTR_TierList,0))))</f>
        <v/>
      </c>
      <c r="T163" s="23"/>
      <c r="U163" s="23"/>
      <c r="V163" s="23"/>
      <c r="W163" s="32" t="b">
        <f t="shared" si="5"/>
        <v>1</v>
      </c>
    </row>
    <row r="164" spans="1:23" s="24" customFormat="1" ht="12.75" customHeight="1" x14ac:dyDescent="0.2">
      <c r="A164" s="23"/>
      <c r="D164" s="25" t="s">
        <v>1470</v>
      </c>
      <c r="E164" s="1039" t="str">
        <f t="shared" si="3"/>
        <v>Carbon content</v>
      </c>
      <c r="F164" s="1039"/>
      <c r="G164" s="1039"/>
      <c r="H164" s="30" t="str">
        <f t="shared" si="4"/>
        <v/>
      </c>
      <c r="I164" s="192"/>
      <c r="J164" s="192"/>
      <c r="K164" s="213"/>
      <c r="L164" s="213"/>
      <c r="M164" s="213"/>
      <c r="N164" s="196"/>
      <c r="O164" s="417"/>
      <c r="P164" s="29"/>
      <c r="Q164" s="23"/>
      <c r="R164" s="23"/>
      <c r="S164" s="63" t="str">
        <f>IF(H164="","",IF(I142=EUconst_NA,"",INDEX(EUwideConstants!$AL:$AR,MATCH(Q142,EUwideConstants!$S:$S,0),MATCH(I142,CNTR_TierList,0))))</f>
        <v/>
      </c>
      <c r="T164" s="23"/>
      <c r="U164" s="23"/>
      <c r="V164" s="23"/>
      <c r="W164" s="32" t="b">
        <f t="shared" si="5"/>
        <v>1</v>
      </c>
    </row>
    <row r="165" spans="1:23" s="24" customFormat="1" ht="12.75" customHeight="1" x14ac:dyDescent="0.2">
      <c r="A165" s="23"/>
      <c r="D165" s="25" t="s">
        <v>1471</v>
      </c>
      <c r="E165" s="1039" t="str">
        <f t="shared" si="3"/>
        <v>Biomass fraction (if applicable)</v>
      </c>
      <c r="F165" s="1039"/>
      <c r="G165" s="1039"/>
      <c r="H165" s="30" t="str">
        <f t="shared" si="4"/>
        <v/>
      </c>
      <c r="I165" s="192"/>
      <c r="J165" s="197"/>
      <c r="K165" s="213"/>
      <c r="L165" s="213"/>
      <c r="M165" s="213"/>
      <c r="N165" s="196"/>
      <c r="O165" s="417"/>
      <c r="P165" s="47"/>
      <c r="Q165" s="23"/>
      <c r="R165" s="23"/>
      <c r="S165" s="63" t="str">
        <f>IF(H165="","",IF(I143=EUconst_NA,"",INDEX(EUwideConstants!$AL:$AR,MATCH(Q143,EUwideConstants!$S:$S,0),MATCH(I143,CNTR_TierList,0))))</f>
        <v/>
      </c>
      <c r="T165" s="23"/>
      <c r="U165" s="23"/>
      <c r="V165" s="23"/>
      <c r="W165" s="32" t="b">
        <f t="shared" si="5"/>
        <v>1</v>
      </c>
    </row>
    <row r="166" spans="1:23" s="24" customFormat="1" x14ac:dyDescent="0.2">
      <c r="A166" s="17" t="s">
        <v>1373</v>
      </c>
      <c r="D166" s="391" t="str">
        <f>Translations!$B$452</f>
        <v>Example data:</v>
      </c>
      <c r="O166" s="417"/>
      <c r="P166" s="29"/>
      <c r="Q166" s="29"/>
      <c r="R166" s="29"/>
      <c r="S166" s="23"/>
      <c r="T166" s="23"/>
      <c r="U166" s="23"/>
      <c r="V166" s="23"/>
      <c r="W166" s="23"/>
    </row>
    <row r="167" spans="1:23" s="24" customFormat="1" ht="25.5" customHeight="1" x14ac:dyDescent="0.2">
      <c r="A167" s="17" t="s">
        <v>1373</v>
      </c>
      <c r="E167" s="1044" t="str">
        <f>E153</f>
        <v>Depending on the tier selected (default values or laboratory analysis), you are required to enter the following information for each calculation factor as applicable:</v>
      </c>
      <c r="F167" s="1044"/>
      <c r="G167" s="1044"/>
      <c r="H167" s="50" t="str">
        <f>H159</f>
        <v>applied tier</v>
      </c>
      <c r="I167" s="51" t="str">
        <f t="shared" ref="I167:N167" si="6">I159</f>
        <v>default value</v>
      </c>
      <c r="J167" s="51" t="str">
        <f t="shared" si="6"/>
        <v>Unit</v>
      </c>
      <c r="K167" s="51" t="str">
        <f t="shared" si="6"/>
        <v>source ref</v>
      </c>
      <c r="L167" s="51" t="str">
        <f t="shared" si="6"/>
        <v>analysis ref</v>
      </c>
      <c r="M167" s="51" t="str">
        <f t="shared" si="6"/>
        <v>sampling ref</v>
      </c>
      <c r="N167" s="51" t="str">
        <f t="shared" si="6"/>
        <v>Analysis frequency</v>
      </c>
      <c r="O167" s="417"/>
      <c r="P167" s="29"/>
      <c r="Q167" s="23"/>
      <c r="R167" s="23"/>
      <c r="S167" s="52"/>
      <c r="T167" s="23"/>
      <c r="U167" s="23"/>
      <c r="V167" s="23"/>
      <c r="W167" s="52" t="s">
        <v>1295</v>
      </c>
    </row>
    <row r="168" spans="1:23" s="24" customFormat="1" ht="12.75" customHeight="1" x14ac:dyDescent="0.2">
      <c r="A168" s="17" t="s">
        <v>1373</v>
      </c>
      <c r="D168" s="25" t="s">
        <v>1030</v>
      </c>
      <c r="E168" s="1039" t="str">
        <f t="shared" ref="E168:E173" si="7">E160</f>
        <v>Net calorific value (NCV)</v>
      </c>
      <c r="F168" s="1039"/>
      <c r="G168" s="1039"/>
      <c r="H168" s="259">
        <v>3</v>
      </c>
      <c r="I168" s="259"/>
      <c r="J168" s="259"/>
      <c r="K168" s="264"/>
      <c r="L168" s="265" t="s">
        <v>1693</v>
      </c>
      <c r="M168" s="265" t="str">
        <f>Translations!$B$541</f>
        <v>NCV_Sample</v>
      </c>
      <c r="N168" s="266" t="str">
        <f>Translations!$B$542</f>
        <v>Weekly</v>
      </c>
      <c r="O168" s="417"/>
      <c r="P168" s="209"/>
      <c r="Q168" s="23"/>
      <c r="R168" s="23"/>
      <c r="S168" s="63"/>
      <c r="T168" s="23"/>
      <c r="U168" s="23"/>
      <c r="V168" s="23"/>
      <c r="W168" s="32" t="b">
        <f t="shared" ref="W168:W173" si="8">OR(H168="",H168=EUconst_NA,J154=EUconst_NotApplicable)</f>
        <v>0</v>
      </c>
    </row>
    <row r="169" spans="1:23" s="24" customFormat="1" ht="12.75" customHeight="1" x14ac:dyDescent="0.2">
      <c r="A169" s="17" t="s">
        <v>1373</v>
      </c>
      <c r="D169" s="25" t="s">
        <v>1031</v>
      </c>
      <c r="E169" s="1039" t="str">
        <f t="shared" si="7"/>
        <v>Emission factor (preliminary)</v>
      </c>
      <c r="F169" s="1039"/>
      <c r="G169" s="1039"/>
      <c r="H169" s="259" t="s">
        <v>1325</v>
      </c>
      <c r="I169" s="259" t="s">
        <v>994</v>
      </c>
      <c r="J169" s="259" t="s">
        <v>995</v>
      </c>
      <c r="K169" s="265" t="str">
        <f>Translations!$B$543</f>
        <v>IS5: IPCC</v>
      </c>
      <c r="L169" s="265"/>
      <c r="M169" s="265"/>
      <c r="N169" s="266"/>
      <c r="O169" s="417"/>
      <c r="P169" s="29"/>
      <c r="Q169" s="23"/>
      <c r="R169" s="23"/>
      <c r="S169" s="63"/>
      <c r="T169" s="23"/>
      <c r="U169" s="23"/>
      <c r="V169" s="23"/>
      <c r="W169" s="32" t="b">
        <f t="shared" si="8"/>
        <v>0</v>
      </c>
    </row>
    <row r="170" spans="1:23" s="24" customFormat="1" ht="12.75" customHeight="1" x14ac:dyDescent="0.2">
      <c r="A170" s="17" t="s">
        <v>1373</v>
      </c>
      <c r="D170" s="25" t="s">
        <v>1468</v>
      </c>
      <c r="E170" s="1039" t="str">
        <f t="shared" si="7"/>
        <v>Oxidation factor</v>
      </c>
      <c r="F170" s="1039"/>
      <c r="G170" s="1039"/>
      <c r="H170" s="259">
        <v>1</v>
      </c>
      <c r="I170" s="259">
        <v>100</v>
      </c>
      <c r="J170" s="259" t="s">
        <v>997</v>
      </c>
      <c r="K170" s="265" t="str">
        <f>Translations!$B$544</f>
        <v>IS1: MRR</v>
      </c>
      <c r="L170" s="265"/>
      <c r="M170" s="265"/>
      <c r="N170" s="266"/>
      <c r="O170" s="417"/>
      <c r="P170" s="29"/>
      <c r="Q170" s="23"/>
      <c r="R170" s="23"/>
      <c r="S170" s="63"/>
      <c r="T170" s="23"/>
      <c r="U170" s="23"/>
      <c r="V170" s="23"/>
      <c r="W170" s="32" t="b">
        <f t="shared" si="8"/>
        <v>0</v>
      </c>
    </row>
    <row r="171" spans="1:23" s="24" customFormat="1" ht="12.75" customHeight="1" x14ac:dyDescent="0.2">
      <c r="A171" s="17" t="s">
        <v>1373</v>
      </c>
      <c r="D171" s="25" t="s">
        <v>1469</v>
      </c>
      <c r="E171" s="1039" t="str">
        <f t="shared" si="7"/>
        <v>Conversion factor</v>
      </c>
      <c r="F171" s="1039"/>
      <c r="G171" s="1039"/>
      <c r="H171" s="390"/>
      <c r="I171" s="390"/>
      <c r="J171" s="390"/>
      <c r="K171" s="392"/>
      <c r="L171" s="392"/>
      <c r="M171" s="392"/>
      <c r="N171" s="393"/>
      <c r="O171" s="417"/>
      <c r="P171" s="29"/>
      <c r="Q171" s="23"/>
      <c r="R171" s="23"/>
      <c r="S171" s="63"/>
      <c r="T171" s="23"/>
      <c r="U171" s="23"/>
      <c r="V171" s="23"/>
      <c r="W171" s="32" t="b">
        <f t="shared" si="8"/>
        <v>1</v>
      </c>
    </row>
    <row r="172" spans="1:23" s="24" customFormat="1" ht="12.75" customHeight="1" x14ac:dyDescent="0.2">
      <c r="A172" s="17" t="s">
        <v>1373</v>
      </c>
      <c r="D172" s="25" t="s">
        <v>1470</v>
      </c>
      <c r="E172" s="1039" t="str">
        <f t="shared" si="7"/>
        <v>Carbon content</v>
      </c>
      <c r="F172" s="1039"/>
      <c r="G172" s="1039"/>
      <c r="H172" s="390"/>
      <c r="I172" s="390"/>
      <c r="J172" s="390"/>
      <c r="K172" s="392"/>
      <c r="L172" s="392"/>
      <c r="M172" s="392"/>
      <c r="N172" s="393"/>
      <c r="O172" s="417"/>
      <c r="P172" s="29"/>
      <c r="Q172" s="23"/>
      <c r="R172" s="23"/>
      <c r="S172" s="63"/>
      <c r="T172" s="23"/>
      <c r="U172" s="23"/>
      <c r="V172" s="23"/>
      <c r="W172" s="32" t="b">
        <f t="shared" si="8"/>
        <v>1</v>
      </c>
    </row>
    <row r="173" spans="1:23" s="24" customFormat="1" ht="12.75" customHeight="1" x14ac:dyDescent="0.2">
      <c r="A173" s="17" t="s">
        <v>1373</v>
      </c>
      <c r="D173" s="25" t="s">
        <v>1471</v>
      </c>
      <c r="E173" s="1039" t="str">
        <f t="shared" si="7"/>
        <v>Biomass fraction (if applicable)</v>
      </c>
      <c r="F173" s="1039"/>
      <c r="G173" s="1039"/>
      <c r="H173" s="390"/>
      <c r="I173" s="390"/>
      <c r="J173" s="390"/>
      <c r="K173" s="392"/>
      <c r="L173" s="392"/>
      <c r="M173" s="392"/>
      <c r="N173" s="393"/>
      <c r="O173" s="417"/>
      <c r="P173" s="47"/>
      <c r="Q173" s="23"/>
      <c r="R173" s="23"/>
      <c r="S173" s="63"/>
      <c r="T173" s="23"/>
      <c r="U173" s="23"/>
      <c r="V173" s="23"/>
      <c r="W173" s="32" t="b">
        <f t="shared" si="8"/>
        <v>1</v>
      </c>
    </row>
    <row r="174" spans="1:23" s="24" customFormat="1" ht="12.75" customHeight="1" x14ac:dyDescent="0.2">
      <c r="A174" s="23"/>
      <c r="D174" s="13"/>
      <c r="O174" s="417"/>
      <c r="P174" s="29"/>
      <c r="Q174" s="23"/>
      <c r="R174" s="23"/>
      <c r="S174" s="23"/>
      <c r="T174" s="23"/>
      <c r="U174" s="23"/>
      <c r="V174" s="23"/>
      <c r="W174" s="23"/>
    </row>
    <row r="175" spans="1:23" s="24" customFormat="1" ht="15" customHeight="1" x14ac:dyDescent="0.2">
      <c r="A175" s="23"/>
      <c r="D175" s="1040" t="str">
        <f>Translations!$B$545</f>
        <v>Comments and explanations:</v>
      </c>
      <c r="E175" s="1040"/>
      <c r="F175" s="1040"/>
      <c r="G175" s="1040"/>
      <c r="H175" s="1040"/>
      <c r="I175" s="1040"/>
      <c r="J175" s="1040"/>
      <c r="K175" s="1040"/>
      <c r="L175" s="1040"/>
      <c r="M175" s="1040"/>
      <c r="N175" s="1040"/>
      <c r="O175" s="417"/>
      <c r="P175" s="29"/>
      <c r="Q175" s="29"/>
      <c r="R175" s="29"/>
      <c r="S175" s="29"/>
      <c r="T175" s="6"/>
      <c r="U175" s="23"/>
      <c r="V175" s="23"/>
      <c r="W175" s="23"/>
    </row>
    <row r="176" spans="1:23" s="24" customFormat="1" ht="5.0999999999999996" customHeight="1" x14ac:dyDescent="0.2">
      <c r="A176" s="23"/>
      <c r="D176" s="13"/>
      <c r="O176" s="417"/>
      <c r="P176" s="29"/>
      <c r="Q176" s="23"/>
      <c r="R176" s="23"/>
      <c r="S176" s="23"/>
      <c r="T176" s="23"/>
      <c r="U176" s="23"/>
      <c r="V176" s="23"/>
      <c r="W176" s="23"/>
    </row>
    <row r="177" spans="1:23" s="24" customFormat="1" x14ac:dyDescent="0.2">
      <c r="A177" s="23"/>
      <c r="D177" s="13" t="s">
        <v>1351</v>
      </c>
      <c r="E177" s="946" t="str">
        <f>Translations!$B$1198</f>
        <v>Comments and justification if required tiers are not applied:</v>
      </c>
      <c r="F177" s="946"/>
      <c r="G177" s="946"/>
      <c r="H177" s="946"/>
      <c r="I177" s="946"/>
      <c r="J177" s="946"/>
      <c r="K177" s="946"/>
      <c r="L177" s="946"/>
      <c r="M177" s="946"/>
      <c r="N177" s="946"/>
      <c r="O177" s="417"/>
      <c r="P177" s="29"/>
      <c r="Q177" s="23"/>
      <c r="R177" s="23"/>
      <c r="S177" s="23"/>
      <c r="T177" s="23"/>
      <c r="U177" s="23"/>
      <c r="V177" s="23"/>
      <c r="W177" s="23"/>
    </row>
    <row r="178" spans="1:23" s="24" customFormat="1" ht="25.5" customHeight="1" x14ac:dyDescent="0.2">
      <c r="A178" s="23"/>
      <c r="D178" s="13"/>
      <c r="E178" s="869" t="str">
        <f>Translations!$B$1199</f>
        <v>Please provide any relevant comments below. Explanations may in particular be required for e.g. the biomass estimation method, the proxy method (correlation), application of Article 31(4), Article 37(2), etc.</v>
      </c>
      <c r="F178" s="869"/>
      <c r="G178" s="869"/>
      <c r="H178" s="869"/>
      <c r="I178" s="869"/>
      <c r="J178" s="869"/>
      <c r="K178" s="869"/>
      <c r="L178" s="869"/>
      <c r="M178" s="869"/>
      <c r="N178" s="869"/>
      <c r="O178" s="417"/>
      <c r="P178" s="29"/>
      <c r="Q178" s="23"/>
      <c r="R178" s="23"/>
      <c r="S178" s="23"/>
      <c r="T178" s="23"/>
      <c r="U178" s="23"/>
      <c r="V178" s="23"/>
      <c r="W178" s="23"/>
    </row>
    <row r="179" spans="1:23" s="24" customFormat="1" x14ac:dyDescent="0.2">
      <c r="A179" s="23"/>
      <c r="D179" s="13"/>
      <c r="E179" s="869" t="str">
        <f>Translations!$B$549</f>
        <v>If any of the tiers required pursuant to Article 26 is not applied for activity data or any of the applicable calculation factors, please give a justification here.</v>
      </c>
      <c r="F179" s="869"/>
      <c r="G179" s="869"/>
      <c r="H179" s="869"/>
      <c r="I179" s="869"/>
      <c r="J179" s="869"/>
      <c r="K179" s="869"/>
      <c r="L179" s="869"/>
      <c r="M179" s="869"/>
      <c r="N179" s="869"/>
      <c r="O179" s="417"/>
      <c r="P179" s="29"/>
      <c r="Q179" s="23"/>
      <c r="R179" s="23"/>
      <c r="S179" s="23"/>
      <c r="T179" s="23"/>
      <c r="U179" s="23"/>
      <c r="V179" s="23"/>
      <c r="W179" s="23"/>
    </row>
    <row r="180" spans="1:23" ht="25.5" customHeight="1" x14ac:dyDescent="0.2">
      <c r="A180" s="72"/>
      <c r="B180" s="8"/>
      <c r="C180" s="8"/>
      <c r="D180" s="8"/>
      <c r="E180" s="869" t="str">
        <f>Translations!$B$550</f>
        <v>Where an improvement plan is required in accordance with Article 26, this should be submitted with this monitoring plan and referenced below. Where justification is based upon unreasonable costs, in accordance with Article 18, this calculation should be submitted with this monitoring plan and referenced within the justification below.</v>
      </c>
      <c r="F180" s="869"/>
      <c r="G180" s="869"/>
      <c r="H180" s="869"/>
      <c r="I180" s="869"/>
      <c r="J180" s="869"/>
      <c r="K180" s="869"/>
      <c r="L180" s="869"/>
      <c r="M180" s="869"/>
      <c r="N180" s="869"/>
      <c r="O180" s="417"/>
      <c r="P180" s="114"/>
      <c r="Q180" s="114"/>
      <c r="R180" s="72"/>
      <c r="S180" s="72"/>
      <c r="T180" s="72"/>
      <c r="U180" s="72"/>
      <c r="V180" s="72"/>
      <c r="W180" s="72"/>
    </row>
    <row r="181" spans="1:23" s="24" customFormat="1" ht="5.0999999999999996" customHeight="1" x14ac:dyDescent="0.2">
      <c r="A181" s="23"/>
      <c r="D181" s="13"/>
      <c r="E181" s="48"/>
      <c r="O181" s="417"/>
      <c r="P181" s="29"/>
      <c r="Q181" s="23"/>
      <c r="R181" s="23"/>
      <c r="S181" s="23"/>
      <c r="T181" s="23"/>
      <c r="U181" s="23"/>
      <c r="V181" s="23"/>
      <c r="W181" s="23"/>
    </row>
    <row r="182" spans="1:23" s="24" customFormat="1" ht="12.75" customHeight="1" x14ac:dyDescent="0.2">
      <c r="A182" s="23"/>
      <c r="D182" s="13"/>
      <c r="E182" s="1045"/>
      <c r="F182" s="955"/>
      <c r="G182" s="955"/>
      <c r="H182" s="955"/>
      <c r="I182" s="955"/>
      <c r="J182" s="955"/>
      <c r="K182" s="955"/>
      <c r="L182" s="955"/>
      <c r="M182" s="955"/>
      <c r="N182" s="956"/>
      <c r="O182" s="417"/>
      <c r="P182" s="29"/>
      <c r="Q182" s="23"/>
      <c r="R182" s="23"/>
      <c r="S182" s="23"/>
      <c r="T182" s="23"/>
      <c r="U182" s="23"/>
      <c r="V182" s="23"/>
      <c r="W182" s="23"/>
    </row>
    <row r="183" spans="1:23" s="24" customFormat="1" ht="12.75" customHeight="1" x14ac:dyDescent="0.2">
      <c r="A183" s="23"/>
      <c r="D183" s="13"/>
      <c r="E183" s="1037"/>
      <c r="F183" s="958"/>
      <c r="G183" s="958"/>
      <c r="H183" s="958"/>
      <c r="I183" s="958"/>
      <c r="J183" s="958"/>
      <c r="K183" s="958"/>
      <c r="L183" s="958"/>
      <c r="M183" s="958"/>
      <c r="N183" s="959"/>
      <c r="O183" s="417"/>
      <c r="P183" s="29"/>
      <c r="Q183" s="23"/>
      <c r="R183" s="23"/>
      <c r="S183" s="23"/>
      <c r="T183" s="23"/>
      <c r="U183" s="23"/>
      <c r="V183" s="23"/>
      <c r="W183" s="23"/>
    </row>
    <row r="184" spans="1:23" s="24" customFormat="1" ht="12.75" customHeight="1" x14ac:dyDescent="0.2">
      <c r="A184" s="23"/>
      <c r="D184" s="13"/>
      <c r="E184" s="1038"/>
      <c r="F184" s="961"/>
      <c r="G184" s="961"/>
      <c r="H184" s="961"/>
      <c r="I184" s="961"/>
      <c r="J184" s="961"/>
      <c r="K184" s="961"/>
      <c r="L184" s="961"/>
      <c r="M184" s="961"/>
      <c r="N184" s="962"/>
      <c r="O184" s="417"/>
      <c r="P184" s="29"/>
      <c r="Q184" s="23"/>
      <c r="R184" s="23"/>
      <c r="S184" s="23"/>
      <c r="T184" s="23"/>
      <c r="U184" s="23"/>
      <c r="V184" s="23"/>
      <c r="W184" s="23"/>
    </row>
    <row r="185" spans="1:23" ht="12.75" customHeight="1" thickBot="1" x14ac:dyDescent="0.25">
      <c r="A185" s="72"/>
      <c r="C185" s="54"/>
      <c r="D185" s="55"/>
      <c r="E185" s="56"/>
      <c r="F185" s="54"/>
      <c r="G185" s="57"/>
      <c r="H185" s="57"/>
      <c r="I185" s="57"/>
      <c r="J185" s="57"/>
      <c r="K185" s="57"/>
      <c r="L185" s="57"/>
      <c r="M185" s="57"/>
      <c r="N185" s="57"/>
      <c r="O185" s="417"/>
      <c r="P185" s="15"/>
      <c r="Q185" s="72"/>
      <c r="R185" s="72"/>
      <c r="S185" s="75"/>
      <c r="T185" s="72"/>
      <c r="U185" s="72"/>
      <c r="V185" s="72"/>
      <c r="W185" s="72"/>
    </row>
    <row r="186" spans="1:23" ht="12.75" customHeight="1" thickBot="1" x14ac:dyDescent="0.25">
      <c r="A186" s="72"/>
      <c r="D186" s="13"/>
      <c r="E186" s="22"/>
      <c r="G186" s="2"/>
      <c r="H186" s="2"/>
      <c r="I186" s="2"/>
      <c r="J186" s="2"/>
      <c r="L186" s="2"/>
      <c r="M186" s="2"/>
      <c r="N186" s="2"/>
      <c r="O186" s="24"/>
      <c r="P186" s="15"/>
      <c r="Q186" s="72"/>
      <c r="R186" s="72"/>
      <c r="S186" s="66" t="s">
        <v>470</v>
      </c>
      <c r="T186" s="107" t="s">
        <v>471</v>
      </c>
      <c r="U186" s="107" t="s">
        <v>472</v>
      </c>
      <c r="V186" s="72"/>
      <c r="W186" s="72"/>
    </row>
    <row r="187" spans="1:23" s="186" customFormat="1" ht="15" customHeight="1" thickBot="1" x14ac:dyDescent="0.25">
      <c r="A187" s="76"/>
      <c r="B187" s="34"/>
      <c r="C187" s="35" t="str">
        <f>"F"&amp;Q187</f>
        <v>F2</v>
      </c>
      <c r="D187" s="1040" t="str">
        <f>CONCATENATE(Euconst_SourceStream," ", Q187,":")</f>
        <v>Source Stream 2:</v>
      </c>
      <c r="E187" s="1040"/>
      <c r="F187" s="1040"/>
      <c r="G187" s="1066"/>
      <c r="H187" s="1067" t="str">
        <f>IF(INDEX(C_InstallationDescription!$F$194:$F$204,MATCH(C187,C_InstallationDescription!$E$194:$E$204,0))&gt;0,INDEX(C_InstallationDescription!$F$194:$F$204,MATCH(C187,C_InstallationDescription!$E$194:$E$204,0)),"")</f>
        <v/>
      </c>
      <c r="I187" s="1067"/>
      <c r="J187" s="1067"/>
      <c r="K187" s="1067"/>
      <c r="L187" s="1068"/>
      <c r="M187" s="1069" t="str">
        <f>IF(S187=TRUE,IF(U187="",T187,U187),"")</f>
        <v/>
      </c>
      <c r="N187" s="1070"/>
      <c r="O187" s="24"/>
      <c r="P187" s="41"/>
      <c r="Q187" s="33">
        <f>Q19+1</f>
        <v>2</v>
      </c>
      <c r="R187" s="37"/>
      <c r="S187" s="40" t="b">
        <f>IF(INDEX(C_InstallationDescription!$M:$M,MATCH(Q189,C_InstallationDescription!$Q:$Q,0))="",FALSE,TRUE)</f>
        <v>0</v>
      </c>
      <c r="T187" s="92" t="str">
        <f>IF(S187=TRUE,INDEX(C_InstallationDescription!$M:$M,MATCH(Q189,C_InstallationDescription!$Q:$Q,0)),"")</f>
        <v/>
      </c>
      <c r="U187" s="40" t="str">
        <f>IF(S187=TRUE,IF(ISBLANK(INDEX(C_InstallationDescription!$N:$N,MATCH(Q189,C_InstallationDescription!$Q:$Q,0))),"",INDEX(C_InstallationDescription!$N:$N,MATCH(Q189,C_InstallationDescription!$Q:$Q,0))),"")</f>
        <v/>
      </c>
      <c r="V187" s="37"/>
      <c r="W187" s="37"/>
    </row>
    <row r="188" spans="1:23" s="24" customFormat="1" ht="5.0999999999999996" customHeight="1" x14ac:dyDescent="0.2">
      <c r="A188" s="72"/>
      <c r="B188" s="8"/>
      <c r="C188" s="8"/>
      <c r="D188" s="8"/>
      <c r="E188" s="8"/>
      <c r="F188" s="8"/>
      <c r="G188" s="8"/>
      <c r="H188" s="8"/>
      <c r="I188" s="8"/>
      <c r="J188" s="8"/>
      <c r="K188" s="8"/>
      <c r="L188" s="8"/>
      <c r="M188" s="7"/>
      <c r="N188" s="7"/>
      <c r="P188" s="17"/>
      <c r="Q188" s="12"/>
      <c r="R188" s="23"/>
      <c r="S188" s="23"/>
      <c r="T188" s="23"/>
      <c r="U188" s="23"/>
      <c r="V188" s="23"/>
      <c r="W188" s="23"/>
    </row>
    <row r="189" spans="1:23" s="24" customFormat="1" ht="12.75" customHeight="1" x14ac:dyDescent="0.2">
      <c r="A189" s="72"/>
      <c r="B189" s="8"/>
      <c r="C189" s="8"/>
      <c r="D189" s="13"/>
      <c r="E189" s="924" t="str">
        <f>Translations!$B$437</f>
        <v>Source stream type:</v>
      </c>
      <c r="F189" s="924"/>
      <c r="G189" s="925"/>
      <c r="H189" s="1071" t="str">
        <f>IF(INDEX(C_InstallationDescription!$I$194:$I$204,MATCH(C187,C_InstallationDescription!$E$194:$E$204,0))&gt;0,INDEX(C_InstallationDescription!$I$194:$I$204,MATCH(C187,C_InstallationDescription!$E$194:$E$204,0)),"")</f>
        <v/>
      </c>
      <c r="I189" s="1072"/>
      <c r="J189" s="1072"/>
      <c r="K189" s="1072"/>
      <c r="L189" s="1073"/>
      <c r="P189" s="17"/>
      <c r="Q189" s="39" t="str">
        <f>EUconst_CNTR_SourceCategory&amp;C187</f>
        <v>SourceCategory_F2</v>
      </c>
      <c r="R189" s="23"/>
      <c r="S189" s="23"/>
      <c r="T189" s="23"/>
      <c r="U189" s="23"/>
      <c r="V189" s="23"/>
      <c r="W189" s="23"/>
    </row>
    <row r="190" spans="1:23" s="24" customFormat="1" outlineLevel="1" x14ac:dyDescent="0.2">
      <c r="A190" s="23"/>
      <c r="B190" s="8"/>
      <c r="C190" s="8"/>
      <c r="D190" s="11"/>
      <c r="E190" s="924" t="str">
        <f>Translations!$B$438</f>
        <v>Method applicable according to MRR:</v>
      </c>
      <c r="F190" s="924"/>
      <c r="G190" s="925"/>
      <c r="H190" s="1062" t="str">
        <f>IF(H189="","",INDEX(EUwideConstants!F:F,MATCH(H189,EUwideConstants!Q:Q,0)))</f>
        <v/>
      </c>
      <c r="I190" s="1062"/>
      <c r="J190" s="1062"/>
      <c r="K190" s="1062"/>
      <c r="L190" s="1062"/>
      <c r="M190" s="2"/>
      <c r="N190" s="2"/>
      <c r="P190" s="17"/>
      <c r="Q190" s="12"/>
      <c r="R190" s="23"/>
      <c r="S190" s="23"/>
      <c r="T190" s="23"/>
      <c r="U190" s="23"/>
      <c r="V190" s="23"/>
      <c r="W190" s="23"/>
    </row>
    <row r="191" spans="1:23" s="24" customFormat="1" outlineLevel="1" x14ac:dyDescent="0.2">
      <c r="A191" s="23"/>
      <c r="D191" s="38"/>
      <c r="E191" s="924" t="str">
        <f>Translations!$B$439</f>
        <v>Parameter to which uncertainty applies:</v>
      </c>
      <c r="F191" s="924"/>
      <c r="G191" s="925"/>
      <c r="H191" s="1062" t="str">
        <f>IF(H189="","",INDEX(EUwideConstants!E:E,MATCH(H189,EUwideConstants!Q:Q,0)))</f>
        <v/>
      </c>
      <c r="I191" s="1062"/>
      <c r="J191" s="1062"/>
      <c r="K191" s="1062"/>
      <c r="L191" s="1062"/>
      <c r="P191" s="17"/>
      <c r="Q191" s="12"/>
      <c r="R191" s="23"/>
      <c r="S191" s="23"/>
      <c r="T191" s="23"/>
      <c r="U191" s="23"/>
      <c r="V191" s="23"/>
      <c r="W191" s="23"/>
    </row>
    <row r="192" spans="1:23" s="24" customFormat="1" ht="5.0999999999999996" customHeight="1" outlineLevel="1" x14ac:dyDescent="0.2">
      <c r="A192" s="23"/>
      <c r="P192" s="29"/>
      <c r="Q192" s="23"/>
      <c r="R192" s="23"/>
      <c r="S192" s="23"/>
      <c r="T192" s="23"/>
      <c r="U192" s="23"/>
      <c r="V192" s="23"/>
      <c r="W192" s="23"/>
    </row>
    <row r="193" spans="1:23" s="24" customFormat="1" ht="51" customHeight="1" outlineLevel="1" x14ac:dyDescent="0.2">
      <c r="A193" s="23"/>
      <c r="D193" s="13"/>
      <c r="E193" s="1063" t="str">
        <f>IF(H187="","",INDEX(EUconst_SmallEmiSouStreamMsg,MATCH(Q193,EUconst_SmallEmiSouStream,0)))</f>
        <v/>
      </c>
      <c r="F193" s="1064"/>
      <c r="G193" s="1064"/>
      <c r="H193" s="1064"/>
      <c r="I193" s="1064"/>
      <c r="J193" s="1064"/>
      <c r="K193" s="1064"/>
      <c r="L193" s="1064"/>
      <c r="M193" s="1064"/>
      <c r="N193" s="1065"/>
      <c r="P193" s="15"/>
      <c r="Q193" s="43" t="str">
        <f>IF(CNTR_SmallEmitter=TRUE,EUconst_CNTR_SmallEmitter,EUconst_CNTR_NoSmallEmitter) &amp; IF((CNTR_Category)="","C",CNTR_Category) &amp; "_" &amp; IF(M187="",1,MATCH(M187,SourceCategory,0))</f>
        <v>NoSmallEmitter_C_1</v>
      </c>
      <c r="R193" s="23"/>
      <c r="S193" s="23"/>
      <c r="T193" s="23"/>
      <c r="U193" s="23"/>
      <c r="V193" s="23"/>
      <c r="W193" s="23"/>
    </row>
    <row r="194" spans="1:23" s="24" customFormat="1" ht="12.75" customHeight="1" outlineLevel="1" x14ac:dyDescent="0.2">
      <c r="A194" s="23"/>
      <c r="D194" s="13"/>
      <c r="P194" s="29"/>
      <c r="Q194" s="23"/>
      <c r="R194" s="23"/>
      <c r="S194" s="23"/>
      <c r="T194" s="23"/>
      <c r="U194" s="23"/>
      <c r="V194" s="23"/>
      <c r="W194" s="23"/>
    </row>
    <row r="195" spans="1:23" s="24" customFormat="1" ht="15" customHeight="1" outlineLevel="1" x14ac:dyDescent="0.2">
      <c r="A195" s="23"/>
      <c r="D195" s="1040" t="str">
        <f>Translations!$B$454</f>
        <v>Activity Data:</v>
      </c>
      <c r="E195" s="1040"/>
      <c r="F195" s="1040"/>
      <c r="G195" s="1040"/>
      <c r="H195" s="1040"/>
      <c r="I195" s="1040"/>
      <c r="J195" s="1040"/>
      <c r="K195" s="1040"/>
      <c r="L195" s="1040"/>
      <c r="M195" s="1040"/>
      <c r="N195" s="1040"/>
      <c r="P195" s="29"/>
      <c r="Q195" s="23"/>
      <c r="R195" s="23"/>
      <c r="S195" s="23"/>
      <c r="T195" s="23"/>
      <c r="U195" s="23"/>
      <c r="V195" s="23"/>
      <c r="W195" s="23"/>
    </row>
    <row r="196" spans="1:23" s="24" customFormat="1" ht="5.0999999999999996" customHeight="1" outlineLevel="1" x14ac:dyDescent="0.2">
      <c r="A196" s="23"/>
      <c r="D196" s="13"/>
      <c r="P196" s="29"/>
      <c r="Q196" s="23"/>
      <c r="R196" s="23"/>
      <c r="S196" s="23"/>
      <c r="T196" s="23"/>
      <c r="U196" s="23"/>
      <c r="V196" s="23"/>
      <c r="W196" s="23"/>
    </row>
    <row r="197" spans="1:23" s="24" customFormat="1" outlineLevel="1" x14ac:dyDescent="0.2">
      <c r="A197" s="23"/>
      <c r="D197" s="13" t="s">
        <v>1018</v>
      </c>
      <c r="E197" s="825" t="str">
        <f>Translations!$B$455</f>
        <v>Activity data determination method:</v>
      </c>
      <c r="F197" s="825"/>
      <c r="G197" s="825"/>
      <c r="H197" s="825"/>
      <c r="I197" s="825"/>
      <c r="J197" s="825"/>
      <c r="K197" s="825"/>
      <c r="L197" s="825"/>
      <c r="M197" s="825"/>
      <c r="N197" s="825"/>
      <c r="P197" s="29"/>
      <c r="Q197" s="23"/>
      <c r="R197" s="23"/>
      <c r="S197" s="23"/>
      <c r="T197" s="23"/>
      <c r="U197" s="23"/>
      <c r="V197" s="23"/>
      <c r="W197" s="23"/>
    </row>
    <row r="198" spans="1:23" s="24" customFormat="1" ht="5.0999999999999996" customHeight="1" outlineLevel="1" x14ac:dyDescent="0.2">
      <c r="A198" s="23"/>
      <c r="D198" s="13"/>
      <c r="E198" s="14"/>
      <c r="F198" s="14"/>
      <c r="G198" s="14"/>
      <c r="H198" s="14"/>
      <c r="I198" s="14"/>
      <c r="L198" s="22"/>
      <c r="P198" s="29"/>
      <c r="Q198" s="23"/>
      <c r="R198" s="23"/>
      <c r="S198" s="23"/>
      <c r="T198" s="23"/>
      <c r="U198" s="23"/>
      <c r="V198" s="23"/>
      <c r="W198" s="23"/>
    </row>
    <row r="199" spans="1:23" s="24" customFormat="1" ht="12.75" customHeight="1" outlineLevel="1" x14ac:dyDescent="0.2">
      <c r="A199" s="23"/>
      <c r="D199" s="25" t="s">
        <v>1030</v>
      </c>
      <c r="E199" s="11" t="str">
        <f>Translations!$B$456</f>
        <v>Determination method:</v>
      </c>
      <c r="G199" s="14"/>
      <c r="H199" s="1060"/>
      <c r="I199" s="1061"/>
      <c r="P199" s="220"/>
      <c r="Q199" s="23"/>
      <c r="R199" s="23"/>
      <c r="S199" s="23"/>
      <c r="T199" s="23"/>
      <c r="U199" s="23"/>
      <c r="V199" s="23"/>
      <c r="W199" s="63" t="str">
        <f>IF(M187="","",IF(M187=INDEX(SourceCategory,3),1,IF(CNTR_InstHasCalculation=FALSE,0,2)))</f>
        <v/>
      </c>
    </row>
    <row r="200" spans="1:23" s="24" customFormat="1" ht="5.0999999999999996" customHeight="1" outlineLevel="1" x14ac:dyDescent="0.2">
      <c r="A200" s="23"/>
      <c r="D200" s="25"/>
      <c r="G200" s="14"/>
      <c r="H200" s="44"/>
      <c r="I200" s="44"/>
      <c r="P200" s="29"/>
      <c r="Q200" s="23"/>
      <c r="R200" s="23"/>
      <c r="S200" s="23"/>
      <c r="T200" s="23"/>
      <c r="U200" s="23"/>
      <c r="V200" s="23"/>
      <c r="W200" s="23"/>
    </row>
    <row r="201" spans="1:23" s="24" customFormat="1" ht="12.75" customHeight="1" outlineLevel="1" x14ac:dyDescent="0.2">
      <c r="A201" s="23"/>
      <c r="E201" s="46"/>
      <c r="F201" s="1049" t="str">
        <f>Translations!$B$459</f>
        <v>Reference to procedure used for determining stock piles at end of year:</v>
      </c>
      <c r="G201" s="1049"/>
      <c r="H201" s="1049"/>
      <c r="I201" s="1049"/>
      <c r="J201" s="1050"/>
      <c r="K201" s="1060"/>
      <c r="L201" s="1061"/>
      <c r="P201" s="29"/>
      <c r="Q201" s="23"/>
      <c r="R201" s="23"/>
      <c r="S201" s="23"/>
      <c r="T201" s="23"/>
      <c r="U201" s="29"/>
      <c r="V201" s="32" t="b">
        <f>IF(OR(H187="",ISBLANK(H199)),FALSE,IF(MATCH(H199,EUconst_ActivityDeterminationMethod,0)=2,TRUE,FALSE))</f>
        <v>0</v>
      </c>
      <c r="W201" s="63" t="str">
        <f>IF(V201=TRUE,0,W199)</f>
        <v/>
      </c>
    </row>
    <row r="202" spans="1:23" s="24" customFormat="1" ht="5.0999999999999996" customHeight="1" outlineLevel="1" x14ac:dyDescent="0.2">
      <c r="A202" s="23"/>
      <c r="P202" s="29"/>
      <c r="Q202" s="23"/>
      <c r="R202" s="23"/>
      <c r="S202" s="23"/>
      <c r="T202" s="23"/>
      <c r="U202" s="23"/>
      <c r="V202" s="23"/>
      <c r="W202" s="23"/>
    </row>
    <row r="203" spans="1:23" s="24" customFormat="1" ht="12.75" customHeight="1" outlineLevel="1" x14ac:dyDescent="0.2">
      <c r="A203" s="23"/>
      <c r="D203" s="46" t="s">
        <v>1031</v>
      </c>
      <c r="E203" s="11" t="str">
        <f>Translations!$B$462</f>
        <v>Instrument under control of:</v>
      </c>
      <c r="G203" s="14"/>
      <c r="H203" s="1060"/>
      <c r="I203" s="1061"/>
      <c r="J203" s="25"/>
      <c r="P203" s="29"/>
      <c r="Q203" s="23"/>
      <c r="R203" s="23"/>
      <c r="S203" s="23"/>
      <c r="T203" s="23"/>
      <c r="U203" s="23"/>
      <c r="V203" s="23"/>
      <c r="W203" s="63" t="str">
        <f>W199</f>
        <v/>
      </c>
    </row>
    <row r="204" spans="1:23" s="24" customFormat="1" ht="5.0999999999999996" customHeight="1" outlineLevel="1" x14ac:dyDescent="0.2">
      <c r="A204" s="23"/>
      <c r="D204" s="25"/>
      <c r="G204" s="14"/>
      <c r="H204" s="44"/>
      <c r="I204" s="44"/>
      <c r="J204" s="25"/>
      <c r="P204" s="29"/>
      <c r="Q204" s="23"/>
      <c r="R204" s="23"/>
      <c r="S204" s="23"/>
      <c r="T204" s="23"/>
      <c r="U204" s="23"/>
      <c r="V204" s="23"/>
      <c r="W204" s="23"/>
    </row>
    <row r="205" spans="1:23" s="24" customFormat="1" ht="12.75" customHeight="1" outlineLevel="1" x14ac:dyDescent="0.2">
      <c r="A205" s="23"/>
      <c r="D205" s="25"/>
      <c r="E205" s="46" t="s">
        <v>1296</v>
      </c>
      <c r="F205" s="767" t="str">
        <f>Translations!$B$465</f>
        <v>Please confirm that the conditions of Article 29(1) are satisfied:</v>
      </c>
      <c r="G205" s="732"/>
      <c r="H205" s="732"/>
      <c r="I205" s="732"/>
      <c r="J205" s="732"/>
      <c r="K205" s="732"/>
      <c r="L205" s="192"/>
      <c r="P205" s="29"/>
      <c r="Q205" s="23"/>
      <c r="R205" s="23"/>
      <c r="S205" s="23"/>
      <c r="T205" s="23"/>
      <c r="U205" s="23"/>
      <c r="V205" s="32" t="b">
        <f>IF(OR(H187="",ISBLANK(H203)),FALSE,IF(MATCH(H203,EUconst_OwnerInstrument,0)=1,TRUE,FALSE))</f>
        <v>0</v>
      </c>
      <c r="W205" s="63" t="str">
        <f>IF(V205=TRUE,0,W199)</f>
        <v/>
      </c>
    </row>
    <row r="206" spans="1:23" s="24" customFormat="1" ht="5.0999999999999996" customHeight="1" outlineLevel="1" x14ac:dyDescent="0.2">
      <c r="A206" s="23"/>
      <c r="D206" s="25"/>
      <c r="E206" s="25"/>
      <c r="G206" s="14"/>
      <c r="N206" s="44"/>
      <c r="P206" s="29"/>
      <c r="Q206" s="23"/>
      <c r="R206" s="23"/>
      <c r="S206" s="23"/>
      <c r="T206" s="23"/>
      <c r="U206" s="23"/>
      <c r="V206" s="16"/>
      <c r="W206" s="23"/>
    </row>
    <row r="207" spans="1:23" s="24" customFormat="1" ht="12.75" customHeight="1" outlineLevel="1" x14ac:dyDescent="0.2">
      <c r="A207" s="23"/>
      <c r="D207" s="25"/>
      <c r="E207" s="46" t="s">
        <v>1297</v>
      </c>
      <c r="F207" s="1049" t="str">
        <f>Translations!$B$468</f>
        <v>Do you use invoices for determining the amount of this fuel or material?</v>
      </c>
      <c r="G207" s="1049"/>
      <c r="H207" s="1049"/>
      <c r="I207" s="1049"/>
      <c r="J207" s="1049"/>
      <c r="K207" s="1050"/>
      <c r="L207" s="192"/>
      <c r="P207" s="29"/>
      <c r="Q207" s="23"/>
      <c r="R207" s="23"/>
      <c r="S207" s="23"/>
      <c r="T207" s="23"/>
      <c r="U207" s="23"/>
      <c r="V207" s="32" t="b">
        <f>IF(OR(H187="",ISBLANK(H203)),FALSE,IF(MATCH(H203,EUconst_OwnerInstrument,0)=1,TRUE,FALSE))</f>
        <v>0</v>
      </c>
      <c r="W207" s="63" t="str">
        <f>IF(V207=TRUE,0,W199)</f>
        <v/>
      </c>
    </row>
    <row r="208" spans="1:23" s="24" customFormat="1" ht="5.0999999999999996" customHeight="1" outlineLevel="1" x14ac:dyDescent="0.2">
      <c r="A208" s="23"/>
      <c r="D208" s="25"/>
      <c r="E208" s="25"/>
      <c r="G208" s="14"/>
      <c r="J208" s="25"/>
      <c r="L208" s="45"/>
      <c r="P208" s="29"/>
      <c r="Q208" s="23"/>
      <c r="R208" s="23"/>
      <c r="S208" s="23"/>
      <c r="T208" s="23"/>
      <c r="U208" s="23"/>
      <c r="V208" s="23"/>
      <c r="W208" s="23"/>
    </row>
    <row r="209" spans="1:23" s="24" customFormat="1" ht="12.75" customHeight="1" outlineLevel="1" x14ac:dyDescent="0.2">
      <c r="A209" s="23"/>
      <c r="D209" s="25"/>
      <c r="E209" s="46" t="s">
        <v>1298</v>
      </c>
      <c r="F209" s="1049" t="str">
        <f>Translations!$B$469</f>
        <v>Please confirm that the trade partner and the operator are independent:</v>
      </c>
      <c r="G209" s="1049"/>
      <c r="H209" s="1049"/>
      <c r="I209" s="1049"/>
      <c r="J209" s="1049"/>
      <c r="K209" s="1050"/>
      <c r="L209" s="192"/>
      <c r="P209" s="29"/>
      <c r="Q209" s="23"/>
      <c r="R209" s="23"/>
      <c r="S209" s="23"/>
      <c r="T209" s="23"/>
      <c r="U209" s="23"/>
      <c r="V209" s="32" t="b">
        <f>IF(OR(H187="",ISBLANK(H203)),FALSE,IF(MATCH(H203,EUconst_OwnerInstrument,0)=1,TRUE,FALSE))</f>
        <v>0</v>
      </c>
      <c r="W209" s="63" t="str">
        <f>IF(V209=TRUE,0,W199)</f>
        <v/>
      </c>
    </row>
    <row r="210" spans="1:23" s="24" customFormat="1" outlineLevel="1" x14ac:dyDescent="0.2">
      <c r="A210" s="23"/>
      <c r="P210" s="29"/>
      <c r="Q210" s="23"/>
      <c r="R210" s="23"/>
      <c r="S210" s="23"/>
      <c r="T210" s="23"/>
      <c r="U210" s="23"/>
      <c r="V210" s="23"/>
      <c r="W210" s="23"/>
    </row>
    <row r="211" spans="1:23" s="24" customFormat="1" ht="12.75" customHeight="1" outlineLevel="1" x14ac:dyDescent="0.2">
      <c r="A211" s="23"/>
      <c r="D211" s="13" t="s">
        <v>1020</v>
      </c>
      <c r="E211" s="14" t="str">
        <f>Translations!$B$472</f>
        <v>Measurement instruments used:</v>
      </c>
      <c r="H211" s="215"/>
      <c r="I211" s="215"/>
      <c r="J211" s="215"/>
      <c r="K211" s="215"/>
      <c r="L211" s="215"/>
      <c r="P211" s="15"/>
      <c r="Q211" s="23"/>
      <c r="R211" s="23"/>
      <c r="S211" s="23"/>
      <c r="T211" s="23"/>
      <c r="U211" s="23"/>
      <c r="V211" s="23"/>
      <c r="W211" s="23"/>
    </row>
    <row r="212" spans="1:23" s="24" customFormat="1" ht="5.0999999999999996" customHeight="1" outlineLevel="1" x14ac:dyDescent="0.2">
      <c r="A212" s="23"/>
      <c r="D212" s="13"/>
      <c r="E212" s="14"/>
      <c r="P212" s="15"/>
      <c r="Q212" s="23"/>
      <c r="R212" s="23"/>
      <c r="S212" s="23"/>
      <c r="T212" s="23"/>
      <c r="U212" s="23"/>
      <c r="V212" s="23"/>
      <c r="W212" s="23"/>
    </row>
    <row r="213" spans="1:23" s="24" customFormat="1" outlineLevel="1" x14ac:dyDescent="0.2">
      <c r="A213" s="23"/>
      <c r="D213" s="13"/>
      <c r="E213" s="24" t="str">
        <f>Translations!$B$475</f>
        <v>Comment / Description of approach, if several instruments used:</v>
      </c>
      <c r="I213" s="11"/>
      <c r="P213" s="29"/>
      <c r="Q213" s="23"/>
      <c r="R213" s="23"/>
      <c r="S213" s="23"/>
      <c r="T213" s="23"/>
      <c r="U213" s="23"/>
      <c r="V213" s="23"/>
      <c r="W213" s="23"/>
    </row>
    <row r="214" spans="1:23" s="24" customFormat="1" ht="12.75" customHeight="1" outlineLevel="1" x14ac:dyDescent="0.2">
      <c r="A214" s="23"/>
      <c r="D214" s="13"/>
      <c r="E214" s="1051"/>
      <c r="F214" s="1052"/>
      <c r="G214" s="1052"/>
      <c r="H214" s="1052"/>
      <c r="I214" s="1052"/>
      <c r="J214" s="1052"/>
      <c r="K214" s="1052"/>
      <c r="L214" s="1052"/>
      <c r="M214" s="1052"/>
      <c r="N214" s="1053"/>
      <c r="P214" s="29"/>
      <c r="Q214" s="23"/>
      <c r="R214" s="23"/>
      <c r="S214" s="23"/>
      <c r="T214" s="23"/>
      <c r="U214" s="23"/>
      <c r="V214" s="23"/>
      <c r="W214" s="23"/>
    </row>
    <row r="215" spans="1:23" s="24" customFormat="1" outlineLevel="1" x14ac:dyDescent="0.2">
      <c r="A215" s="23"/>
      <c r="D215" s="13"/>
      <c r="E215" s="1054"/>
      <c r="F215" s="1055"/>
      <c r="G215" s="1055"/>
      <c r="H215" s="1055"/>
      <c r="I215" s="1055"/>
      <c r="J215" s="1055"/>
      <c r="K215" s="1055"/>
      <c r="L215" s="1055"/>
      <c r="M215" s="1055"/>
      <c r="N215" s="1056"/>
      <c r="P215" s="29"/>
      <c r="Q215" s="29"/>
      <c r="R215" s="29"/>
      <c r="S215" s="23"/>
      <c r="T215" s="23"/>
      <c r="U215" s="23"/>
      <c r="V215" s="23"/>
      <c r="W215" s="23"/>
    </row>
    <row r="216" spans="1:23" s="24" customFormat="1" outlineLevel="1" x14ac:dyDescent="0.2">
      <c r="A216" s="23"/>
      <c r="D216" s="13"/>
      <c r="E216" s="1057"/>
      <c r="F216" s="1058"/>
      <c r="G216" s="1058"/>
      <c r="H216" s="1058"/>
      <c r="I216" s="1058"/>
      <c r="J216" s="1058"/>
      <c r="K216" s="1058"/>
      <c r="L216" s="1058"/>
      <c r="M216" s="1058"/>
      <c r="N216" s="1059"/>
      <c r="P216" s="29"/>
      <c r="Q216" s="29"/>
      <c r="R216" s="29"/>
      <c r="S216" s="23"/>
      <c r="T216" s="23"/>
      <c r="U216" s="23"/>
      <c r="V216" s="23"/>
      <c r="W216" s="23"/>
    </row>
    <row r="217" spans="1:23" s="24" customFormat="1" outlineLevel="1" x14ac:dyDescent="0.2">
      <c r="A217" s="23"/>
      <c r="D217" s="13"/>
      <c r="P217" s="29"/>
      <c r="Q217" s="29"/>
      <c r="R217" s="29"/>
      <c r="S217" s="23"/>
      <c r="T217" s="23"/>
      <c r="U217" s="23"/>
      <c r="V217" s="23"/>
      <c r="W217" s="23"/>
    </row>
    <row r="218" spans="1:23" s="24" customFormat="1" ht="12.75" customHeight="1" outlineLevel="1" x14ac:dyDescent="0.2">
      <c r="A218" s="23"/>
      <c r="D218" s="13" t="s">
        <v>554</v>
      </c>
      <c r="E218" s="14" t="str">
        <f>Translations!$B$477</f>
        <v>Activity data tier level required:</v>
      </c>
      <c r="H218" s="30" t="str">
        <f>IF(H189="","",IF(CNTR_Category="A",INDEX(EUwideConstants!$G:$G,MATCH(Q218,EUwideConstants!$S:$S,0)),INDEX(EUwideConstants!$P:$P,MATCH(Q218,EUwideConstants!$S:$S,0))))</f>
        <v/>
      </c>
      <c r="I218" s="26" t="str">
        <f>IF(H218="","",IF(S218=0,EUconst_NA,IF(ISERROR(S218),"",EUconst_MsgTierActivityLevel &amp; " " &amp;S218)))</f>
        <v/>
      </c>
      <c r="J218" s="27"/>
      <c r="K218" s="27"/>
      <c r="L218" s="27"/>
      <c r="M218" s="27"/>
      <c r="N218" s="28"/>
      <c r="P218" s="29"/>
      <c r="Q218" s="92" t="str">
        <f>EUconst_CNTR_ActivityData&amp;H189</f>
        <v>ActivityData_</v>
      </c>
      <c r="R218" s="29"/>
      <c r="S218" s="32" t="str">
        <f>IF(H218="","",IF(H218=EUconst_NA,"",INDEX(EUwideConstants!$H:$O,MATCH(Q218,EUwideConstants!$S:$S,0),MATCH(H218,CNTR_TierList,0))))</f>
        <v/>
      </c>
      <c r="T218" s="23"/>
      <c r="U218" s="23"/>
      <c r="V218" s="23"/>
      <c r="W218" s="23"/>
    </row>
    <row r="219" spans="1:23" s="24" customFormat="1" ht="12.75" customHeight="1" outlineLevel="1" x14ac:dyDescent="0.2">
      <c r="A219" s="23"/>
      <c r="D219" s="13" t="s">
        <v>1022</v>
      </c>
      <c r="E219" s="14" t="str">
        <f>Translations!$B$478</f>
        <v>Activity data tier used:</v>
      </c>
      <c r="H219" s="192"/>
      <c r="I219" s="26" t="str">
        <f>IF(OR(ISBLANK(H219),H219=EUconst_NoTier),"",IF(S219=0,EUconst_NA,IF(ISERROR(S219),"",EUconst_MsgTierActivityLevel &amp; " " &amp;S219)))</f>
        <v/>
      </c>
      <c r="J219" s="27"/>
      <c r="K219" s="27"/>
      <c r="L219" s="27"/>
      <c r="M219" s="27"/>
      <c r="N219" s="28"/>
      <c r="P219" s="29"/>
      <c r="Q219" s="92" t="str">
        <f>EUconst_CNTR_ActivityData&amp;H189</f>
        <v>ActivityData_</v>
      </c>
      <c r="R219" s="29"/>
      <c r="S219" s="32" t="str">
        <f>IF(ISBLANK(H219),"",IF(H219=EUconst_NA,"",INDEX(EUwideConstants!$H:$O,MATCH(Q219,EUwideConstants!$S:$S,0),MATCH(H219,CNTR_TierList,0))))</f>
        <v/>
      </c>
      <c r="T219" s="23"/>
      <c r="U219" s="23"/>
      <c r="V219" s="23"/>
      <c r="W219" s="23"/>
    </row>
    <row r="220" spans="1:23" s="24" customFormat="1" ht="12.75" customHeight="1" outlineLevel="1" x14ac:dyDescent="0.2">
      <c r="A220" s="23"/>
      <c r="D220" s="13" t="s">
        <v>1023</v>
      </c>
      <c r="E220" s="14" t="str">
        <f>Translations!$B$479</f>
        <v>Uncertainty achieved:</v>
      </c>
      <c r="H220" s="229"/>
      <c r="I220" s="14" t="str">
        <f>Translations!$B$480</f>
        <v>Comment:</v>
      </c>
      <c r="J220" s="193"/>
      <c r="K220" s="194"/>
      <c r="L220" s="194"/>
      <c r="M220" s="194"/>
      <c r="N220" s="195"/>
      <c r="P220" s="29"/>
      <c r="Q220" s="29"/>
      <c r="R220" s="29"/>
      <c r="S220" s="23"/>
      <c r="T220" s="23"/>
      <c r="U220" s="23"/>
      <c r="V220" s="23"/>
      <c r="W220" s="23"/>
    </row>
    <row r="221" spans="1:23" s="24" customFormat="1" ht="5.0999999999999996" customHeight="1" outlineLevel="1" x14ac:dyDescent="0.2">
      <c r="A221" s="23"/>
      <c r="D221" s="13"/>
      <c r="E221" s="67"/>
      <c r="F221" s="67"/>
      <c r="G221" s="67"/>
      <c r="H221" s="67"/>
      <c r="I221" s="67"/>
      <c r="J221" s="67"/>
      <c r="K221" s="67"/>
      <c r="L221" s="67"/>
      <c r="M221" s="67"/>
      <c r="N221" s="67"/>
      <c r="P221" s="29"/>
      <c r="Q221" s="29"/>
      <c r="R221" s="29"/>
      <c r="S221" s="23"/>
      <c r="T221" s="23"/>
      <c r="U221" s="23"/>
      <c r="V221" s="23"/>
      <c r="W221" s="23"/>
    </row>
    <row r="222" spans="1:23" s="24" customFormat="1" ht="15" customHeight="1" outlineLevel="1" x14ac:dyDescent="0.2">
      <c r="A222" s="23"/>
      <c r="D222" s="1040" t="str">
        <f>Translations!$B$490</f>
        <v>Calculation factors:</v>
      </c>
      <c r="E222" s="1040"/>
      <c r="F222" s="1040"/>
      <c r="G222" s="1040"/>
      <c r="H222" s="1040"/>
      <c r="I222" s="1040"/>
      <c r="J222" s="1040"/>
      <c r="K222" s="1040"/>
      <c r="L222" s="1040"/>
      <c r="M222" s="1040"/>
      <c r="N222" s="1040"/>
      <c r="P222" s="29"/>
      <c r="Q222" s="29"/>
      <c r="R222" s="29"/>
      <c r="S222" s="29"/>
      <c r="T222" s="6"/>
      <c r="U222" s="23"/>
      <c r="V222" s="23"/>
      <c r="W222" s="23"/>
    </row>
    <row r="223" spans="1:23" s="24" customFormat="1" ht="5.0999999999999996" customHeight="1" outlineLevel="1" x14ac:dyDescent="0.2">
      <c r="A223" s="23"/>
      <c r="D223" s="13"/>
      <c r="E223" s="14"/>
      <c r="P223" s="29"/>
      <c r="Q223" s="29"/>
      <c r="R223" s="29"/>
      <c r="S223" s="29"/>
      <c r="T223" s="6"/>
      <c r="U223" s="23"/>
      <c r="V223" s="23"/>
      <c r="W223" s="23"/>
    </row>
    <row r="224" spans="1:23" s="24" customFormat="1" ht="12.75" customHeight="1" outlineLevel="1" x14ac:dyDescent="0.2">
      <c r="A224" s="23"/>
      <c r="D224" s="13" t="s">
        <v>1019</v>
      </c>
      <c r="E224" s="14" t="str">
        <f>Translations!$B$515</f>
        <v>Applied tiers for calculation factors:</v>
      </c>
      <c r="P224" s="29"/>
      <c r="Q224" s="29"/>
      <c r="R224" s="29"/>
      <c r="S224" s="29"/>
      <c r="T224" s="23"/>
      <c r="U224" s="23"/>
      <c r="V224" s="23"/>
      <c r="W224" s="23"/>
    </row>
    <row r="225" spans="1:23" s="24" customFormat="1" ht="5.0999999999999996" customHeight="1" outlineLevel="1" x14ac:dyDescent="0.2">
      <c r="A225" s="23"/>
      <c r="D225" s="13"/>
      <c r="E225" s="14"/>
      <c r="P225" s="29"/>
      <c r="Q225" s="29"/>
      <c r="R225" s="29"/>
      <c r="S225" s="29"/>
      <c r="T225" s="23"/>
      <c r="U225" s="23"/>
      <c r="V225" s="23"/>
      <c r="W225" s="23"/>
    </row>
    <row r="226" spans="1:23" s="24" customFormat="1" ht="25.5" customHeight="1" outlineLevel="1" x14ac:dyDescent="0.2">
      <c r="A226" s="23"/>
      <c r="E226" s="1044" t="str">
        <f>Translations!$B$516</f>
        <v>calculation factor</v>
      </c>
      <c r="F226" s="1044"/>
      <c r="G226" s="1044"/>
      <c r="H226" s="50" t="str">
        <f>Translations!$B$517</f>
        <v>required tier</v>
      </c>
      <c r="I226" s="50" t="str">
        <f>Translations!$B$518</f>
        <v>applied tier</v>
      </c>
      <c r="J226" s="1046" t="str">
        <f>Translations!$B$519</f>
        <v>full text for applied tier</v>
      </c>
      <c r="K226" s="1047"/>
      <c r="L226" s="1047"/>
      <c r="M226" s="1047"/>
      <c r="N226" s="1048"/>
      <c r="P226" s="29"/>
      <c r="Q226" s="29"/>
      <c r="R226" s="29"/>
      <c r="S226" s="15" t="s">
        <v>1038</v>
      </c>
      <c r="T226" s="23"/>
      <c r="U226" s="23"/>
      <c r="V226" s="23"/>
      <c r="W226" s="52" t="s">
        <v>1295</v>
      </c>
    </row>
    <row r="227" spans="1:23" s="24" customFormat="1" ht="12.75" customHeight="1" outlineLevel="1" x14ac:dyDescent="0.2">
      <c r="A227" s="23"/>
      <c r="D227" s="25" t="s">
        <v>1030</v>
      </c>
      <c r="E227" s="1039" t="str">
        <f>Translations!$B$520</f>
        <v>Net calorific value (NCV)</v>
      </c>
      <c r="F227" s="1039"/>
      <c r="G227" s="1039"/>
      <c r="H227" s="30" t="str">
        <f>IF(H189="","",IF(CNTR_Category="A",INDEX(EUwideConstants!$G:$G,MATCH(Q227,EUwideConstants!$S:$S,0)),INDEX(EUwideConstants!$P:$P,MATCH(Q227,EUwideConstants!$S:$S,0))))</f>
        <v/>
      </c>
      <c r="I227" s="192"/>
      <c r="J227" s="1041" t="str">
        <f t="shared" ref="J227:J232" si="9">IF(OR(ISBLANK(I227),I227=EUconst_NoTier),"",IF(S227=0,EUconst_NotApplicable,IF(ISERROR(S227),"",S227)))</f>
        <v/>
      </c>
      <c r="K227" s="1042"/>
      <c r="L227" s="1042"/>
      <c r="M227" s="1042"/>
      <c r="N227" s="1043"/>
      <c r="P227" s="29"/>
      <c r="Q227" s="92" t="str">
        <f>EUconst_CNTR_NCV&amp;H189</f>
        <v>NCV_</v>
      </c>
      <c r="R227" s="29"/>
      <c r="S227" s="31" t="str">
        <f>IF(ISBLANK(I227),"",IF(I227=EUconst_NA,"",INDEX(EUwideConstants!$H:$O,MATCH(Q227,EUwideConstants!$S:$S,0),MATCH(I227,CNTR_TierList,0))))</f>
        <v/>
      </c>
      <c r="T227" s="23"/>
      <c r="U227" s="23"/>
      <c r="V227" s="23"/>
      <c r="W227" s="32" t="b">
        <f t="shared" ref="W227:W232" si="10">(H227=EUconst_NA)</f>
        <v>0</v>
      </c>
    </row>
    <row r="228" spans="1:23" s="24" customFormat="1" ht="12.75" customHeight="1" outlineLevel="1" x14ac:dyDescent="0.2">
      <c r="A228" s="23"/>
      <c r="D228" s="25" t="s">
        <v>1031</v>
      </c>
      <c r="E228" s="1039" t="str">
        <f>Translations!$B$521</f>
        <v>Emission factor (preliminary)</v>
      </c>
      <c r="F228" s="1039"/>
      <c r="G228" s="1039"/>
      <c r="H228" s="30" t="str">
        <f>IF(H189="","",IF(CNTR_Category="A",INDEX(EUwideConstants!$G:$G,MATCH(Q228,EUwideConstants!$S:$S,0)),INDEX(EUwideConstants!$P:$P,MATCH(Q228,EUwideConstants!$S:$S,0))))</f>
        <v/>
      </c>
      <c r="I228" s="192"/>
      <c r="J228" s="1041" t="str">
        <f t="shared" si="9"/>
        <v/>
      </c>
      <c r="K228" s="1042"/>
      <c r="L228" s="1042"/>
      <c r="M228" s="1042"/>
      <c r="N228" s="1043"/>
      <c r="P228" s="29"/>
      <c r="Q228" s="92" t="str">
        <f>EUconst_CNTR_EF&amp;H189</f>
        <v>EF_</v>
      </c>
      <c r="R228" s="29"/>
      <c r="S228" s="31" t="str">
        <f>IF(ISBLANK(I228),"",IF(I228=EUconst_NA,"",INDEX(EUwideConstants!$H:$O,MATCH(Q228,EUwideConstants!$S:$S,0),MATCH(I228,CNTR_TierList,0))))</f>
        <v/>
      </c>
      <c r="T228" s="23"/>
      <c r="U228" s="23"/>
      <c r="V228" s="23"/>
      <c r="W228" s="32" t="b">
        <f t="shared" si="10"/>
        <v>0</v>
      </c>
    </row>
    <row r="229" spans="1:23" s="24" customFormat="1" ht="12.75" customHeight="1" outlineLevel="1" x14ac:dyDescent="0.2">
      <c r="A229" s="23"/>
      <c r="D229" s="25" t="s">
        <v>1468</v>
      </c>
      <c r="E229" s="1039" t="str">
        <f>Translations!$B$522</f>
        <v>Oxidation factor</v>
      </c>
      <c r="F229" s="1039"/>
      <c r="G229" s="1039"/>
      <c r="H229" s="30" t="str">
        <f>IF(H189="","",IF(CNTR_Category="A",INDEX(EUwideConstants!$G:$G,MATCH(Q229,EUwideConstants!$S:$S,0)),INDEX(EUwideConstants!$P:$P,MATCH(Q229,EUwideConstants!$S:$S,0))))</f>
        <v/>
      </c>
      <c r="I229" s="192"/>
      <c r="J229" s="1041" t="str">
        <f t="shared" si="9"/>
        <v/>
      </c>
      <c r="K229" s="1042"/>
      <c r="L229" s="1042"/>
      <c r="M229" s="1042"/>
      <c r="N229" s="1043"/>
      <c r="P229" s="29"/>
      <c r="Q229" s="92" t="str">
        <f>EUconst_CNTR_OxidationFactor&amp;H189</f>
        <v>OxF_</v>
      </c>
      <c r="R229" s="29"/>
      <c r="S229" s="31" t="str">
        <f>IF(ISBLANK(I229),"",IF(I229=EUconst_NA,"",INDEX(EUwideConstants!$H:$O,MATCH(Q229,EUwideConstants!$S:$S,0),MATCH(I229,CNTR_TierList,0))))</f>
        <v/>
      </c>
      <c r="T229" s="23"/>
      <c r="U229" s="23"/>
      <c r="V229" s="23"/>
      <c r="W229" s="32" t="b">
        <f t="shared" si="10"/>
        <v>0</v>
      </c>
    </row>
    <row r="230" spans="1:23" s="24" customFormat="1" ht="12.75" customHeight="1" outlineLevel="1" x14ac:dyDescent="0.2">
      <c r="A230" s="23"/>
      <c r="D230" s="25" t="s">
        <v>1469</v>
      </c>
      <c r="E230" s="1039" t="str">
        <f>Translations!$B$523</f>
        <v>Conversion factor</v>
      </c>
      <c r="F230" s="1039"/>
      <c r="G230" s="1039"/>
      <c r="H230" s="30" t="str">
        <f>IF(H189="","",IF(CNTR_Category="A",INDEX(EUwideConstants!$G:$G,MATCH(Q230,EUwideConstants!$S:$S,0)),INDEX(EUwideConstants!$P:$P,MATCH(Q230,EUwideConstants!$S:$S,0))))</f>
        <v/>
      </c>
      <c r="I230" s="192"/>
      <c r="J230" s="1041" t="str">
        <f t="shared" si="9"/>
        <v/>
      </c>
      <c r="K230" s="1042"/>
      <c r="L230" s="1042"/>
      <c r="M230" s="1042"/>
      <c r="N230" s="1043"/>
      <c r="P230" s="29"/>
      <c r="Q230" s="92" t="str">
        <f>EUconst_CNTR_ConversionFactor&amp;H189</f>
        <v>ConvF_</v>
      </c>
      <c r="R230" s="29"/>
      <c r="S230" s="31" t="str">
        <f>IF(ISBLANK(I230),"",IF(I230=EUconst_NA,"",INDEX(EUwideConstants!$H:$O,MATCH(Q230,EUwideConstants!$S:$S,0),MATCH(I230,CNTR_TierList,0))))</f>
        <v/>
      </c>
      <c r="T230" s="23"/>
      <c r="U230" s="23"/>
      <c r="V230" s="23"/>
      <c r="W230" s="32" t="b">
        <f t="shared" si="10"/>
        <v>0</v>
      </c>
    </row>
    <row r="231" spans="1:23" s="24" customFormat="1" ht="12.75" customHeight="1" outlineLevel="1" x14ac:dyDescent="0.2">
      <c r="A231" s="23"/>
      <c r="D231" s="25" t="s">
        <v>1470</v>
      </c>
      <c r="E231" s="1039" t="str">
        <f>Translations!$B$524</f>
        <v>Carbon content</v>
      </c>
      <c r="F231" s="1039"/>
      <c r="G231" s="1039"/>
      <c r="H231" s="30" t="str">
        <f>IF(H189="","",IF(CNTR_Category="A",INDEX(EUwideConstants!$G:$G,MATCH(Q231,EUwideConstants!$S:$S,0)),INDEX(EUwideConstants!$P:$P,MATCH(Q231,EUwideConstants!$S:$S,0))))</f>
        <v/>
      </c>
      <c r="I231" s="192"/>
      <c r="J231" s="1041" t="str">
        <f t="shared" si="9"/>
        <v/>
      </c>
      <c r="K231" s="1042"/>
      <c r="L231" s="1042"/>
      <c r="M231" s="1042"/>
      <c r="N231" s="1043"/>
      <c r="P231" s="209"/>
      <c r="Q231" s="92" t="str">
        <f>EUconst_CNTR_CarbonContent&amp;H189</f>
        <v>CarbC_</v>
      </c>
      <c r="R231" s="29"/>
      <c r="S231" s="31" t="str">
        <f>IF(ISBLANK(I231),"",IF(I231=EUconst_NA,"",INDEX(EUwideConstants!$H:$O,MATCH(Q231,EUwideConstants!$S:$S,0),MATCH(I231,CNTR_TierList,0))))</f>
        <v/>
      </c>
      <c r="T231" s="23"/>
      <c r="U231" s="23"/>
      <c r="V231" s="23"/>
      <c r="W231" s="32" t="b">
        <f t="shared" si="10"/>
        <v>0</v>
      </c>
    </row>
    <row r="232" spans="1:23" s="24" customFormat="1" ht="12.75" customHeight="1" outlineLevel="1" x14ac:dyDescent="0.2">
      <c r="A232" s="23"/>
      <c r="D232" s="25" t="s">
        <v>1471</v>
      </c>
      <c r="E232" s="1039" t="str">
        <f>Translations!$B$525</f>
        <v>Biomass fraction (if applicable)</v>
      </c>
      <c r="F232" s="1039"/>
      <c r="G232" s="1039"/>
      <c r="H232" s="30" t="str">
        <f>IF(H189="","",IF(CNTR_Category="A",INDEX(EUwideConstants!$G:$G,MATCH(Q232,EUwideConstants!$S:$S,0)),INDEX(EUwideConstants!$P:$P,MATCH(Q232,EUwideConstants!$S:$S,0))))</f>
        <v/>
      </c>
      <c r="I232" s="192"/>
      <c r="J232" s="1041" t="str">
        <f t="shared" si="9"/>
        <v/>
      </c>
      <c r="K232" s="1042"/>
      <c r="L232" s="1042"/>
      <c r="M232" s="1042"/>
      <c r="N232" s="1043"/>
      <c r="P232" s="29"/>
      <c r="Q232" s="92" t="str">
        <f>EUconst_CNTR_BiomassContent&amp;H189</f>
        <v>BioC_</v>
      </c>
      <c r="R232" s="29"/>
      <c r="S232" s="31" t="str">
        <f>IF(ISBLANK(I232),"",IF(I232=EUconst_NA,"",INDEX(EUwideConstants!$H:$O,MATCH(Q232,EUwideConstants!$S:$S,0),MATCH(I232,CNTR_TierList,0))))</f>
        <v/>
      </c>
      <c r="T232" s="23"/>
      <c r="U232" s="23"/>
      <c r="V232" s="23"/>
      <c r="W232" s="32" t="b">
        <f t="shared" si="10"/>
        <v>0</v>
      </c>
    </row>
    <row r="233" spans="1:23" s="24" customFormat="1" outlineLevel="1" x14ac:dyDescent="0.2">
      <c r="A233" s="23"/>
      <c r="D233" s="13"/>
      <c r="E233" s="67"/>
      <c r="F233" s="67"/>
      <c r="G233" s="67"/>
      <c r="H233" s="67"/>
      <c r="I233" s="67"/>
      <c r="J233" s="67"/>
      <c r="K233" s="67"/>
      <c r="L233" s="67"/>
      <c r="M233" s="67"/>
      <c r="N233" s="67"/>
      <c r="P233" s="29"/>
      <c r="Q233" s="23"/>
      <c r="R233" s="23"/>
      <c r="S233" s="23"/>
      <c r="T233" s="23"/>
      <c r="U233" s="23"/>
      <c r="V233" s="23"/>
      <c r="W233" s="23"/>
    </row>
    <row r="234" spans="1:23" s="24" customFormat="1" outlineLevel="1" x14ac:dyDescent="0.2">
      <c r="A234" s="23"/>
      <c r="D234" s="13" t="s">
        <v>1349</v>
      </c>
      <c r="E234" s="14" t="str">
        <f>Translations!$B$534</f>
        <v>Details for calculation factors:</v>
      </c>
      <c r="F234" s="67"/>
      <c r="G234" s="67"/>
      <c r="H234" s="67"/>
      <c r="I234" s="67"/>
      <c r="J234" s="67"/>
      <c r="K234" s="67"/>
      <c r="L234" s="67"/>
      <c r="M234" s="67"/>
      <c r="N234" s="67"/>
      <c r="P234" s="29"/>
      <c r="Q234" s="23"/>
      <c r="R234" s="23"/>
      <c r="S234" s="23"/>
      <c r="T234" s="23"/>
      <c r="U234" s="23"/>
      <c r="V234" s="23"/>
      <c r="W234" s="23"/>
    </row>
    <row r="235" spans="1:23" s="24" customFormat="1" ht="5.0999999999999996" customHeight="1" outlineLevel="1" x14ac:dyDescent="0.2">
      <c r="A235" s="23"/>
      <c r="D235" s="13"/>
      <c r="E235" s="67"/>
      <c r="F235" s="67"/>
      <c r="G235" s="67"/>
      <c r="H235" s="67"/>
      <c r="I235" s="67"/>
      <c r="J235" s="67"/>
      <c r="K235" s="67"/>
      <c r="L235" s="67"/>
      <c r="M235" s="67"/>
      <c r="N235" s="67"/>
      <c r="P235" s="29"/>
      <c r="Q235" s="23"/>
      <c r="R235" s="23"/>
      <c r="S235" s="23"/>
      <c r="T235" s="23"/>
      <c r="U235" s="23"/>
      <c r="V235" s="23"/>
      <c r="W235" s="23"/>
    </row>
    <row r="236" spans="1:23" s="24" customFormat="1" ht="25.5" customHeight="1" outlineLevel="1" x14ac:dyDescent="0.2">
      <c r="A236" s="23"/>
      <c r="E236" s="1044" t="str">
        <f t="shared" ref="E236:E242" si="11">E226</f>
        <v>calculation factor</v>
      </c>
      <c r="F236" s="1044"/>
      <c r="G236" s="1044"/>
      <c r="H236" s="50" t="str">
        <f>I226</f>
        <v>applied tier</v>
      </c>
      <c r="I236" s="51" t="str">
        <f>Translations!$B$535</f>
        <v>default value</v>
      </c>
      <c r="J236" s="51" t="str">
        <f>Translations!$B$536</f>
        <v>Unit</v>
      </c>
      <c r="K236" s="51" t="str">
        <f>Translations!$B$537</f>
        <v>source ref</v>
      </c>
      <c r="L236" s="51" t="str">
        <f>Translations!$B$538</f>
        <v>analysis ref</v>
      </c>
      <c r="M236" s="51" t="str">
        <f>Translations!$B$539</f>
        <v>sampling ref</v>
      </c>
      <c r="N236" s="51" t="str">
        <f>Translations!$B$540</f>
        <v>Analysis frequency</v>
      </c>
      <c r="P236" s="29"/>
      <c r="Q236" s="23"/>
      <c r="R236" s="23"/>
      <c r="S236" s="52" t="s">
        <v>384</v>
      </c>
      <c r="T236" s="23"/>
      <c r="U236" s="23"/>
      <c r="V236" s="23"/>
      <c r="W236" s="52" t="s">
        <v>1295</v>
      </c>
    </row>
    <row r="237" spans="1:23" s="24" customFormat="1" ht="12.75" customHeight="1" outlineLevel="1" x14ac:dyDescent="0.2">
      <c r="A237" s="23"/>
      <c r="D237" s="25" t="s">
        <v>1030</v>
      </c>
      <c r="E237" s="1039" t="str">
        <f t="shared" si="11"/>
        <v>Net calorific value (NCV)</v>
      </c>
      <c r="F237" s="1039"/>
      <c r="G237" s="1039"/>
      <c r="H237" s="30" t="str">
        <f t="shared" ref="H237:H242" si="12">IF(OR(ISBLANK(I227),I227=EUconst_NA),"",I227)</f>
        <v/>
      </c>
      <c r="I237" s="192"/>
      <c r="J237" s="192"/>
      <c r="K237" s="214"/>
      <c r="L237" s="213"/>
      <c r="M237" s="213"/>
      <c r="N237" s="196"/>
      <c r="P237" s="209"/>
      <c r="Q237" s="23"/>
      <c r="R237" s="23"/>
      <c r="S237" s="63" t="str">
        <f>IF(H237="","",IF(I227=EUconst_NA,"",INDEX(EUwideConstants!$AL:$AR,MATCH(Q227,EUwideConstants!$S:$S,0),MATCH(I227,CNTR_TierList,0))))</f>
        <v/>
      </c>
      <c r="T237" s="23"/>
      <c r="U237" s="23"/>
      <c r="V237" s="23"/>
      <c r="W237" s="32" t="b">
        <f t="shared" ref="W237:W242" si="13">OR(H237="",H237=EUconst_NA,J227=EUconst_NotApplicable)</f>
        <v>1</v>
      </c>
    </row>
    <row r="238" spans="1:23" s="24" customFormat="1" ht="12.75" customHeight="1" outlineLevel="1" x14ac:dyDescent="0.2">
      <c r="A238" s="23"/>
      <c r="D238" s="25" t="s">
        <v>1031</v>
      </c>
      <c r="E238" s="1039" t="str">
        <f t="shared" si="11"/>
        <v>Emission factor (preliminary)</v>
      </c>
      <c r="F238" s="1039"/>
      <c r="G238" s="1039"/>
      <c r="H238" s="30" t="str">
        <f t="shared" si="12"/>
        <v/>
      </c>
      <c r="I238" s="197"/>
      <c r="J238" s="192"/>
      <c r="K238" s="213"/>
      <c r="L238" s="271"/>
      <c r="M238" s="271"/>
      <c r="N238" s="196"/>
      <c r="P238" s="29"/>
      <c r="Q238" s="23"/>
      <c r="R238" s="23"/>
      <c r="S238" s="63" t="str">
        <f>IF(H238="","",IF(I228=EUconst_NA,"",INDEX(EUwideConstants!$AL:$AR,MATCH(Q228,EUwideConstants!$S:$S,0),MATCH(I228,CNTR_TierList,0))))</f>
        <v/>
      </c>
      <c r="T238" s="23"/>
      <c r="U238" s="23"/>
      <c r="V238" s="23"/>
      <c r="W238" s="32" t="b">
        <f t="shared" si="13"/>
        <v>1</v>
      </c>
    </row>
    <row r="239" spans="1:23" s="24" customFormat="1" ht="12.75" customHeight="1" outlineLevel="1" x14ac:dyDescent="0.2">
      <c r="A239" s="23"/>
      <c r="D239" s="25" t="s">
        <v>1468</v>
      </c>
      <c r="E239" s="1039" t="str">
        <f t="shared" si="11"/>
        <v>Oxidation factor</v>
      </c>
      <c r="F239" s="1039"/>
      <c r="G239" s="1039"/>
      <c r="H239" s="30" t="str">
        <f t="shared" si="12"/>
        <v/>
      </c>
      <c r="I239" s="192"/>
      <c r="J239" s="192"/>
      <c r="K239" s="213"/>
      <c r="L239" s="213"/>
      <c r="M239" s="213"/>
      <c r="N239" s="196"/>
      <c r="P239" s="29"/>
      <c r="Q239" s="23"/>
      <c r="R239" s="23"/>
      <c r="S239" s="63" t="str">
        <f>IF(H239="","",IF(I229=EUconst_NA,"",INDEX(EUwideConstants!$AL:$AR,MATCH(Q229,EUwideConstants!$S:$S,0),MATCH(I229,CNTR_TierList,0))))</f>
        <v/>
      </c>
      <c r="T239" s="23"/>
      <c r="U239" s="23"/>
      <c r="V239" s="23"/>
      <c r="W239" s="32" t="b">
        <f t="shared" si="13"/>
        <v>1</v>
      </c>
    </row>
    <row r="240" spans="1:23" s="24" customFormat="1" ht="12.75" customHeight="1" outlineLevel="1" x14ac:dyDescent="0.2">
      <c r="A240" s="23"/>
      <c r="D240" s="25" t="s">
        <v>1469</v>
      </c>
      <c r="E240" s="1039" t="str">
        <f t="shared" si="11"/>
        <v>Conversion factor</v>
      </c>
      <c r="F240" s="1039"/>
      <c r="G240" s="1039"/>
      <c r="H240" s="30" t="str">
        <f t="shared" si="12"/>
        <v/>
      </c>
      <c r="I240" s="192"/>
      <c r="J240" s="192"/>
      <c r="K240" s="213"/>
      <c r="L240" s="271"/>
      <c r="M240" s="213"/>
      <c r="N240" s="196"/>
      <c r="P240" s="29"/>
      <c r="Q240" s="23"/>
      <c r="R240" s="23"/>
      <c r="S240" s="63" t="str">
        <f>IF(H240="","",IF(I230=EUconst_NA,"",INDEX(EUwideConstants!$AL:$AR,MATCH(Q230,EUwideConstants!$S:$S,0),MATCH(I230,CNTR_TierList,0))))</f>
        <v/>
      </c>
      <c r="T240" s="23"/>
      <c r="U240" s="23"/>
      <c r="V240" s="23"/>
      <c r="W240" s="32" t="b">
        <f t="shared" si="13"/>
        <v>1</v>
      </c>
    </row>
    <row r="241" spans="1:23" s="24" customFormat="1" ht="12.75" customHeight="1" outlineLevel="1" x14ac:dyDescent="0.2">
      <c r="A241" s="23"/>
      <c r="D241" s="25" t="s">
        <v>1470</v>
      </c>
      <c r="E241" s="1039" t="str">
        <f t="shared" si="11"/>
        <v>Carbon content</v>
      </c>
      <c r="F241" s="1039"/>
      <c r="G241" s="1039"/>
      <c r="H241" s="30" t="str">
        <f t="shared" si="12"/>
        <v/>
      </c>
      <c r="I241" s="192"/>
      <c r="J241" s="192"/>
      <c r="K241" s="213"/>
      <c r="L241" s="271"/>
      <c r="M241" s="271"/>
      <c r="N241" s="196"/>
      <c r="P241" s="29"/>
      <c r="Q241" s="23"/>
      <c r="R241" s="23"/>
      <c r="S241" s="63" t="str">
        <f>IF(H241="","",IF(I231=EUconst_NA,"",INDEX(EUwideConstants!$AL:$AR,MATCH(Q231,EUwideConstants!$S:$S,0),MATCH(I231,CNTR_TierList,0))))</f>
        <v/>
      </c>
      <c r="T241" s="23"/>
      <c r="U241" s="23"/>
      <c r="V241" s="23"/>
      <c r="W241" s="32" t="b">
        <f t="shared" si="13"/>
        <v>1</v>
      </c>
    </row>
    <row r="242" spans="1:23" s="24" customFormat="1" ht="12.75" customHeight="1" outlineLevel="1" x14ac:dyDescent="0.2">
      <c r="A242" s="23"/>
      <c r="D242" s="25" t="s">
        <v>1471</v>
      </c>
      <c r="E242" s="1039" t="str">
        <f t="shared" si="11"/>
        <v>Biomass fraction (if applicable)</v>
      </c>
      <c r="F242" s="1039"/>
      <c r="G242" s="1039"/>
      <c r="H242" s="30" t="str">
        <f t="shared" si="12"/>
        <v/>
      </c>
      <c r="I242" s="192"/>
      <c r="J242" s="197"/>
      <c r="K242" s="213"/>
      <c r="L242" s="213"/>
      <c r="M242" s="213"/>
      <c r="N242" s="196"/>
      <c r="P242" s="47"/>
      <c r="Q242" s="23"/>
      <c r="R242" s="23"/>
      <c r="S242" s="63" t="str">
        <f>IF(H242="","",IF(I232=EUconst_NA,"",INDEX(EUwideConstants!$AL:$AR,MATCH(Q232,EUwideConstants!$S:$S,0),MATCH(I232,CNTR_TierList,0))))</f>
        <v/>
      </c>
      <c r="T242" s="23"/>
      <c r="U242" s="23"/>
      <c r="V242" s="23"/>
      <c r="W242" s="32" t="b">
        <f t="shared" si="13"/>
        <v>1</v>
      </c>
    </row>
    <row r="243" spans="1:23" s="24" customFormat="1" ht="12.75" customHeight="1" outlineLevel="1" x14ac:dyDescent="0.2">
      <c r="A243" s="23"/>
      <c r="D243" s="13"/>
      <c r="P243" s="29"/>
      <c r="Q243" s="23"/>
      <c r="R243" s="23"/>
      <c r="S243" s="23"/>
      <c r="T243" s="23"/>
      <c r="U243" s="23"/>
      <c r="V243" s="23"/>
      <c r="W243" s="23"/>
    </row>
    <row r="244" spans="1:23" s="24" customFormat="1" ht="15" customHeight="1" outlineLevel="1" x14ac:dyDescent="0.2">
      <c r="A244" s="23"/>
      <c r="D244" s="1040" t="str">
        <f>Translations!$B$545</f>
        <v>Comments and explanations:</v>
      </c>
      <c r="E244" s="1040"/>
      <c r="F244" s="1040"/>
      <c r="G244" s="1040"/>
      <c r="H244" s="1040"/>
      <c r="I244" s="1040"/>
      <c r="J244" s="1040"/>
      <c r="K244" s="1040"/>
      <c r="L244" s="1040"/>
      <c r="M244" s="1040"/>
      <c r="N244" s="1040"/>
      <c r="P244" s="29"/>
      <c r="Q244" s="29"/>
      <c r="R244" s="29"/>
      <c r="S244" s="29"/>
      <c r="T244" s="6"/>
      <c r="U244" s="23"/>
      <c r="V244" s="23"/>
      <c r="W244" s="23"/>
    </row>
    <row r="245" spans="1:23" s="24" customFormat="1" ht="5.0999999999999996" customHeight="1" outlineLevel="1" x14ac:dyDescent="0.2">
      <c r="A245" s="23"/>
      <c r="D245" s="13"/>
      <c r="P245" s="29"/>
      <c r="Q245" s="23"/>
      <c r="R245" s="23"/>
      <c r="S245" s="23"/>
      <c r="T245" s="23"/>
      <c r="U245" s="23"/>
      <c r="V245" s="23"/>
      <c r="W245" s="23"/>
    </row>
    <row r="246" spans="1:23" s="24" customFormat="1" outlineLevel="1" x14ac:dyDescent="0.2">
      <c r="A246" s="23"/>
      <c r="D246" s="13" t="s">
        <v>1351</v>
      </c>
      <c r="E246" s="946" t="str">
        <f>Translations!$B$1198</f>
        <v>Comments and justification if required tiers are not applied:</v>
      </c>
      <c r="F246" s="946"/>
      <c r="G246" s="946"/>
      <c r="H246" s="946"/>
      <c r="I246" s="946"/>
      <c r="J246" s="946"/>
      <c r="K246" s="946"/>
      <c r="L246" s="946"/>
      <c r="M246" s="946"/>
      <c r="N246" s="946"/>
      <c r="P246" s="29"/>
      <c r="Q246" s="23"/>
      <c r="R246" s="23"/>
      <c r="S246" s="23"/>
      <c r="T246" s="23"/>
      <c r="U246" s="23"/>
      <c r="V246" s="23"/>
      <c r="W246" s="23"/>
    </row>
    <row r="247" spans="1:23" s="24" customFormat="1" ht="5.0999999999999996" customHeight="1" outlineLevel="1" x14ac:dyDescent="0.2">
      <c r="A247" s="23"/>
      <c r="D247" s="13"/>
      <c r="E247" s="48"/>
      <c r="P247" s="29"/>
      <c r="Q247" s="23"/>
      <c r="R247" s="23"/>
      <c r="S247" s="23"/>
      <c r="T247" s="23"/>
      <c r="U247" s="23"/>
      <c r="V247" s="23"/>
      <c r="W247" s="23"/>
    </row>
    <row r="248" spans="1:23" s="24" customFormat="1" ht="12.75" customHeight="1" outlineLevel="1" x14ac:dyDescent="0.2">
      <c r="A248" s="23"/>
      <c r="D248" s="13"/>
      <c r="E248" s="1045"/>
      <c r="F248" s="955"/>
      <c r="G248" s="955"/>
      <c r="H248" s="955"/>
      <c r="I248" s="955"/>
      <c r="J248" s="955"/>
      <c r="K248" s="955"/>
      <c r="L248" s="955"/>
      <c r="M248" s="955"/>
      <c r="N248" s="956"/>
      <c r="P248" s="29"/>
      <c r="Q248" s="23"/>
      <c r="R248" s="23"/>
      <c r="S248" s="23"/>
      <c r="T248" s="23"/>
      <c r="U248" s="23"/>
      <c r="V248" s="23"/>
      <c r="W248" s="23"/>
    </row>
    <row r="249" spans="1:23" s="24" customFormat="1" ht="12.75" customHeight="1" outlineLevel="1" x14ac:dyDescent="0.2">
      <c r="A249" s="23"/>
      <c r="D249" s="13"/>
      <c r="E249" s="1037"/>
      <c r="F249" s="958"/>
      <c r="G249" s="958"/>
      <c r="H249" s="958"/>
      <c r="I249" s="958"/>
      <c r="J249" s="958"/>
      <c r="K249" s="958"/>
      <c r="L249" s="958"/>
      <c r="M249" s="958"/>
      <c r="N249" s="959"/>
      <c r="P249" s="29"/>
      <c r="Q249" s="23"/>
      <c r="R249" s="23"/>
      <c r="S249" s="23"/>
      <c r="T249" s="23"/>
      <c r="U249" s="23"/>
      <c r="V249" s="23"/>
      <c r="W249" s="23"/>
    </row>
    <row r="250" spans="1:23" s="24" customFormat="1" ht="12.75" customHeight="1" outlineLevel="1" x14ac:dyDescent="0.2">
      <c r="A250" s="23"/>
      <c r="D250" s="13"/>
      <c r="E250" s="1038"/>
      <c r="F250" s="961"/>
      <c r="G250" s="961"/>
      <c r="H250" s="961"/>
      <c r="I250" s="961"/>
      <c r="J250" s="961"/>
      <c r="K250" s="961"/>
      <c r="L250" s="961"/>
      <c r="M250" s="961"/>
      <c r="N250" s="962"/>
      <c r="P250" s="29"/>
      <c r="Q250" s="23"/>
      <c r="R250" s="23"/>
      <c r="S250" s="23"/>
      <c r="T250" s="23"/>
      <c r="U250" s="23"/>
      <c r="V250" s="23"/>
      <c r="W250" s="23"/>
    </row>
    <row r="251" spans="1:23" ht="12.75" customHeight="1" thickBot="1" x14ac:dyDescent="0.25">
      <c r="A251" s="72"/>
      <c r="C251" s="54"/>
      <c r="D251" s="55"/>
      <c r="E251" s="56"/>
      <c r="F251" s="54"/>
      <c r="G251" s="57"/>
      <c r="H251" s="57"/>
      <c r="I251" s="57"/>
      <c r="J251" s="57"/>
      <c r="K251" s="57"/>
      <c r="L251" s="57"/>
      <c r="M251" s="57"/>
      <c r="N251" s="57"/>
      <c r="O251" s="24"/>
      <c r="P251" s="15"/>
      <c r="Q251" s="72"/>
      <c r="R251" s="72"/>
      <c r="S251" s="75"/>
      <c r="T251" s="72"/>
      <c r="U251" s="72"/>
      <c r="V251" s="72"/>
      <c r="W251" s="72"/>
    </row>
    <row r="252" spans="1:23" ht="12.75" customHeight="1" thickBot="1" x14ac:dyDescent="0.25">
      <c r="A252" s="72"/>
      <c r="D252" s="13"/>
      <c r="E252" s="22"/>
      <c r="G252" s="2"/>
      <c r="H252" s="2"/>
      <c r="I252" s="2"/>
      <c r="J252" s="2"/>
      <c r="L252" s="2"/>
      <c r="M252" s="2"/>
      <c r="N252" s="2"/>
      <c r="O252" s="24"/>
      <c r="P252" s="15"/>
      <c r="Q252" s="72"/>
      <c r="R252" s="72"/>
      <c r="S252" s="66" t="s">
        <v>470</v>
      </c>
      <c r="T252" s="107" t="s">
        <v>471</v>
      </c>
      <c r="U252" s="107" t="s">
        <v>472</v>
      </c>
      <c r="V252" s="72"/>
      <c r="W252" s="72"/>
    </row>
    <row r="253" spans="1:23" s="186" customFormat="1" ht="15" customHeight="1" thickBot="1" x14ac:dyDescent="0.25">
      <c r="A253" s="76"/>
      <c r="B253" s="34"/>
      <c r="C253" s="35" t="str">
        <f>"F"&amp;Q253</f>
        <v>F3</v>
      </c>
      <c r="D253" s="1040" t="str">
        <f>CONCATENATE(Euconst_SourceStream," ", Q253,":")</f>
        <v>Source Stream 3:</v>
      </c>
      <c r="E253" s="1040"/>
      <c r="F253" s="1040"/>
      <c r="G253" s="1066"/>
      <c r="H253" s="1067" t="str">
        <f>IF(INDEX(C_InstallationDescription!$F$194:$F$204,MATCH(C253,C_InstallationDescription!$E$194:$E$204,0))&gt;0,INDEX(C_InstallationDescription!$F$194:$F$204,MATCH(C253,C_InstallationDescription!$E$194:$E$204,0)),"")</f>
        <v/>
      </c>
      <c r="I253" s="1067"/>
      <c r="J253" s="1067"/>
      <c r="K253" s="1067"/>
      <c r="L253" s="1068"/>
      <c r="M253" s="1069" t="str">
        <f>IF(S253=TRUE,IF(U253="",T253,U253),"")</f>
        <v/>
      </c>
      <c r="N253" s="1070"/>
      <c r="O253" s="24"/>
      <c r="P253" s="41"/>
      <c r="Q253" s="33">
        <f>Q187+1</f>
        <v>3</v>
      </c>
      <c r="R253" s="37"/>
      <c r="S253" s="40" t="b">
        <f>IF(INDEX(C_InstallationDescription!$M:$M,MATCH(Q255,C_InstallationDescription!$Q:$Q,0))="",FALSE,TRUE)</f>
        <v>0</v>
      </c>
      <c r="T253" s="92" t="str">
        <f>IF(S253=TRUE,INDEX(C_InstallationDescription!$M:$M,MATCH(Q255,C_InstallationDescription!$Q:$Q,0)),"")</f>
        <v/>
      </c>
      <c r="U253" s="40" t="str">
        <f>IF(S253=TRUE,IF(ISBLANK(INDEX(C_InstallationDescription!$N:$N,MATCH(Q255,C_InstallationDescription!$Q:$Q,0))),"",INDEX(C_InstallationDescription!$N:$N,MATCH(Q255,C_InstallationDescription!$Q:$Q,0))),"")</f>
        <v/>
      </c>
      <c r="V253" s="37"/>
      <c r="W253" s="37"/>
    </row>
    <row r="254" spans="1:23" s="24" customFormat="1" ht="5.0999999999999996" customHeight="1" x14ac:dyDescent="0.2">
      <c r="A254" s="72"/>
      <c r="B254" s="8"/>
      <c r="C254" s="8"/>
      <c r="D254" s="8"/>
      <c r="E254" s="8"/>
      <c r="F254" s="8"/>
      <c r="G254" s="8"/>
      <c r="H254" s="8"/>
      <c r="I254" s="8"/>
      <c r="J254" s="8"/>
      <c r="K254" s="8"/>
      <c r="L254" s="8"/>
      <c r="M254" s="7"/>
      <c r="N254" s="7"/>
      <c r="P254" s="17"/>
      <c r="Q254" s="12"/>
      <c r="R254" s="23"/>
      <c r="S254" s="23"/>
      <c r="T254" s="23"/>
      <c r="U254" s="23"/>
      <c r="V254" s="23"/>
      <c r="W254" s="23"/>
    </row>
    <row r="255" spans="1:23" s="24" customFormat="1" ht="12.75" customHeight="1" x14ac:dyDescent="0.2">
      <c r="A255" s="72"/>
      <c r="B255" s="8"/>
      <c r="C255" s="8"/>
      <c r="D255" s="13"/>
      <c r="E255" s="924" t="str">
        <f>Translations!$B$437</f>
        <v>Source stream type:</v>
      </c>
      <c r="F255" s="924"/>
      <c r="G255" s="925"/>
      <c r="H255" s="1071" t="str">
        <f>IF(INDEX(C_InstallationDescription!$I$194:$I$204,MATCH(C253,C_InstallationDescription!$E$194:$E$204,0))&gt;0,INDEX(C_InstallationDescription!$I$194:$I$204,MATCH(C253,C_InstallationDescription!$E$194:$E$204,0)),"")</f>
        <v/>
      </c>
      <c r="I255" s="1072"/>
      <c r="J255" s="1072"/>
      <c r="K255" s="1072"/>
      <c r="L255" s="1073"/>
      <c r="P255" s="17"/>
      <c r="Q255" s="39" t="str">
        <f>EUconst_CNTR_SourceCategory&amp;C253</f>
        <v>SourceCategory_F3</v>
      </c>
      <c r="R255" s="23"/>
      <c r="S255" s="23"/>
      <c r="T255" s="23"/>
      <c r="U255" s="23"/>
      <c r="V255" s="23"/>
      <c r="W255" s="23"/>
    </row>
    <row r="256" spans="1:23" s="24" customFormat="1" outlineLevel="1" x14ac:dyDescent="0.2">
      <c r="A256" s="23"/>
      <c r="B256" s="8"/>
      <c r="C256" s="8"/>
      <c r="D256" s="11"/>
      <c r="E256" s="924" t="str">
        <f>Translations!$B$438</f>
        <v>Method applicable according to MRR:</v>
      </c>
      <c r="F256" s="924"/>
      <c r="G256" s="925"/>
      <c r="H256" s="1062" t="str">
        <f>IF(H255="","",INDEX(EUwideConstants!F:F,MATCH(H255,EUwideConstants!Q:Q,0)))</f>
        <v/>
      </c>
      <c r="I256" s="1062"/>
      <c r="J256" s="1062"/>
      <c r="K256" s="1062"/>
      <c r="L256" s="1062"/>
      <c r="M256" s="2"/>
      <c r="N256" s="2"/>
      <c r="P256" s="17"/>
      <c r="Q256" s="12"/>
      <c r="R256" s="23"/>
      <c r="S256" s="23"/>
      <c r="T256" s="23"/>
      <c r="U256" s="23"/>
      <c r="V256" s="23"/>
      <c r="W256" s="23"/>
    </row>
    <row r="257" spans="1:23" s="24" customFormat="1" outlineLevel="1" x14ac:dyDescent="0.2">
      <c r="A257" s="23"/>
      <c r="D257" s="38"/>
      <c r="E257" s="924" t="str">
        <f>Translations!$B$439</f>
        <v>Parameter to which uncertainty applies:</v>
      </c>
      <c r="F257" s="924"/>
      <c r="G257" s="925"/>
      <c r="H257" s="1062" t="str">
        <f>IF(H255="","",INDEX(EUwideConstants!E:E,MATCH(H255,EUwideConstants!Q:Q,0)))</f>
        <v/>
      </c>
      <c r="I257" s="1062"/>
      <c r="J257" s="1062"/>
      <c r="K257" s="1062"/>
      <c r="L257" s="1062"/>
      <c r="P257" s="17"/>
      <c r="Q257" s="12"/>
      <c r="R257" s="23"/>
      <c r="S257" s="23"/>
      <c r="T257" s="23"/>
      <c r="U257" s="23"/>
      <c r="V257" s="23"/>
      <c r="W257" s="23"/>
    </row>
    <row r="258" spans="1:23" s="24" customFormat="1" ht="5.0999999999999996" customHeight="1" outlineLevel="1" x14ac:dyDescent="0.2">
      <c r="A258" s="23"/>
      <c r="P258" s="29"/>
      <c r="Q258" s="23"/>
      <c r="R258" s="23"/>
      <c r="S258" s="23"/>
      <c r="T258" s="23"/>
      <c r="U258" s="23"/>
      <c r="V258" s="23"/>
      <c r="W258" s="23"/>
    </row>
    <row r="259" spans="1:23" s="24" customFormat="1" ht="51" customHeight="1" outlineLevel="1" x14ac:dyDescent="0.2">
      <c r="A259" s="23"/>
      <c r="D259" s="13"/>
      <c r="E259" s="1063" t="str">
        <f>IF(H253="","",INDEX(EUconst_SmallEmiSouStreamMsg,MATCH(Q259,EUconst_SmallEmiSouStream,0)))</f>
        <v/>
      </c>
      <c r="F259" s="1064"/>
      <c r="G259" s="1064"/>
      <c r="H259" s="1064"/>
      <c r="I259" s="1064"/>
      <c r="J259" s="1064"/>
      <c r="K259" s="1064"/>
      <c r="L259" s="1064"/>
      <c r="M259" s="1064"/>
      <c r="N259" s="1065"/>
      <c r="P259" s="15"/>
      <c r="Q259" s="43" t="str">
        <f>IF(CNTR_SmallEmitter=TRUE,EUconst_CNTR_SmallEmitter,EUconst_CNTR_NoSmallEmitter) &amp; IF((CNTR_Category)="","C",CNTR_Category) &amp; "_" &amp; IF(M253="",1,MATCH(M253,SourceCategory,0))</f>
        <v>NoSmallEmitter_C_1</v>
      </c>
      <c r="R259" s="23"/>
      <c r="S259" s="23"/>
      <c r="T259" s="23"/>
      <c r="U259" s="23"/>
      <c r="V259" s="23"/>
      <c r="W259" s="23"/>
    </row>
    <row r="260" spans="1:23" s="24" customFormat="1" ht="12.75" customHeight="1" outlineLevel="1" x14ac:dyDescent="0.2">
      <c r="A260" s="23"/>
      <c r="D260" s="13"/>
      <c r="P260" s="29"/>
      <c r="Q260" s="23"/>
      <c r="R260" s="23"/>
      <c r="S260" s="23"/>
      <c r="T260" s="23"/>
      <c r="U260" s="23"/>
      <c r="V260" s="23"/>
      <c r="W260" s="23"/>
    </row>
    <row r="261" spans="1:23" s="24" customFormat="1" ht="15" customHeight="1" outlineLevel="1" x14ac:dyDescent="0.2">
      <c r="A261" s="23"/>
      <c r="D261" s="1040" t="str">
        <f>Translations!$B$454</f>
        <v>Activity Data:</v>
      </c>
      <c r="E261" s="1040"/>
      <c r="F261" s="1040"/>
      <c r="G261" s="1040"/>
      <c r="H261" s="1040"/>
      <c r="I261" s="1040"/>
      <c r="J261" s="1040"/>
      <c r="K261" s="1040"/>
      <c r="L261" s="1040"/>
      <c r="M261" s="1040"/>
      <c r="N261" s="1040"/>
      <c r="P261" s="29"/>
      <c r="Q261" s="23"/>
      <c r="R261" s="23"/>
      <c r="S261" s="23"/>
      <c r="T261" s="23"/>
      <c r="U261" s="23"/>
      <c r="V261" s="23"/>
      <c r="W261" s="23"/>
    </row>
    <row r="262" spans="1:23" s="24" customFormat="1" ht="5.0999999999999996" customHeight="1" outlineLevel="1" x14ac:dyDescent="0.2">
      <c r="A262" s="23"/>
      <c r="D262" s="13"/>
      <c r="P262" s="29"/>
      <c r="Q262" s="23"/>
      <c r="R262" s="23"/>
      <c r="S262" s="23"/>
      <c r="T262" s="23"/>
      <c r="U262" s="23"/>
      <c r="V262" s="23"/>
      <c r="W262" s="23"/>
    </row>
    <row r="263" spans="1:23" s="24" customFormat="1" outlineLevel="1" x14ac:dyDescent="0.2">
      <c r="A263" s="23"/>
      <c r="D263" s="13" t="s">
        <v>1018</v>
      </c>
      <c r="E263" s="825" t="str">
        <f>Translations!$B$455</f>
        <v>Activity data determination method:</v>
      </c>
      <c r="F263" s="825"/>
      <c r="G263" s="825"/>
      <c r="H263" s="825"/>
      <c r="I263" s="825"/>
      <c r="J263" s="825"/>
      <c r="K263" s="825"/>
      <c r="L263" s="825"/>
      <c r="M263" s="825"/>
      <c r="N263" s="825"/>
      <c r="P263" s="29"/>
      <c r="Q263" s="23"/>
      <c r="R263" s="23"/>
      <c r="S263" s="23"/>
      <c r="T263" s="23"/>
      <c r="U263" s="23"/>
      <c r="V263" s="23"/>
      <c r="W263" s="23"/>
    </row>
    <row r="264" spans="1:23" s="24" customFormat="1" ht="5.0999999999999996" customHeight="1" outlineLevel="1" x14ac:dyDescent="0.2">
      <c r="A264" s="23"/>
      <c r="D264" s="13"/>
      <c r="E264" s="14"/>
      <c r="F264" s="14"/>
      <c r="G264" s="14"/>
      <c r="H264" s="14"/>
      <c r="I264" s="14"/>
      <c r="L264" s="22"/>
      <c r="P264" s="29"/>
      <c r="Q264" s="23"/>
      <c r="R264" s="23"/>
      <c r="S264" s="23"/>
      <c r="T264" s="23"/>
      <c r="U264" s="23"/>
      <c r="V264" s="23"/>
      <c r="W264" s="23"/>
    </row>
    <row r="265" spans="1:23" s="24" customFormat="1" ht="12.75" customHeight="1" outlineLevel="1" x14ac:dyDescent="0.2">
      <c r="A265" s="23"/>
      <c r="D265" s="25" t="s">
        <v>1030</v>
      </c>
      <c r="E265" s="11" t="str">
        <f>Translations!$B$456</f>
        <v>Determination method:</v>
      </c>
      <c r="G265" s="14"/>
      <c r="H265" s="1060"/>
      <c r="I265" s="1061"/>
      <c r="P265" s="220"/>
      <c r="Q265" s="23"/>
      <c r="R265" s="23"/>
      <c r="S265" s="23"/>
      <c r="T265" s="23"/>
      <c r="U265" s="23"/>
      <c r="V265" s="23"/>
      <c r="W265" s="63" t="str">
        <f>IF(M253="","",IF(M253=INDEX(SourceCategory,3),1,IF(CNTR_InstHasCalculation=FALSE,0,2)))</f>
        <v/>
      </c>
    </row>
    <row r="266" spans="1:23" s="24" customFormat="1" ht="5.0999999999999996" customHeight="1" outlineLevel="1" x14ac:dyDescent="0.2">
      <c r="A266" s="23"/>
      <c r="D266" s="25"/>
      <c r="G266" s="14"/>
      <c r="H266" s="44"/>
      <c r="I266" s="44"/>
      <c r="P266" s="29"/>
      <c r="Q266" s="23"/>
      <c r="R266" s="23"/>
      <c r="S266" s="23"/>
      <c r="T266" s="23"/>
      <c r="U266" s="23"/>
      <c r="V266" s="23"/>
      <c r="W266" s="23"/>
    </row>
    <row r="267" spans="1:23" s="24" customFormat="1" ht="12.75" customHeight="1" outlineLevel="1" x14ac:dyDescent="0.2">
      <c r="A267" s="23"/>
      <c r="E267" s="46"/>
      <c r="F267" s="1049" t="str">
        <f>Translations!$B$459</f>
        <v>Reference to procedure used for determining stock piles at end of year:</v>
      </c>
      <c r="G267" s="1049"/>
      <c r="H267" s="1049"/>
      <c r="I267" s="1049"/>
      <c r="J267" s="1050"/>
      <c r="K267" s="1060"/>
      <c r="L267" s="1061"/>
      <c r="P267" s="29"/>
      <c r="Q267" s="23"/>
      <c r="R267" s="23"/>
      <c r="S267" s="23"/>
      <c r="T267" s="23"/>
      <c r="U267" s="29"/>
      <c r="V267" s="32" t="b">
        <f>IF(OR(H253="",ISBLANK(H265)),FALSE,IF(MATCH(H265,EUconst_ActivityDeterminationMethod,0)=2,TRUE,FALSE))</f>
        <v>0</v>
      </c>
      <c r="W267" s="63" t="str">
        <f>IF(V267=TRUE,0,W265)</f>
        <v/>
      </c>
    </row>
    <row r="268" spans="1:23" s="24" customFormat="1" ht="5.0999999999999996" customHeight="1" outlineLevel="1" x14ac:dyDescent="0.2">
      <c r="A268" s="23"/>
      <c r="P268" s="29"/>
      <c r="Q268" s="23"/>
      <c r="R268" s="23"/>
      <c r="S268" s="23"/>
      <c r="T268" s="23"/>
      <c r="U268" s="23"/>
      <c r="V268" s="23"/>
      <c r="W268" s="23"/>
    </row>
    <row r="269" spans="1:23" s="24" customFormat="1" ht="12.75" customHeight="1" outlineLevel="1" x14ac:dyDescent="0.2">
      <c r="A269" s="23"/>
      <c r="D269" s="46" t="s">
        <v>1031</v>
      </c>
      <c r="E269" s="11" t="str">
        <f>Translations!$B$462</f>
        <v>Instrument under control of:</v>
      </c>
      <c r="G269" s="14"/>
      <c r="H269" s="1060"/>
      <c r="I269" s="1061"/>
      <c r="J269" s="25"/>
      <c r="P269" s="29"/>
      <c r="Q269" s="23"/>
      <c r="R269" s="23"/>
      <c r="S269" s="23"/>
      <c r="T269" s="23"/>
      <c r="U269" s="23"/>
      <c r="V269" s="23"/>
      <c r="W269" s="63" t="str">
        <f>W265</f>
        <v/>
      </c>
    </row>
    <row r="270" spans="1:23" s="24" customFormat="1" ht="5.0999999999999996" customHeight="1" outlineLevel="1" x14ac:dyDescent="0.2">
      <c r="A270" s="23"/>
      <c r="D270" s="25"/>
      <c r="G270" s="14"/>
      <c r="H270" s="44"/>
      <c r="I270" s="44"/>
      <c r="J270" s="25"/>
      <c r="P270" s="29"/>
      <c r="Q270" s="23"/>
      <c r="R270" s="23"/>
      <c r="S270" s="23"/>
      <c r="T270" s="23"/>
      <c r="U270" s="23"/>
      <c r="V270" s="23"/>
      <c r="W270" s="23"/>
    </row>
    <row r="271" spans="1:23" s="24" customFormat="1" ht="12.75" customHeight="1" outlineLevel="1" x14ac:dyDescent="0.2">
      <c r="A271" s="23"/>
      <c r="D271" s="25"/>
      <c r="E271" s="46" t="s">
        <v>1296</v>
      </c>
      <c r="F271" s="767" t="str">
        <f>Translations!$B$465</f>
        <v>Please confirm that the conditions of Article 29(1) are satisfied:</v>
      </c>
      <c r="G271" s="732"/>
      <c r="H271" s="732"/>
      <c r="I271" s="732"/>
      <c r="J271" s="732"/>
      <c r="K271" s="732"/>
      <c r="L271" s="192"/>
      <c r="P271" s="29"/>
      <c r="Q271" s="23"/>
      <c r="R271" s="23"/>
      <c r="S271" s="23"/>
      <c r="T271" s="23"/>
      <c r="U271" s="23"/>
      <c r="V271" s="32" t="b">
        <f>IF(OR(H253="",ISBLANK(H269)),FALSE,IF(MATCH(H269,EUconst_OwnerInstrument,0)=1,TRUE,FALSE))</f>
        <v>0</v>
      </c>
      <c r="W271" s="63" t="str">
        <f>IF(V271=TRUE,0,W265)</f>
        <v/>
      </c>
    </row>
    <row r="272" spans="1:23" s="24" customFormat="1" ht="5.0999999999999996" customHeight="1" outlineLevel="1" x14ac:dyDescent="0.2">
      <c r="A272" s="23"/>
      <c r="D272" s="25"/>
      <c r="E272" s="25"/>
      <c r="G272" s="14"/>
      <c r="N272" s="44"/>
      <c r="P272" s="29"/>
      <c r="Q272" s="23"/>
      <c r="R272" s="23"/>
      <c r="S272" s="23"/>
      <c r="T272" s="23"/>
      <c r="U272" s="23"/>
      <c r="V272" s="16"/>
      <c r="W272" s="23"/>
    </row>
    <row r="273" spans="1:23" s="24" customFormat="1" ht="12.75" customHeight="1" outlineLevel="1" x14ac:dyDescent="0.2">
      <c r="A273" s="23"/>
      <c r="D273" s="25"/>
      <c r="E273" s="46" t="s">
        <v>1297</v>
      </c>
      <c r="F273" s="1049" t="str">
        <f>Translations!$B$468</f>
        <v>Do you use invoices for determining the amount of this fuel or material?</v>
      </c>
      <c r="G273" s="1049"/>
      <c r="H273" s="1049"/>
      <c r="I273" s="1049"/>
      <c r="J273" s="1049"/>
      <c r="K273" s="1050"/>
      <c r="L273" s="192"/>
      <c r="P273" s="29"/>
      <c r="Q273" s="23"/>
      <c r="R273" s="23"/>
      <c r="S273" s="23"/>
      <c r="T273" s="23"/>
      <c r="U273" s="23"/>
      <c r="V273" s="32" t="b">
        <f>IF(OR(H253="",ISBLANK(H269)),FALSE,IF(MATCH(H269,EUconst_OwnerInstrument,0)=1,TRUE,FALSE))</f>
        <v>0</v>
      </c>
      <c r="W273" s="63" t="str">
        <f>IF(V273=TRUE,0,W265)</f>
        <v/>
      </c>
    </row>
    <row r="274" spans="1:23" s="24" customFormat="1" ht="5.0999999999999996" customHeight="1" outlineLevel="1" x14ac:dyDescent="0.2">
      <c r="A274" s="23"/>
      <c r="D274" s="25"/>
      <c r="E274" s="25"/>
      <c r="G274" s="14"/>
      <c r="J274" s="25"/>
      <c r="L274" s="45"/>
      <c r="P274" s="29"/>
      <c r="Q274" s="23"/>
      <c r="R274" s="23"/>
      <c r="S274" s="23"/>
      <c r="T274" s="23"/>
      <c r="U274" s="23"/>
      <c r="V274" s="23"/>
      <c r="W274" s="23"/>
    </row>
    <row r="275" spans="1:23" s="24" customFormat="1" ht="12.75" customHeight="1" outlineLevel="1" x14ac:dyDescent="0.2">
      <c r="A275" s="23"/>
      <c r="D275" s="25"/>
      <c r="E275" s="46" t="s">
        <v>1298</v>
      </c>
      <c r="F275" s="1049" t="str">
        <f>Translations!$B$469</f>
        <v>Please confirm that the trade partner and the operator are independent:</v>
      </c>
      <c r="G275" s="1049"/>
      <c r="H275" s="1049"/>
      <c r="I275" s="1049"/>
      <c r="J275" s="1049"/>
      <c r="K275" s="1050"/>
      <c r="L275" s="192"/>
      <c r="P275" s="29"/>
      <c r="Q275" s="23"/>
      <c r="R275" s="23"/>
      <c r="S275" s="23"/>
      <c r="T275" s="23"/>
      <c r="U275" s="23"/>
      <c r="V275" s="32" t="b">
        <f>IF(OR(H253="",ISBLANK(H269)),FALSE,IF(MATCH(H269,EUconst_OwnerInstrument,0)=1,TRUE,FALSE))</f>
        <v>0</v>
      </c>
      <c r="W275" s="63" t="str">
        <f>IF(V275=TRUE,0,W265)</f>
        <v/>
      </c>
    </row>
    <row r="276" spans="1:23" s="24" customFormat="1" outlineLevel="1" x14ac:dyDescent="0.2">
      <c r="A276" s="23"/>
      <c r="P276" s="29"/>
      <c r="Q276" s="23"/>
      <c r="R276" s="23"/>
      <c r="S276" s="23"/>
      <c r="T276" s="23"/>
      <c r="U276" s="23"/>
      <c r="V276" s="23"/>
      <c r="W276" s="23"/>
    </row>
    <row r="277" spans="1:23" s="24" customFormat="1" ht="12.75" customHeight="1" outlineLevel="1" x14ac:dyDescent="0.2">
      <c r="A277" s="23"/>
      <c r="D277" s="13" t="s">
        <v>1020</v>
      </c>
      <c r="E277" s="14" t="str">
        <f>Translations!$B$472</f>
        <v>Measurement instruments used:</v>
      </c>
      <c r="H277" s="215"/>
      <c r="I277" s="215"/>
      <c r="J277" s="215"/>
      <c r="K277" s="215"/>
      <c r="L277" s="215"/>
      <c r="P277" s="15"/>
      <c r="Q277" s="23"/>
      <c r="R277" s="23"/>
      <c r="S277" s="23"/>
      <c r="T277" s="23"/>
      <c r="U277" s="23"/>
      <c r="V277" s="23"/>
      <c r="W277" s="23"/>
    </row>
    <row r="278" spans="1:23" s="24" customFormat="1" ht="5.0999999999999996" customHeight="1" outlineLevel="1" x14ac:dyDescent="0.2">
      <c r="A278" s="23"/>
      <c r="D278" s="13"/>
      <c r="E278" s="14"/>
      <c r="P278" s="15"/>
      <c r="Q278" s="23"/>
      <c r="R278" s="23"/>
      <c r="S278" s="23"/>
      <c r="T278" s="23"/>
      <c r="U278" s="23"/>
      <c r="V278" s="23"/>
      <c r="W278" s="23"/>
    </row>
    <row r="279" spans="1:23" s="24" customFormat="1" outlineLevel="1" x14ac:dyDescent="0.2">
      <c r="A279" s="23"/>
      <c r="D279" s="13"/>
      <c r="E279" s="24" t="str">
        <f>Translations!$B$475</f>
        <v>Comment / Description of approach, if several instruments used:</v>
      </c>
      <c r="I279" s="11"/>
      <c r="P279" s="29"/>
      <c r="Q279" s="23"/>
      <c r="R279" s="23"/>
      <c r="S279" s="23"/>
      <c r="T279" s="23"/>
      <c r="U279" s="23"/>
      <c r="V279" s="23"/>
      <c r="W279" s="23"/>
    </row>
    <row r="280" spans="1:23" s="24" customFormat="1" ht="12.75" customHeight="1" outlineLevel="1" x14ac:dyDescent="0.2">
      <c r="A280" s="23"/>
      <c r="D280" s="13"/>
      <c r="E280" s="1051"/>
      <c r="F280" s="1052"/>
      <c r="G280" s="1052"/>
      <c r="H280" s="1052"/>
      <c r="I280" s="1052"/>
      <c r="J280" s="1052"/>
      <c r="K280" s="1052"/>
      <c r="L280" s="1052"/>
      <c r="M280" s="1052"/>
      <c r="N280" s="1053"/>
      <c r="P280" s="29"/>
      <c r="Q280" s="23"/>
      <c r="R280" s="23"/>
      <c r="S280" s="23"/>
      <c r="T280" s="23"/>
      <c r="U280" s="23"/>
      <c r="V280" s="23"/>
      <c r="W280" s="23"/>
    </row>
    <row r="281" spans="1:23" s="24" customFormat="1" outlineLevel="1" x14ac:dyDescent="0.2">
      <c r="A281" s="23"/>
      <c r="D281" s="13"/>
      <c r="E281" s="1054"/>
      <c r="F281" s="1055"/>
      <c r="G281" s="1055"/>
      <c r="H281" s="1055"/>
      <c r="I281" s="1055"/>
      <c r="J281" s="1055"/>
      <c r="K281" s="1055"/>
      <c r="L281" s="1055"/>
      <c r="M281" s="1055"/>
      <c r="N281" s="1056"/>
      <c r="P281" s="29"/>
      <c r="Q281" s="29"/>
      <c r="R281" s="29"/>
      <c r="S281" s="23"/>
      <c r="T281" s="23"/>
      <c r="U281" s="23"/>
      <c r="V281" s="23"/>
      <c r="W281" s="23"/>
    </row>
    <row r="282" spans="1:23" s="24" customFormat="1" outlineLevel="1" x14ac:dyDescent="0.2">
      <c r="A282" s="23"/>
      <c r="D282" s="13"/>
      <c r="E282" s="1057"/>
      <c r="F282" s="1058"/>
      <c r="G282" s="1058"/>
      <c r="H282" s="1058"/>
      <c r="I282" s="1058"/>
      <c r="J282" s="1058"/>
      <c r="K282" s="1058"/>
      <c r="L282" s="1058"/>
      <c r="M282" s="1058"/>
      <c r="N282" s="1059"/>
      <c r="P282" s="29"/>
      <c r="Q282" s="29"/>
      <c r="R282" s="29"/>
      <c r="S282" s="23"/>
      <c r="T282" s="23"/>
      <c r="U282" s="23"/>
      <c r="V282" s="23"/>
      <c r="W282" s="23"/>
    </row>
    <row r="283" spans="1:23" s="24" customFormat="1" outlineLevel="1" x14ac:dyDescent="0.2">
      <c r="A283" s="23"/>
      <c r="D283" s="13"/>
      <c r="P283" s="29"/>
      <c r="Q283" s="29"/>
      <c r="R283" s="29"/>
      <c r="S283" s="23"/>
      <c r="T283" s="23"/>
      <c r="U283" s="23"/>
      <c r="V283" s="23"/>
      <c r="W283" s="23"/>
    </row>
    <row r="284" spans="1:23" s="24" customFormat="1" ht="12.75" customHeight="1" outlineLevel="1" x14ac:dyDescent="0.2">
      <c r="A284" s="23"/>
      <c r="D284" s="13" t="s">
        <v>554</v>
      </c>
      <c r="E284" s="14" t="str">
        <f>Translations!$B$477</f>
        <v>Activity data tier level required:</v>
      </c>
      <c r="H284" s="30" t="str">
        <f>IF(H255="","",IF(CNTR_Category="A",INDEX(EUwideConstants!$G:$G,MATCH(Q284,EUwideConstants!$S:$S,0)),INDEX(EUwideConstants!$P:$P,MATCH(Q284,EUwideConstants!$S:$S,0))))</f>
        <v/>
      </c>
      <c r="I284" s="26" t="str">
        <f>IF(H284="","",IF(S284=0,EUconst_NA,IF(ISERROR(S284),"",EUconst_MsgTierActivityLevel &amp; " " &amp;S284)))</f>
        <v/>
      </c>
      <c r="J284" s="27"/>
      <c r="K284" s="27"/>
      <c r="L284" s="27"/>
      <c r="M284" s="27"/>
      <c r="N284" s="28"/>
      <c r="P284" s="29"/>
      <c r="Q284" s="92" t="str">
        <f>EUconst_CNTR_ActivityData&amp;H255</f>
        <v>ActivityData_</v>
      </c>
      <c r="R284" s="29"/>
      <c r="S284" s="32" t="str">
        <f>IF(H284="","",IF(H284=EUconst_NA,"",INDEX(EUwideConstants!$H:$O,MATCH(Q284,EUwideConstants!$S:$S,0),MATCH(H284,CNTR_TierList,0))))</f>
        <v/>
      </c>
      <c r="T284" s="23"/>
      <c r="U284" s="23"/>
      <c r="V284" s="23"/>
      <c r="W284" s="23"/>
    </row>
    <row r="285" spans="1:23" s="24" customFormat="1" ht="12.75" customHeight="1" outlineLevel="1" x14ac:dyDescent="0.2">
      <c r="A285" s="23"/>
      <c r="D285" s="13" t="s">
        <v>1022</v>
      </c>
      <c r="E285" s="14" t="str">
        <f>Translations!$B$478</f>
        <v>Activity data tier used:</v>
      </c>
      <c r="H285" s="192"/>
      <c r="I285" s="26" t="str">
        <f>IF(OR(ISBLANK(H285),H285=EUconst_NoTier),"",IF(S285=0,EUconst_NA,IF(ISERROR(S285),"",EUconst_MsgTierActivityLevel &amp; " " &amp;S285)))</f>
        <v/>
      </c>
      <c r="J285" s="27"/>
      <c r="K285" s="27"/>
      <c r="L285" s="27"/>
      <c r="M285" s="27"/>
      <c r="N285" s="28"/>
      <c r="P285" s="29"/>
      <c r="Q285" s="92" t="str">
        <f>EUconst_CNTR_ActivityData&amp;H255</f>
        <v>ActivityData_</v>
      </c>
      <c r="R285" s="29"/>
      <c r="S285" s="32" t="str">
        <f>IF(ISBLANK(H285),"",IF(H285=EUconst_NA,"",INDEX(EUwideConstants!$H:$O,MATCH(Q285,EUwideConstants!$S:$S,0),MATCH(H285,CNTR_TierList,0))))</f>
        <v/>
      </c>
      <c r="T285" s="23"/>
      <c r="U285" s="23"/>
      <c r="V285" s="23"/>
      <c r="W285" s="23"/>
    </row>
    <row r="286" spans="1:23" s="24" customFormat="1" ht="12.75" customHeight="1" outlineLevel="1" x14ac:dyDescent="0.2">
      <c r="A286" s="23"/>
      <c r="D286" s="13" t="s">
        <v>1023</v>
      </c>
      <c r="E286" s="14" t="str">
        <f>Translations!$B$479</f>
        <v>Uncertainty achieved:</v>
      </c>
      <c r="H286" s="229"/>
      <c r="I286" s="14" t="str">
        <f>Translations!$B$480</f>
        <v>Comment:</v>
      </c>
      <c r="J286" s="193"/>
      <c r="K286" s="194"/>
      <c r="L286" s="194"/>
      <c r="M286" s="194"/>
      <c r="N286" s="195"/>
      <c r="P286" s="29"/>
      <c r="Q286" s="29"/>
      <c r="R286" s="29"/>
      <c r="S286" s="23"/>
      <c r="T286" s="23"/>
      <c r="U286" s="23"/>
      <c r="V286" s="23"/>
      <c r="W286" s="23"/>
    </row>
    <row r="287" spans="1:23" s="24" customFormat="1" ht="5.0999999999999996" customHeight="1" outlineLevel="1" x14ac:dyDescent="0.2">
      <c r="A287" s="23"/>
      <c r="D287" s="13"/>
      <c r="E287" s="67"/>
      <c r="F287" s="67"/>
      <c r="G287" s="67"/>
      <c r="H287" s="67"/>
      <c r="I287" s="67"/>
      <c r="J287" s="67"/>
      <c r="K287" s="67"/>
      <c r="L287" s="67"/>
      <c r="M287" s="67"/>
      <c r="N287" s="67"/>
      <c r="P287" s="29"/>
      <c r="Q287" s="29"/>
      <c r="R287" s="29"/>
      <c r="S287" s="23"/>
      <c r="T287" s="23"/>
      <c r="U287" s="23"/>
      <c r="V287" s="23"/>
      <c r="W287" s="23"/>
    </row>
    <row r="288" spans="1:23" s="24" customFormat="1" ht="15" customHeight="1" outlineLevel="1" x14ac:dyDescent="0.2">
      <c r="A288" s="23"/>
      <c r="D288" s="1040" t="str">
        <f>Translations!$B$490</f>
        <v>Calculation factors:</v>
      </c>
      <c r="E288" s="1040"/>
      <c r="F288" s="1040"/>
      <c r="G288" s="1040"/>
      <c r="H288" s="1040"/>
      <c r="I288" s="1040"/>
      <c r="J288" s="1040"/>
      <c r="K288" s="1040"/>
      <c r="L288" s="1040"/>
      <c r="M288" s="1040"/>
      <c r="N288" s="1040"/>
      <c r="P288" s="29"/>
      <c r="Q288" s="29"/>
      <c r="R288" s="29"/>
      <c r="S288" s="29"/>
      <c r="T288" s="6"/>
      <c r="U288" s="23"/>
      <c r="V288" s="23"/>
      <c r="W288" s="23"/>
    </row>
    <row r="289" spans="1:23" s="24" customFormat="1" ht="5.0999999999999996" customHeight="1" outlineLevel="1" x14ac:dyDescent="0.2">
      <c r="A289" s="23"/>
      <c r="D289" s="13"/>
      <c r="E289" s="14"/>
      <c r="P289" s="29"/>
      <c r="Q289" s="29"/>
      <c r="R289" s="29"/>
      <c r="S289" s="29"/>
      <c r="T289" s="6"/>
      <c r="U289" s="23"/>
      <c r="V289" s="23"/>
      <c r="W289" s="23"/>
    </row>
    <row r="290" spans="1:23" s="24" customFormat="1" ht="12.75" customHeight="1" outlineLevel="1" x14ac:dyDescent="0.2">
      <c r="A290" s="23"/>
      <c r="D290" s="13" t="s">
        <v>1019</v>
      </c>
      <c r="E290" s="14" t="str">
        <f>Translations!$B$515</f>
        <v>Applied tiers for calculation factors:</v>
      </c>
      <c r="P290" s="29"/>
      <c r="Q290" s="29"/>
      <c r="R290" s="29"/>
      <c r="S290" s="29"/>
      <c r="T290" s="23"/>
      <c r="U290" s="23"/>
      <c r="V290" s="23"/>
      <c r="W290" s="23"/>
    </row>
    <row r="291" spans="1:23" s="24" customFormat="1" ht="5.0999999999999996" customHeight="1" outlineLevel="1" x14ac:dyDescent="0.2">
      <c r="A291" s="23"/>
      <c r="D291" s="13"/>
      <c r="E291" s="14"/>
      <c r="P291" s="29"/>
      <c r="Q291" s="29"/>
      <c r="R291" s="29"/>
      <c r="S291" s="29"/>
      <c r="T291" s="23"/>
      <c r="U291" s="23"/>
      <c r="V291" s="23"/>
      <c r="W291" s="23"/>
    </row>
    <row r="292" spans="1:23" s="24" customFormat="1" ht="25.5" customHeight="1" outlineLevel="1" x14ac:dyDescent="0.2">
      <c r="A292" s="23"/>
      <c r="E292" s="1044" t="str">
        <f>Translations!$B$516</f>
        <v>calculation factor</v>
      </c>
      <c r="F292" s="1044"/>
      <c r="G292" s="1044"/>
      <c r="H292" s="50" t="str">
        <f>Translations!$B$517</f>
        <v>required tier</v>
      </c>
      <c r="I292" s="50" t="str">
        <f>Translations!$B$518</f>
        <v>applied tier</v>
      </c>
      <c r="J292" s="1046" t="str">
        <f>Translations!$B$519</f>
        <v>full text for applied tier</v>
      </c>
      <c r="K292" s="1047"/>
      <c r="L292" s="1047"/>
      <c r="M292" s="1047"/>
      <c r="N292" s="1048"/>
      <c r="P292" s="29"/>
      <c r="Q292" s="29"/>
      <c r="R292" s="29"/>
      <c r="S292" s="15" t="s">
        <v>1038</v>
      </c>
      <c r="T292" s="23"/>
      <c r="U292" s="23"/>
      <c r="V292" s="23"/>
      <c r="W292" s="52" t="s">
        <v>1295</v>
      </c>
    </row>
    <row r="293" spans="1:23" s="24" customFormat="1" ht="12.75" customHeight="1" outlineLevel="1" x14ac:dyDescent="0.2">
      <c r="A293" s="23"/>
      <c r="D293" s="25" t="s">
        <v>1030</v>
      </c>
      <c r="E293" s="1039" t="str">
        <f>Translations!$B$520</f>
        <v>Net calorific value (NCV)</v>
      </c>
      <c r="F293" s="1039"/>
      <c r="G293" s="1039"/>
      <c r="H293" s="30" t="str">
        <f>IF(H255="","",IF(CNTR_Category="A",INDEX(EUwideConstants!$G:$G,MATCH(Q293,EUwideConstants!$S:$S,0)),INDEX(EUwideConstants!$P:$P,MATCH(Q293,EUwideConstants!$S:$S,0))))</f>
        <v/>
      </c>
      <c r="I293" s="192"/>
      <c r="J293" s="1041" t="str">
        <f t="shared" ref="J293:J298" si="14">IF(OR(ISBLANK(I293),I293=EUconst_NoTier),"",IF(S293=0,EUconst_NotApplicable,IF(ISERROR(S293),"",S293)))</f>
        <v/>
      </c>
      <c r="K293" s="1042"/>
      <c r="L293" s="1042"/>
      <c r="M293" s="1042"/>
      <c r="N293" s="1043"/>
      <c r="P293" s="29"/>
      <c r="Q293" s="92" t="str">
        <f>EUconst_CNTR_NCV&amp;H255</f>
        <v>NCV_</v>
      </c>
      <c r="R293" s="29"/>
      <c r="S293" s="31" t="str">
        <f>IF(ISBLANK(I293),"",IF(I293=EUconst_NA,"",INDEX(EUwideConstants!$H:$O,MATCH(Q293,EUwideConstants!$S:$S,0),MATCH(I293,CNTR_TierList,0))))</f>
        <v/>
      </c>
      <c r="T293" s="23"/>
      <c r="U293" s="23"/>
      <c r="V293" s="23"/>
      <c r="W293" s="32" t="b">
        <f t="shared" ref="W293:W298" si="15">(H293=EUconst_NA)</f>
        <v>0</v>
      </c>
    </row>
    <row r="294" spans="1:23" s="24" customFormat="1" ht="12.75" customHeight="1" outlineLevel="1" x14ac:dyDescent="0.2">
      <c r="A294" s="23"/>
      <c r="D294" s="25" t="s">
        <v>1031</v>
      </c>
      <c r="E294" s="1039" t="str">
        <f>Translations!$B$521</f>
        <v>Emission factor (preliminary)</v>
      </c>
      <c r="F294" s="1039"/>
      <c r="G294" s="1039"/>
      <c r="H294" s="30" t="str">
        <f>IF(H255="","",IF(CNTR_Category="A",INDEX(EUwideConstants!$G:$G,MATCH(Q294,EUwideConstants!$S:$S,0)),INDEX(EUwideConstants!$P:$P,MATCH(Q294,EUwideConstants!$S:$S,0))))</f>
        <v/>
      </c>
      <c r="I294" s="192"/>
      <c r="J294" s="1041" t="str">
        <f t="shared" si="14"/>
        <v/>
      </c>
      <c r="K294" s="1042"/>
      <c r="L294" s="1042"/>
      <c r="M294" s="1042"/>
      <c r="N294" s="1043"/>
      <c r="P294" s="29"/>
      <c r="Q294" s="92" t="str">
        <f>EUconst_CNTR_EF&amp;H255</f>
        <v>EF_</v>
      </c>
      <c r="R294" s="29"/>
      <c r="S294" s="31" t="str">
        <f>IF(ISBLANK(I294),"",IF(I294=EUconst_NA,"",INDEX(EUwideConstants!$H:$O,MATCH(Q294,EUwideConstants!$S:$S,0),MATCH(I294,CNTR_TierList,0))))</f>
        <v/>
      </c>
      <c r="T294" s="23"/>
      <c r="U294" s="23"/>
      <c r="V294" s="23"/>
      <c r="W294" s="32" t="b">
        <f t="shared" si="15"/>
        <v>0</v>
      </c>
    </row>
    <row r="295" spans="1:23" s="24" customFormat="1" ht="12.75" customHeight="1" outlineLevel="1" x14ac:dyDescent="0.2">
      <c r="A295" s="23"/>
      <c r="D295" s="25" t="s">
        <v>1468</v>
      </c>
      <c r="E295" s="1039" t="str">
        <f>Translations!$B$522</f>
        <v>Oxidation factor</v>
      </c>
      <c r="F295" s="1039"/>
      <c r="G295" s="1039"/>
      <c r="H295" s="30" t="str">
        <f>IF(H255="","",IF(CNTR_Category="A",INDEX(EUwideConstants!$G:$G,MATCH(Q295,EUwideConstants!$S:$S,0)),INDEX(EUwideConstants!$P:$P,MATCH(Q295,EUwideConstants!$S:$S,0))))</f>
        <v/>
      </c>
      <c r="I295" s="192"/>
      <c r="J295" s="1041" t="str">
        <f t="shared" si="14"/>
        <v/>
      </c>
      <c r="K295" s="1042"/>
      <c r="L295" s="1042"/>
      <c r="M295" s="1042"/>
      <c r="N295" s="1043"/>
      <c r="P295" s="29"/>
      <c r="Q295" s="92" t="str">
        <f>EUconst_CNTR_OxidationFactor&amp;H255</f>
        <v>OxF_</v>
      </c>
      <c r="R295" s="29"/>
      <c r="S295" s="31" t="str">
        <f>IF(ISBLANK(I295),"",IF(I295=EUconst_NA,"",INDEX(EUwideConstants!$H:$O,MATCH(Q295,EUwideConstants!$S:$S,0),MATCH(I295,CNTR_TierList,0))))</f>
        <v/>
      </c>
      <c r="T295" s="23"/>
      <c r="U295" s="23"/>
      <c r="V295" s="23"/>
      <c r="W295" s="32" t="b">
        <f t="shared" si="15"/>
        <v>0</v>
      </c>
    </row>
    <row r="296" spans="1:23" s="24" customFormat="1" ht="12.75" customHeight="1" outlineLevel="1" x14ac:dyDescent="0.2">
      <c r="A296" s="23"/>
      <c r="D296" s="25" t="s">
        <v>1469</v>
      </c>
      <c r="E296" s="1039" t="str">
        <f>Translations!$B$523</f>
        <v>Conversion factor</v>
      </c>
      <c r="F296" s="1039"/>
      <c r="G296" s="1039"/>
      <c r="H296" s="30" t="str">
        <f>IF(H255="","",IF(CNTR_Category="A",INDEX(EUwideConstants!$G:$G,MATCH(Q296,EUwideConstants!$S:$S,0)),INDEX(EUwideConstants!$P:$P,MATCH(Q296,EUwideConstants!$S:$S,0))))</f>
        <v/>
      </c>
      <c r="I296" s="192"/>
      <c r="J296" s="1041" t="str">
        <f t="shared" si="14"/>
        <v/>
      </c>
      <c r="K296" s="1042"/>
      <c r="L296" s="1042"/>
      <c r="M296" s="1042"/>
      <c r="N296" s="1043"/>
      <c r="P296" s="29"/>
      <c r="Q296" s="92" t="str">
        <f>EUconst_CNTR_ConversionFactor&amp;H255</f>
        <v>ConvF_</v>
      </c>
      <c r="R296" s="29"/>
      <c r="S296" s="31" t="str">
        <f>IF(ISBLANK(I296),"",IF(I296=EUconst_NA,"",INDEX(EUwideConstants!$H:$O,MATCH(Q296,EUwideConstants!$S:$S,0),MATCH(I296,CNTR_TierList,0))))</f>
        <v/>
      </c>
      <c r="T296" s="23"/>
      <c r="U296" s="23"/>
      <c r="V296" s="23"/>
      <c r="W296" s="32" t="b">
        <f t="shared" si="15"/>
        <v>0</v>
      </c>
    </row>
    <row r="297" spans="1:23" s="24" customFormat="1" ht="12.75" customHeight="1" outlineLevel="1" x14ac:dyDescent="0.2">
      <c r="A297" s="23"/>
      <c r="D297" s="25" t="s">
        <v>1470</v>
      </c>
      <c r="E297" s="1039" t="str">
        <f>Translations!$B$524</f>
        <v>Carbon content</v>
      </c>
      <c r="F297" s="1039"/>
      <c r="G297" s="1039"/>
      <c r="H297" s="30" t="str">
        <f>IF(H255="","",IF(CNTR_Category="A",INDEX(EUwideConstants!$G:$G,MATCH(Q297,EUwideConstants!$S:$S,0)),INDEX(EUwideConstants!$P:$P,MATCH(Q297,EUwideConstants!$S:$S,0))))</f>
        <v/>
      </c>
      <c r="I297" s="192"/>
      <c r="J297" s="1041" t="str">
        <f t="shared" si="14"/>
        <v/>
      </c>
      <c r="K297" s="1042"/>
      <c r="L297" s="1042"/>
      <c r="M297" s="1042"/>
      <c r="N297" s="1043"/>
      <c r="P297" s="209"/>
      <c r="Q297" s="92" t="str">
        <f>EUconst_CNTR_CarbonContent&amp;H255</f>
        <v>CarbC_</v>
      </c>
      <c r="R297" s="29"/>
      <c r="S297" s="31" t="str">
        <f>IF(ISBLANK(I297),"",IF(I297=EUconst_NA,"",INDEX(EUwideConstants!$H:$O,MATCH(Q297,EUwideConstants!$S:$S,0),MATCH(I297,CNTR_TierList,0))))</f>
        <v/>
      </c>
      <c r="T297" s="23"/>
      <c r="U297" s="23"/>
      <c r="V297" s="23"/>
      <c r="W297" s="32" t="b">
        <f t="shared" si="15"/>
        <v>0</v>
      </c>
    </row>
    <row r="298" spans="1:23" s="24" customFormat="1" ht="12.75" customHeight="1" outlineLevel="1" x14ac:dyDescent="0.2">
      <c r="A298" s="23"/>
      <c r="D298" s="25" t="s">
        <v>1471</v>
      </c>
      <c r="E298" s="1039" t="str">
        <f>Translations!$B$525</f>
        <v>Biomass fraction (if applicable)</v>
      </c>
      <c r="F298" s="1039"/>
      <c r="G298" s="1039"/>
      <c r="H298" s="30" t="str">
        <f>IF(H255="","",IF(CNTR_Category="A",INDEX(EUwideConstants!$G:$G,MATCH(Q298,EUwideConstants!$S:$S,0)),INDEX(EUwideConstants!$P:$P,MATCH(Q298,EUwideConstants!$S:$S,0))))</f>
        <v/>
      </c>
      <c r="I298" s="192"/>
      <c r="J298" s="1041" t="str">
        <f t="shared" si="14"/>
        <v/>
      </c>
      <c r="K298" s="1042"/>
      <c r="L298" s="1042"/>
      <c r="M298" s="1042"/>
      <c r="N298" s="1043"/>
      <c r="P298" s="29"/>
      <c r="Q298" s="92" t="str">
        <f>EUconst_CNTR_BiomassContent&amp;H255</f>
        <v>BioC_</v>
      </c>
      <c r="R298" s="29"/>
      <c r="S298" s="31" t="str">
        <f>IF(ISBLANK(I298),"",IF(I298=EUconst_NA,"",INDEX(EUwideConstants!$H:$O,MATCH(Q298,EUwideConstants!$S:$S,0),MATCH(I298,CNTR_TierList,0))))</f>
        <v/>
      </c>
      <c r="T298" s="23"/>
      <c r="U298" s="23"/>
      <c r="V298" s="23"/>
      <c r="W298" s="32" t="b">
        <f t="shared" si="15"/>
        <v>0</v>
      </c>
    </row>
    <row r="299" spans="1:23" s="24" customFormat="1" outlineLevel="1" x14ac:dyDescent="0.2">
      <c r="A299" s="23"/>
      <c r="D299" s="13"/>
      <c r="E299" s="67"/>
      <c r="F299" s="67"/>
      <c r="G299" s="67"/>
      <c r="H299" s="67"/>
      <c r="I299" s="67"/>
      <c r="J299" s="67"/>
      <c r="K299" s="67"/>
      <c r="L299" s="67"/>
      <c r="M299" s="67"/>
      <c r="N299" s="67"/>
      <c r="P299" s="29"/>
      <c r="Q299" s="23"/>
      <c r="R299" s="23"/>
      <c r="S299" s="23"/>
      <c r="T299" s="23"/>
      <c r="U299" s="23"/>
      <c r="V299" s="23"/>
      <c r="W299" s="23"/>
    </row>
    <row r="300" spans="1:23" s="24" customFormat="1" outlineLevel="1" x14ac:dyDescent="0.2">
      <c r="A300" s="23"/>
      <c r="D300" s="13" t="s">
        <v>1349</v>
      </c>
      <c r="E300" s="14" t="str">
        <f>Translations!$B$534</f>
        <v>Details for calculation factors:</v>
      </c>
      <c r="F300" s="67"/>
      <c r="G300" s="67"/>
      <c r="H300" s="67"/>
      <c r="I300" s="67"/>
      <c r="J300" s="67"/>
      <c r="K300" s="67"/>
      <c r="L300" s="67"/>
      <c r="M300" s="67"/>
      <c r="N300" s="67"/>
      <c r="P300" s="29"/>
      <c r="Q300" s="23"/>
      <c r="R300" s="23"/>
      <c r="S300" s="23"/>
      <c r="T300" s="23"/>
      <c r="U300" s="23"/>
      <c r="V300" s="23"/>
      <c r="W300" s="23"/>
    </row>
    <row r="301" spans="1:23" s="24" customFormat="1" ht="5.0999999999999996" customHeight="1" outlineLevel="1" x14ac:dyDescent="0.2">
      <c r="A301" s="23"/>
      <c r="D301" s="13"/>
      <c r="E301" s="67"/>
      <c r="F301" s="67"/>
      <c r="G301" s="67"/>
      <c r="H301" s="67"/>
      <c r="I301" s="67"/>
      <c r="J301" s="67"/>
      <c r="K301" s="67"/>
      <c r="L301" s="67"/>
      <c r="M301" s="67"/>
      <c r="N301" s="67"/>
      <c r="P301" s="29"/>
      <c r="Q301" s="23"/>
      <c r="R301" s="23"/>
      <c r="S301" s="23"/>
      <c r="T301" s="23"/>
      <c r="U301" s="23"/>
      <c r="V301" s="23"/>
      <c r="W301" s="23"/>
    </row>
    <row r="302" spans="1:23" s="24" customFormat="1" ht="25.5" customHeight="1" outlineLevel="1" x14ac:dyDescent="0.2">
      <c r="A302" s="23"/>
      <c r="E302" s="1044" t="str">
        <f t="shared" ref="E302:E308" si="16">E292</f>
        <v>calculation factor</v>
      </c>
      <c r="F302" s="1044"/>
      <c r="G302" s="1044"/>
      <c r="H302" s="50" t="str">
        <f>I292</f>
        <v>applied tier</v>
      </c>
      <c r="I302" s="51" t="str">
        <f>Translations!$B$535</f>
        <v>default value</v>
      </c>
      <c r="J302" s="51" t="str">
        <f>Translations!$B$536</f>
        <v>Unit</v>
      </c>
      <c r="K302" s="51" t="str">
        <f>Translations!$B$537</f>
        <v>source ref</v>
      </c>
      <c r="L302" s="51" t="str">
        <f>Translations!$B$538</f>
        <v>analysis ref</v>
      </c>
      <c r="M302" s="51" t="str">
        <f>Translations!$B$539</f>
        <v>sampling ref</v>
      </c>
      <c r="N302" s="51" t="str">
        <f>Translations!$B$540</f>
        <v>Analysis frequency</v>
      </c>
      <c r="P302" s="29"/>
      <c r="Q302" s="23"/>
      <c r="R302" s="23"/>
      <c r="S302" s="52" t="s">
        <v>384</v>
      </c>
      <c r="T302" s="23"/>
      <c r="U302" s="23"/>
      <c r="V302" s="23"/>
      <c r="W302" s="52" t="s">
        <v>1295</v>
      </c>
    </row>
    <row r="303" spans="1:23" s="24" customFormat="1" ht="12.75" customHeight="1" outlineLevel="1" x14ac:dyDescent="0.2">
      <c r="A303" s="23"/>
      <c r="D303" s="25" t="s">
        <v>1030</v>
      </c>
      <c r="E303" s="1039" t="str">
        <f t="shared" si="16"/>
        <v>Net calorific value (NCV)</v>
      </c>
      <c r="F303" s="1039"/>
      <c r="G303" s="1039"/>
      <c r="H303" s="30" t="str">
        <f t="shared" ref="H303:H308" si="17">IF(OR(ISBLANK(I293),I293=EUconst_NA),"",I293)</f>
        <v/>
      </c>
      <c r="I303" s="192"/>
      <c r="J303" s="192"/>
      <c r="K303" s="214"/>
      <c r="L303" s="213"/>
      <c r="M303" s="213"/>
      <c r="N303" s="196"/>
      <c r="P303" s="209"/>
      <c r="Q303" s="23"/>
      <c r="R303" s="23"/>
      <c r="S303" s="63" t="str">
        <f>IF(H303="","",IF(I293=EUconst_NA,"",INDEX(EUwideConstants!$AL:$AR,MATCH(Q293,EUwideConstants!$S:$S,0),MATCH(I293,CNTR_TierList,0))))</f>
        <v/>
      </c>
      <c r="T303" s="23"/>
      <c r="U303" s="23"/>
      <c r="V303" s="23"/>
      <c r="W303" s="32" t="b">
        <f t="shared" ref="W303:W308" si="18">OR(H303="",H303=EUconst_NA,J293=EUconst_NotApplicable)</f>
        <v>1</v>
      </c>
    </row>
    <row r="304" spans="1:23" s="24" customFormat="1" ht="12.75" customHeight="1" outlineLevel="1" x14ac:dyDescent="0.2">
      <c r="A304" s="23"/>
      <c r="D304" s="25" t="s">
        <v>1031</v>
      </c>
      <c r="E304" s="1039" t="str">
        <f t="shared" si="16"/>
        <v>Emission factor (preliminary)</v>
      </c>
      <c r="F304" s="1039"/>
      <c r="G304" s="1039"/>
      <c r="H304" s="30" t="str">
        <f t="shared" si="17"/>
        <v/>
      </c>
      <c r="I304" s="197"/>
      <c r="J304" s="192"/>
      <c r="K304" s="213"/>
      <c r="L304" s="271"/>
      <c r="M304" s="271"/>
      <c r="N304" s="196"/>
      <c r="P304" s="29"/>
      <c r="Q304" s="23"/>
      <c r="R304" s="23"/>
      <c r="S304" s="63" t="str">
        <f>IF(H304="","",IF(I294=EUconst_NA,"",INDEX(EUwideConstants!$AL:$AR,MATCH(Q294,EUwideConstants!$S:$S,0),MATCH(I294,CNTR_TierList,0))))</f>
        <v/>
      </c>
      <c r="T304" s="23"/>
      <c r="U304" s="23"/>
      <c r="V304" s="23"/>
      <c r="W304" s="32" t="b">
        <f t="shared" si="18"/>
        <v>1</v>
      </c>
    </row>
    <row r="305" spans="1:23" s="24" customFormat="1" ht="12.75" customHeight="1" outlineLevel="1" x14ac:dyDescent="0.2">
      <c r="A305" s="23"/>
      <c r="D305" s="25" t="s">
        <v>1468</v>
      </c>
      <c r="E305" s="1039" t="str">
        <f t="shared" si="16"/>
        <v>Oxidation factor</v>
      </c>
      <c r="F305" s="1039"/>
      <c r="G305" s="1039"/>
      <c r="H305" s="30" t="str">
        <f t="shared" si="17"/>
        <v/>
      </c>
      <c r="I305" s="192"/>
      <c r="J305" s="192"/>
      <c r="K305" s="213"/>
      <c r="L305" s="213"/>
      <c r="M305" s="213"/>
      <c r="N305" s="196"/>
      <c r="P305" s="29"/>
      <c r="Q305" s="23"/>
      <c r="R305" s="23"/>
      <c r="S305" s="63" t="str">
        <f>IF(H305="","",IF(I295=EUconst_NA,"",INDEX(EUwideConstants!$AL:$AR,MATCH(Q295,EUwideConstants!$S:$S,0),MATCH(I295,CNTR_TierList,0))))</f>
        <v/>
      </c>
      <c r="T305" s="23"/>
      <c r="U305" s="23"/>
      <c r="V305" s="23"/>
      <c r="W305" s="32" t="b">
        <f t="shared" si="18"/>
        <v>1</v>
      </c>
    </row>
    <row r="306" spans="1:23" s="24" customFormat="1" ht="12.75" customHeight="1" outlineLevel="1" x14ac:dyDescent="0.2">
      <c r="A306" s="23"/>
      <c r="D306" s="25" t="s">
        <v>1469</v>
      </c>
      <c r="E306" s="1039" t="str">
        <f t="shared" si="16"/>
        <v>Conversion factor</v>
      </c>
      <c r="F306" s="1039"/>
      <c r="G306" s="1039"/>
      <c r="H306" s="30" t="str">
        <f t="shared" si="17"/>
        <v/>
      </c>
      <c r="I306" s="192"/>
      <c r="J306" s="192"/>
      <c r="K306" s="213"/>
      <c r="L306" s="271"/>
      <c r="M306" s="213"/>
      <c r="N306" s="196"/>
      <c r="P306" s="29"/>
      <c r="Q306" s="23"/>
      <c r="R306" s="23"/>
      <c r="S306" s="63" t="str">
        <f>IF(H306="","",IF(I296=EUconst_NA,"",INDEX(EUwideConstants!$AL:$AR,MATCH(Q296,EUwideConstants!$S:$S,0),MATCH(I296,CNTR_TierList,0))))</f>
        <v/>
      </c>
      <c r="T306" s="23"/>
      <c r="U306" s="23"/>
      <c r="V306" s="23"/>
      <c r="W306" s="32" t="b">
        <f t="shared" si="18"/>
        <v>1</v>
      </c>
    </row>
    <row r="307" spans="1:23" s="24" customFormat="1" ht="12.75" customHeight="1" outlineLevel="1" x14ac:dyDescent="0.2">
      <c r="A307" s="23"/>
      <c r="D307" s="25" t="s">
        <v>1470</v>
      </c>
      <c r="E307" s="1039" t="str">
        <f t="shared" si="16"/>
        <v>Carbon content</v>
      </c>
      <c r="F307" s="1039"/>
      <c r="G307" s="1039"/>
      <c r="H307" s="30" t="str">
        <f t="shared" si="17"/>
        <v/>
      </c>
      <c r="I307" s="192"/>
      <c r="J307" s="192"/>
      <c r="K307" s="213"/>
      <c r="L307" s="213"/>
      <c r="M307" s="213"/>
      <c r="N307" s="196"/>
      <c r="P307" s="29"/>
      <c r="Q307" s="23"/>
      <c r="R307" s="23"/>
      <c r="S307" s="63" t="str">
        <f>IF(H307="","",IF(I297=EUconst_NA,"",INDEX(EUwideConstants!$AL:$AR,MATCH(Q297,EUwideConstants!$S:$S,0),MATCH(I297,CNTR_TierList,0))))</f>
        <v/>
      </c>
      <c r="T307" s="23"/>
      <c r="U307" s="23"/>
      <c r="V307" s="23"/>
      <c r="W307" s="32" t="b">
        <f t="shared" si="18"/>
        <v>1</v>
      </c>
    </row>
    <row r="308" spans="1:23" s="24" customFormat="1" ht="12.75" customHeight="1" outlineLevel="1" x14ac:dyDescent="0.2">
      <c r="A308" s="23"/>
      <c r="D308" s="25" t="s">
        <v>1471</v>
      </c>
      <c r="E308" s="1039" t="str">
        <f t="shared" si="16"/>
        <v>Biomass fraction (if applicable)</v>
      </c>
      <c r="F308" s="1039"/>
      <c r="G308" s="1039"/>
      <c r="H308" s="30" t="str">
        <f t="shared" si="17"/>
        <v/>
      </c>
      <c r="I308" s="192"/>
      <c r="J308" s="197"/>
      <c r="K308" s="213"/>
      <c r="L308" s="213"/>
      <c r="M308" s="213"/>
      <c r="N308" s="196"/>
      <c r="P308" s="47"/>
      <c r="Q308" s="23"/>
      <c r="R308" s="23"/>
      <c r="S308" s="63" t="str">
        <f>IF(H308="","",IF(I298=EUconst_NA,"",INDEX(EUwideConstants!$AL:$AR,MATCH(Q298,EUwideConstants!$S:$S,0),MATCH(I298,CNTR_TierList,0))))</f>
        <v/>
      </c>
      <c r="T308" s="23"/>
      <c r="U308" s="23"/>
      <c r="V308" s="23"/>
      <c r="W308" s="32" t="b">
        <f t="shared" si="18"/>
        <v>1</v>
      </c>
    </row>
    <row r="309" spans="1:23" s="24" customFormat="1" ht="12.75" customHeight="1" outlineLevel="1" x14ac:dyDescent="0.2">
      <c r="A309" s="23"/>
      <c r="D309" s="13"/>
      <c r="P309" s="29"/>
      <c r="Q309" s="23"/>
      <c r="R309" s="23"/>
      <c r="S309" s="23"/>
      <c r="T309" s="23"/>
      <c r="U309" s="23"/>
      <c r="V309" s="23"/>
      <c r="W309" s="23"/>
    </row>
    <row r="310" spans="1:23" s="24" customFormat="1" ht="15" customHeight="1" outlineLevel="1" x14ac:dyDescent="0.2">
      <c r="A310" s="23"/>
      <c r="D310" s="1040" t="str">
        <f>Translations!$B$545</f>
        <v>Comments and explanations:</v>
      </c>
      <c r="E310" s="1040"/>
      <c r="F310" s="1040"/>
      <c r="G310" s="1040"/>
      <c r="H310" s="1040"/>
      <c r="I310" s="1040"/>
      <c r="J310" s="1040"/>
      <c r="K310" s="1040"/>
      <c r="L310" s="1040"/>
      <c r="M310" s="1040"/>
      <c r="N310" s="1040"/>
      <c r="P310" s="29"/>
      <c r="Q310" s="29"/>
      <c r="R310" s="29"/>
      <c r="S310" s="29"/>
      <c r="T310" s="6"/>
      <c r="U310" s="23"/>
      <c r="V310" s="23"/>
      <c r="W310" s="23"/>
    </row>
    <row r="311" spans="1:23" s="24" customFormat="1" ht="5.0999999999999996" customHeight="1" outlineLevel="1" x14ac:dyDescent="0.2">
      <c r="A311" s="23"/>
      <c r="D311" s="13"/>
      <c r="P311" s="29"/>
      <c r="Q311" s="23"/>
      <c r="R311" s="23"/>
      <c r="S311" s="23"/>
      <c r="T311" s="23"/>
      <c r="U311" s="23"/>
      <c r="V311" s="23"/>
      <c r="W311" s="23"/>
    </row>
    <row r="312" spans="1:23" s="24" customFormat="1" outlineLevel="1" x14ac:dyDescent="0.2">
      <c r="A312" s="23"/>
      <c r="D312" s="13" t="s">
        <v>1351</v>
      </c>
      <c r="E312" s="946" t="str">
        <f>Translations!$B$1198</f>
        <v>Comments and justification if required tiers are not applied:</v>
      </c>
      <c r="F312" s="946"/>
      <c r="G312" s="946"/>
      <c r="H312" s="946"/>
      <c r="I312" s="946"/>
      <c r="J312" s="946"/>
      <c r="K312" s="946"/>
      <c r="L312" s="946"/>
      <c r="M312" s="946"/>
      <c r="N312" s="946"/>
      <c r="P312" s="29"/>
      <c r="Q312" s="23"/>
      <c r="R312" s="23"/>
      <c r="S312" s="23"/>
      <c r="T312" s="23"/>
      <c r="U312" s="23"/>
      <c r="V312" s="23"/>
      <c r="W312" s="23"/>
    </row>
    <row r="313" spans="1:23" s="24" customFormat="1" ht="5.0999999999999996" customHeight="1" outlineLevel="1" x14ac:dyDescent="0.2">
      <c r="A313" s="23"/>
      <c r="D313" s="13"/>
      <c r="E313" s="48"/>
      <c r="P313" s="29"/>
      <c r="Q313" s="23"/>
      <c r="R313" s="23"/>
      <c r="S313" s="23"/>
      <c r="T313" s="23"/>
      <c r="U313" s="23"/>
      <c r="V313" s="23"/>
      <c r="W313" s="23"/>
    </row>
    <row r="314" spans="1:23" s="24" customFormat="1" ht="12.75" customHeight="1" outlineLevel="1" x14ac:dyDescent="0.2">
      <c r="A314" s="23"/>
      <c r="D314" s="13"/>
      <c r="E314" s="1045"/>
      <c r="F314" s="955"/>
      <c r="G314" s="955"/>
      <c r="H314" s="955"/>
      <c r="I314" s="955"/>
      <c r="J314" s="955"/>
      <c r="K314" s="955"/>
      <c r="L314" s="955"/>
      <c r="M314" s="955"/>
      <c r="N314" s="956"/>
      <c r="P314" s="29"/>
      <c r="Q314" s="23"/>
      <c r="R314" s="23"/>
      <c r="S314" s="23"/>
      <c r="T314" s="23"/>
      <c r="U314" s="23"/>
      <c r="V314" s="23"/>
      <c r="W314" s="23"/>
    </row>
    <row r="315" spans="1:23" s="24" customFormat="1" ht="12.75" customHeight="1" outlineLevel="1" x14ac:dyDescent="0.2">
      <c r="A315" s="23"/>
      <c r="D315" s="13"/>
      <c r="E315" s="1037"/>
      <c r="F315" s="958"/>
      <c r="G315" s="958"/>
      <c r="H315" s="958"/>
      <c r="I315" s="958"/>
      <c r="J315" s="958"/>
      <c r="K315" s="958"/>
      <c r="L315" s="958"/>
      <c r="M315" s="958"/>
      <c r="N315" s="959"/>
      <c r="P315" s="29"/>
      <c r="Q315" s="23"/>
      <c r="R315" s="23"/>
      <c r="S315" s="23"/>
      <c r="T315" s="23"/>
      <c r="U315" s="23"/>
      <c r="V315" s="23"/>
      <c r="W315" s="23"/>
    </row>
    <row r="316" spans="1:23" s="24" customFormat="1" ht="12.75" customHeight="1" outlineLevel="1" x14ac:dyDescent="0.2">
      <c r="A316" s="23"/>
      <c r="D316" s="13"/>
      <c r="E316" s="1038"/>
      <c r="F316" s="961"/>
      <c r="G316" s="961"/>
      <c r="H316" s="961"/>
      <c r="I316" s="961"/>
      <c r="J316" s="961"/>
      <c r="K316" s="961"/>
      <c r="L316" s="961"/>
      <c r="M316" s="961"/>
      <c r="N316" s="962"/>
      <c r="P316" s="29"/>
      <c r="Q316" s="23"/>
      <c r="R316" s="23"/>
      <c r="S316" s="23"/>
      <c r="T316" s="23"/>
      <c r="U316" s="23"/>
      <c r="V316" s="23"/>
      <c r="W316" s="23"/>
    </row>
    <row r="317" spans="1:23" ht="12.75" customHeight="1" thickBot="1" x14ac:dyDescent="0.25">
      <c r="A317" s="72"/>
      <c r="C317" s="54"/>
      <c r="D317" s="55"/>
      <c r="E317" s="56"/>
      <c r="F317" s="54"/>
      <c r="G317" s="57"/>
      <c r="H317" s="57"/>
      <c r="I317" s="57"/>
      <c r="J317" s="57"/>
      <c r="K317" s="57"/>
      <c r="L317" s="57"/>
      <c r="M317" s="57"/>
      <c r="N317" s="57"/>
      <c r="O317" s="24"/>
      <c r="P317" s="15"/>
      <c r="Q317" s="72"/>
      <c r="R317" s="72"/>
      <c r="S317" s="75"/>
      <c r="T317" s="72"/>
      <c r="U317" s="72"/>
      <c r="V317" s="72"/>
      <c r="W317" s="72"/>
    </row>
    <row r="318" spans="1:23" ht="12.75" customHeight="1" thickBot="1" x14ac:dyDescent="0.25">
      <c r="A318" s="72"/>
      <c r="D318" s="13"/>
      <c r="E318" s="22"/>
      <c r="G318" s="2"/>
      <c r="H318" s="2"/>
      <c r="I318" s="2"/>
      <c r="J318" s="2"/>
      <c r="L318" s="2"/>
      <c r="M318" s="2"/>
      <c r="N318" s="2"/>
      <c r="O318" s="24"/>
      <c r="P318" s="15"/>
      <c r="Q318" s="72"/>
      <c r="R318" s="72"/>
      <c r="S318" s="66" t="s">
        <v>470</v>
      </c>
      <c r="T318" s="107" t="s">
        <v>471</v>
      </c>
      <c r="U318" s="107" t="s">
        <v>472</v>
      </c>
      <c r="V318" s="72"/>
      <c r="W318" s="72"/>
    </row>
    <row r="319" spans="1:23" s="186" customFormat="1" ht="15" customHeight="1" thickBot="1" x14ac:dyDescent="0.25">
      <c r="A319" s="76"/>
      <c r="B319" s="34"/>
      <c r="C319" s="35" t="str">
        <f>"F"&amp;Q319</f>
        <v>F4</v>
      </c>
      <c r="D319" s="1040" t="str">
        <f>CONCATENATE(Euconst_SourceStream," ", Q319,":")</f>
        <v>Source Stream 4:</v>
      </c>
      <c r="E319" s="1040"/>
      <c r="F319" s="1040"/>
      <c r="G319" s="1066"/>
      <c r="H319" s="1067" t="str">
        <f>IF(INDEX(C_InstallationDescription!$F$194:$F$204,MATCH(C319,C_InstallationDescription!$E$194:$E$204,0))&gt;0,INDEX(C_InstallationDescription!$F$194:$F$204,MATCH(C319,C_InstallationDescription!$E$194:$E$204,0)),"")</f>
        <v/>
      </c>
      <c r="I319" s="1067"/>
      <c r="J319" s="1067"/>
      <c r="K319" s="1067"/>
      <c r="L319" s="1068"/>
      <c r="M319" s="1069" t="str">
        <f>IF(S319=TRUE,IF(U319="",T319,U319),"")</f>
        <v/>
      </c>
      <c r="N319" s="1070"/>
      <c r="O319" s="24"/>
      <c r="P319" s="41"/>
      <c r="Q319" s="33">
        <f>Q253+1</f>
        <v>4</v>
      </c>
      <c r="R319" s="37"/>
      <c r="S319" s="40" t="b">
        <f>IF(INDEX(C_InstallationDescription!$M:$M,MATCH(Q321,C_InstallationDescription!$Q:$Q,0))="",FALSE,TRUE)</f>
        <v>0</v>
      </c>
      <c r="T319" s="92" t="str">
        <f>IF(S319=TRUE,INDEX(C_InstallationDescription!$M:$M,MATCH(Q321,C_InstallationDescription!$Q:$Q,0)),"")</f>
        <v/>
      </c>
      <c r="U319" s="40" t="str">
        <f>IF(S319=TRUE,IF(ISBLANK(INDEX(C_InstallationDescription!$N:$N,MATCH(Q321,C_InstallationDescription!$Q:$Q,0))),"",INDEX(C_InstallationDescription!$N:$N,MATCH(Q321,C_InstallationDescription!$Q:$Q,0))),"")</f>
        <v/>
      </c>
      <c r="V319" s="37"/>
      <c r="W319" s="37"/>
    </row>
    <row r="320" spans="1:23" s="24" customFormat="1" ht="5.0999999999999996" customHeight="1" x14ac:dyDescent="0.2">
      <c r="A320" s="72"/>
      <c r="B320" s="8"/>
      <c r="C320" s="8"/>
      <c r="D320" s="8"/>
      <c r="E320" s="8"/>
      <c r="F320" s="8"/>
      <c r="G320" s="8"/>
      <c r="H320" s="8"/>
      <c r="I320" s="8"/>
      <c r="J320" s="8"/>
      <c r="K320" s="8"/>
      <c r="L320" s="8"/>
      <c r="M320" s="7"/>
      <c r="N320" s="7"/>
      <c r="P320" s="17"/>
      <c r="Q320" s="12"/>
      <c r="R320" s="23"/>
      <c r="S320" s="23"/>
      <c r="T320" s="23"/>
      <c r="U320" s="23"/>
      <c r="V320" s="23"/>
      <c r="W320" s="23"/>
    </row>
    <row r="321" spans="1:23" s="24" customFormat="1" ht="12.75" customHeight="1" x14ac:dyDescent="0.2">
      <c r="A321" s="72"/>
      <c r="B321" s="8"/>
      <c r="C321" s="8"/>
      <c r="D321" s="13"/>
      <c r="E321" s="924" t="str">
        <f>Translations!$B$437</f>
        <v>Source stream type:</v>
      </c>
      <c r="F321" s="924"/>
      <c r="G321" s="925"/>
      <c r="H321" s="1071" t="str">
        <f>IF(INDEX(C_InstallationDescription!$I$194:$I$204,MATCH(C319,C_InstallationDescription!$E$194:$E$204,0))&gt;0,INDEX(C_InstallationDescription!$I$194:$I$204,MATCH(C319,C_InstallationDescription!$E$194:$E$204,0)),"")</f>
        <v/>
      </c>
      <c r="I321" s="1072"/>
      <c r="J321" s="1072"/>
      <c r="K321" s="1072"/>
      <c r="L321" s="1073"/>
      <c r="P321" s="17"/>
      <c r="Q321" s="39" t="str">
        <f>EUconst_CNTR_SourceCategory&amp;C319</f>
        <v>SourceCategory_F4</v>
      </c>
      <c r="R321" s="23"/>
      <c r="S321" s="23"/>
      <c r="T321" s="23"/>
      <c r="U321" s="23"/>
      <c r="V321" s="23"/>
      <c r="W321" s="23"/>
    </row>
    <row r="322" spans="1:23" s="24" customFormat="1" ht="12.75" customHeight="1" outlineLevel="1" x14ac:dyDescent="0.2">
      <c r="A322" s="23"/>
      <c r="B322" s="8"/>
      <c r="C322" s="8"/>
      <c r="D322" s="11"/>
      <c r="E322" s="924" t="str">
        <f>Translations!$B$438</f>
        <v>Method applicable according to MRR:</v>
      </c>
      <c r="F322" s="924"/>
      <c r="G322" s="925"/>
      <c r="H322" s="1062" t="str">
        <f>IF(H321="","",INDEX(EUwideConstants!F:F,MATCH(H321,EUwideConstants!Q:Q,0)))</f>
        <v/>
      </c>
      <c r="I322" s="1062"/>
      <c r="J322" s="1062"/>
      <c r="K322" s="1062"/>
      <c r="L322" s="1062"/>
      <c r="M322" s="2"/>
      <c r="N322" s="2"/>
      <c r="P322" s="17"/>
      <c r="Q322" s="12"/>
      <c r="R322" s="23"/>
      <c r="S322" s="23"/>
      <c r="T322" s="23"/>
      <c r="U322" s="23"/>
      <c r="V322" s="23"/>
      <c r="W322" s="23"/>
    </row>
    <row r="323" spans="1:23" s="24" customFormat="1" ht="12.75" customHeight="1" outlineLevel="1" x14ac:dyDescent="0.2">
      <c r="A323" s="23"/>
      <c r="D323" s="38"/>
      <c r="E323" s="924" t="str">
        <f>Translations!$B$439</f>
        <v>Parameter to which uncertainty applies:</v>
      </c>
      <c r="F323" s="924"/>
      <c r="G323" s="925"/>
      <c r="H323" s="1062" t="str">
        <f>IF(H321="","",INDEX(EUwideConstants!E:E,MATCH(H321,EUwideConstants!Q:Q,0)))</f>
        <v/>
      </c>
      <c r="I323" s="1062"/>
      <c r="J323" s="1062"/>
      <c r="K323" s="1062"/>
      <c r="L323" s="1062"/>
      <c r="P323" s="17"/>
      <c r="Q323" s="12"/>
      <c r="R323" s="23"/>
      <c r="S323" s="23"/>
      <c r="T323" s="23"/>
      <c r="U323" s="23"/>
      <c r="V323" s="23"/>
      <c r="W323" s="23"/>
    </row>
    <row r="324" spans="1:23" s="24" customFormat="1" ht="5.0999999999999996" customHeight="1" outlineLevel="1" x14ac:dyDescent="0.2">
      <c r="A324" s="23"/>
      <c r="P324" s="29"/>
      <c r="Q324" s="23"/>
      <c r="R324" s="23"/>
      <c r="S324" s="23"/>
      <c r="T324" s="23"/>
      <c r="U324" s="23"/>
      <c r="V324" s="23"/>
      <c r="W324" s="23"/>
    </row>
    <row r="325" spans="1:23" s="24" customFormat="1" ht="51" customHeight="1" outlineLevel="1" x14ac:dyDescent="0.2">
      <c r="A325" s="23"/>
      <c r="D325" s="13"/>
      <c r="E325" s="1063" t="str">
        <f>IF(H319="","",INDEX(EUconst_SmallEmiSouStreamMsg,MATCH(Q325,EUconst_SmallEmiSouStream,0)))</f>
        <v/>
      </c>
      <c r="F325" s="1064"/>
      <c r="G325" s="1064"/>
      <c r="H325" s="1064"/>
      <c r="I325" s="1064"/>
      <c r="J325" s="1064"/>
      <c r="K325" s="1064"/>
      <c r="L325" s="1064"/>
      <c r="M325" s="1064"/>
      <c r="N325" s="1065"/>
      <c r="P325" s="15"/>
      <c r="Q325" s="43" t="str">
        <f>IF(CNTR_SmallEmitter=TRUE,EUconst_CNTR_SmallEmitter,EUconst_CNTR_NoSmallEmitter) &amp; IF((CNTR_Category)="","C",CNTR_Category) &amp; "_" &amp; IF(M319="",1,MATCH(M319,SourceCategory,0))</f>
        <v>NoSmallEmitter_C_1</v>
      </c>
      <c r="R325" s="23"/>
      <c r="S325" s="23"/>
      <c r="T325" s="23"/>
      <c r="U325" s="23"/>
      <c r="V325" s="23"/>
      <c r="W325" s="23"/>
    </row>
    <row r="326" spans="1:23" s="24" customFormat="1" ht="12.75" customHeight="1" outlineLevel="1" x14ac:dyDescent="0.2">
      <c r="A326" s="23"/>
      <c r="D326" s="13"/>
      <c r="P326" s="29"/>
      <c r="Q326" s="23"/>
      <c r="R326" s="23"/>
      <c r="S326" s="23"/>
      <c r="T326" s="23"/>
      <c r="U326" s="23"/>
      <c r="V326" s="23"/>
      <c r="W326" s="23"/>
    </row>
    <row r="327" spans="1:23" s="24" customFormat="1" ht="15" customHeight="1" outlineLevel="1" x14ac:dyDescent="0.2">
      <c r="A327" s="23"/>
      <c r="D327" s="1040" t="str">
        <f>Translations!$B$454</f>
        <v>Activity Data:</v>
      </c>
      <c r="E327" s="1040"/>
      <c r="F327" s="1040"/>
      <c r="G327" s="1040"/>
      <c r="H327" s="1040"/>
      <c r="I327" s="1040"/>
      <c r="J327" s="1040"/>
      <c r="K327" s="1040"/>
      <c r="L327" s="1040"/>
      <c r="M327" s="1040"/>
      <c r="N327" s="1040"/>
      <c r="P327" s="29"/>
      <c r="Q327" s="23"/>
      <c r="R327" s="23"/>
      <c r="S327" s="23"/>
      <c r="T327" s="23"/>
      <c r="U327" s="23"/>
      <c r="V327" s="23"/>
      <c r="W327" s="23"/>
    </row>
    <row r="328" spans="1:23" s="24" customFormat="1" ht="5.0999999999999996" customHeight="1" outlineLevel="1" x14ac:dyDescent="0.2">
      <c r="A328" s="23"/>
      <c r="D328" s="13"/>
      <c r="P328" s="29"/>
      <c r="Q328" s="23"/>
      <c r="R328" s="23"/>
      <c r="S328" s="23"/>
      <c r="T328" s="23"/>
      <c r="U328" s="23"/>
      <c r="V328" s="23"/>
      <c r="W328" s="23"/>
    </row>
    <row r="329" spans="1:23" s="24" customFormat="1" outlineLevel="1" x14ac:dyDescent="0.2">
      <c r="A329" s="23"/>
      <c r="D329" s="13" t="s">
        <v>1018</v>
      </c>
      <c r="E329" s="825" t="str">
        <f>Translations!$B$455</f>
        <v>Activity data determination method:</v>
      </c>
      <c r="F329" s="825"/>
      <c r="G329" s="825"/>
      <c r="H329" s="825"/>
      <c r="I329" s="825"/>
      <c r="J329" s="825"/>
      <c r="K329" s="825"/>
      <c r="L329" s="825"/>
      <c r="M329" s="825"/>
      <c r="N329" s="825"/>
      <c r="P329" s="29"/>
      <c r="Q329" s="23"/>
      <c r="R329" s="23"/>
      <c r="S329" s="23"/>
      <c r="T329" s="23"/>
      <c r="U329" s="23"/>
      <c r="V329" s="23"/>
      <c r="W329" s="23"/>
    </row>
    <row r="330" spans="1:23" s="24" customFormat="1" ht="5.0999999999999996" customHeight="1" outlineLevel="1" x14ac:dyDescent="0.2">
      <c r="A330" s="23"/>
      <c r="D330" s="13"/>
      <c r="E330" s="14"/>
      <c r="F330" s="14"/>
      <c r="G330" s="14"/>
      <c r="H330" s="14"/>
      <c r="I330" s="14"/>
      <c r="L330" s="22"/>
      <c r="P330" s="29"/>
      <c r="Q330" s="23"/>
      <c r="R330" s="23"/>
      <c r="S330" s="23"/>
      <c r="T330" s="23"/>
      <c r="U330" s="23"/>
      <c r="V330" s="23"/>
      <c r="W330" s="23"/>
    </row>
    <row r="331" spans="1:23" s="24" customFormat="1" ht="12.75" customHeight="1" outlineLevel="1" x14ac:dyDescent="0.2">
      <c r="A331" s="23"/>
      <c r="D331" s="25" t="s">
        <v>1030</v>
      </c>
      <c r="E331" s="11" t="str">
        <f>Translations!$B$456</f>
        <v>Determination method:</v>
      </c>
      <c r="G331" s="14"/>
      <c r="H331" s="1060"/>
      <c r="I331" s="1061"/>
      <c r="P331" s="220"/>
      <c r="Q331" s="23"/>
      <c r="R331" s="23"/>
      <c r="S331" s="23"/>
      <c r="T331" s="23"/>
      <c r="U331" s="23"/>
      <c r="V331" s="23"/>
      <c r="W331" s="63" t="str">
        <f>IF(M319="","",IF(M319=INDEX(SourceCategory,3),1,IF(CNTR_InstHasCalculation=FALSE,0,2)))</f>
        <v/>
      </c>
    </row>
    <row r="332" spans="1:23" s="24" customFormat="1" ht="5.0999999999999996" customHeight="1" outlineLevel="1" x14ac:dyDescent="0.2">
      <c r="A332" s="23"/>
      <c r="D332" s="25"/>
      <c r="G332" s="14"/>
      <c r="H332" s="44"/>
      <c r="I332" s="44"/>
      <c r="P332" s="29"/>
      <c r="Q332" s="23"/>
      <c r="R332" s="23"/>
      <c r="S332" s="23"/>
      <c r="T332" s="23"/>
      <c r="U332" s="23"/>
      <c r="V332" s="23"/>
      <c r="W332" s="23"/>
    </row>
    <row r="333" spans="1:23" s="24" customFormat="1" ht="12.75" customHeight="1" outlineLevel="1" x14ac:dyDescent="0.2">
      <c r="A333" s="23"/>
      <c r="E333" s="46"/>
      <c r="F333" s="1049" t="str">
        <f>Translations!$B$459</f>
        <v>Reference to procedure used for determining stock piles at end of year:</v>
      </c>
      <c r="G333" s="1049"/>
      <c r="H333" s="1049"/>
      <c r="I333" s="1049"/>
      <c r="J333" s="1050"/>
      <c r="K333" s="1060"/>
      <c r="L333" s="1061"/>
      <c r="P333" s="29"/>
      <c r="Q333" s="23"/>
      <c r="R333" s="23"/>
      <c r="S333" s="23"/>
      <c r="T333" s="23"/>
      <c r="U333" s="29"/>
      <c r="V333" s="32" t="b">
        <f>IF(OR(H319="",ISBLANK(H331)),FALSE,IF(MATCH(H331,EUconst_ActivityDeterminationMethod,0)=2,TRUE,FALSE))</f>
        <v>0</v>
      </c>
      <c r="W333" s="63" t="str">
        <f>IF(V333=TRUE,0,W331)</f>
        <v/>
      </c>
    </row>
    <row r="334" spans="1:23" s="24" customFormat="1" ht="5.0999999999999996" customHeight="1" outlineLevel="1" x14ac:dyDescent="0.2">
      <c r="A334" s="23"/>
      <c r="P334" s="29"/>
      <c r="Q334" s="23"/>
      <c r="R334" s="23"/>
      <c r="S334" s="23"/>
      <c r="T334" s="23"/>
      <c r="U334" s="23"/>
      <c r="V334" s="23"/>
      <c r="W334" s="23"/>
    </row>
    <row r="335" spans="1:23" s="24" customFormat="1" ht="12.75" customHeight="1" outlineLevel="1" x14ac:dyDescent="0.2">
      <c r="A335" s="23"/>
      <c r="D335" s="46" t="s">
        <v>1031</v>
      </c>
      <c r="E335" s="11" t="str">
        <f>Translations!$B$462</f>
        <v>Instrument under control of:</v>
      </c>
      <c r="G335" s="14"/>
      <c r="H335" s="1060"/>
      <c r="I335" s="1061"/>
      <c r="J335" s="25"/>
      <c r="P335" s="29"/>
      <c r="Q335" s="23"/>
      <c r="R335" s="23"/>
      <c r="S335" s="23"/>
      <c r="T335" s="23"/>
      <c r="U335" s="23"/>
      <c r="V335" s="23"/>
      <c r="W335" s="63" t="str">
        <f>W331</f>
        <v/>
      </c>
    </row>
    <row r="336" spans="1:23" s="24" customFormat="1" ht="5.0999999999999996" customHeight="1" outlineLevel="1" x14ac:dyDescent="0.2">
      <c r="A336" s="23"/>
      <c r="D336" s="25"/>
      <c r="G336" s="14"/>
      <c r="H336" s="44"/>
      <c r="I336" s="44"/>
      <c r="J336" s="25"/>
      <c r="P336" s="29"/>
      <c r="Q336" s="23"/>
      <c r="R336" s="23"/>
      <c r="S336" s="23"/>
      <c r="T336" s="23"/>
      <c r="U336" s="23"/>
      <c r="V336" s="23"/>
      <c r="W336" s="23"/>
    </row>
    <row r="337" spans="1:23" s="24" customFormat="1" ht="12.75" customHeight="1" outlineLevel="1" x14ac:dyDescent="0.2">
      <c r="A337" s="23"/>
      <c r="D337" s="25"/>
      <c r="E337" s="46" t="s">
        <v>1296</v>
      </c>
      <c r="F337" s="767" t="str">
        <f>Translations!$B$465</f>
        <v>Please confirm that the conditions of Article 29(1) are satisfied:</v>
      </c>
      <c r="G337" s="732"/>
      <c r="H337" s="732"/>
      <c r="I337" s="732"/>
      <c r="J337" s="732"/>
      <c r="K337" s="732"/>
      <c r="L337" s="192"/>
      <c r="P337" s="29"/>
      <c r="Q337" s="23"/>
      <c r="R337" s="23"/>
      <c r="S337" s="23"/>
      <c r="T337" s="23"/>
      <c r="U337" s="23"/>
      <c r="V337" s="32" t="b">
        <f>IF(OR(H319="",ISBLANK(H335)),FALSE,IF(MATCH(H335,EUconst_OwnerInstrument,0)=1,TRUE,FALSE))</f>
        <v>0</v>
      </c>
      <c r="W337" s="63" t="str">
        <f>IF(V337=TRUE,0,W331)</f>
        <v/>
      </c>
    </row>
    <row r="338" spans="1:23" s="24" customFormat="1" ht="5.0999999999999996" customHeight="1" outlineLevel="1" x14ac:dyDescent="0.2">
      <c r="A338" s="23"/>
      <c r="D338" s="25"/>
      <c r="E338" s="25"/>
      <c r="G338" s="14"/>
      <c r="N338" s="44"/>
      <c r="P338" s="29"/>
      <c r="Q338" s="23"/>
      <c r="R338" s="23"/>
      <c r="S338" s="23"/>
      <c r="T338" s="23"/>
      <c r="U338" s="23"/>
      <c r="V338" s="16"/>
      <c r="W338" s="23"/>
    </row>
    <row r="339" spans="1:23" s="24" customFormat="1" ht="12.75" customHeight="1" outlineLevel="1" x14ac:dyDescent="0.2">
      <c r="A339" s="23"/>
      <c r="D339" s="25"/>
      <c r="E339" s="46" t="s">
        <v>1297</v>
      </c>
      <c r="F339" s="1049" t="str">
        <f>Translations!$B$468</f>
        <v>Do you use invoices for determining the amount of this fuel or material?</v>
      </c>
      <c r="G339" s="1049"/>
      <c r="H339" s="1049"/>
      <c r="I339" s="1049"/>
      <c r="J339" s="1049"/>
      <c r="K339" s="1050"/>
      <c r="L339" s="192"/>
      <c r="P339" s="29"/>
      <c r="Q339" s="23"/>
      <c r="R339" s="23"/>
      <c r="S339" s="23"/>
      <c r="T339" s="23"/>
      <c r="U339" s="23"/>
      <c r="V339" s="32" t="b">
        <f>IF(OR(H319="",ISBLANK(H335)),FALSE,IF(MATCH(H335,EUconst_OwnerInstrument,0)=1,TRUE,FALSE))</f>
        <v>0</v>
      </c>
      <c r="W339" s="63" t="str">
        <f>IF(V339=TRUE,0,W331)</f>
        <v/>
      </c>
    </row>
    <row r="340" spans="1:23" s="24" customFormat="1" ht="5.0999999999999996" customHeight="1" outlineLevel="1" x14ac:dyDescent="0.2">
      <c r="A340" s="23"/>
      <c r="D340" s="25"/>
      <c r="E340" s="25"/>
      <c r="G340" s="14"/>
      <c r="J340" s="25"/>
      <c r="L340" s="45"/>
      <c r="P340" s="29"/>
      <c r="Q340" s="23"/>
      <c r="R340" s="23"/>
      <c r="S340" s="23"/>
      <c r="T340" s="23"/>
      <c r="U340" s="23"/>
      <c r="V340" s="23"/>
      <c r="W340" s="23"/>
    </row>
    <row r="341" spans="1:23" s="24" customFormat="1" ht="12.75" customHeight="1" outlineLevel="1" x14ac:dyDescent="0.2">
      <c r="A341" s="23"/>
      <c r="D341" s="25"/>
      <c r="E341" s="46" t="s">
        <v>1298</v>
      </c>
      <c r="F341" s="1049" t="str">
        <f>Translations!$B$469</f>
        <v>Please confirm that the trade partner and the operator are independent:</v>
      </c>
      <c r="G341" s="1049"/>
      <c r="H341" s="1049"/>
      <c r="I341" s="1049"/>
      <c r="J341" s="1049"/>
      <c r="K341" s="1050"/>
      <c r="L341" s="192"/>
      <c r="P341" s="29"/>
      <c r="Q341" s="23"/>
      <c r="R341" s="23"/>
      <c r="S341" s="23"/>
      <c r="T341" s="23"/>
      <c r="U341" s="23"/>
      <c r="V341" s="32" t="b">
        <f>IF(OR(H319="",ISBLANK(H335)),FALSE,IF(MATCH(H335,EUconst_OwnerInstrument,0)=1,TRUE,FALSE))</f>
        <v>0</v>
      </c>
      <c r="W341" s="63" t="str">
        <f>IF(V341=TRUE,0,W331)</f>
        <v/>
      </c>
    </row>
    <row r="342" spans="1:23" s="24" customFormat="1" outlineLevel="1" x14ac:dyDescent="0.2">
      <c r="A342" s="23"/>
      <c r="P342" s="29"/>
      <c r="Q342" s="23"/>
      <c r="R342" s="23"/>
      <c r="S342" s="23"/>
      <c r="T342" s="23"/>
      <c r="U342" s="23"/>
      <c r="V342" s="23"/>
      <c r="W342" s="23"/>
    </row>
    <row r="343" spans="1:23" s="24" customFormat="1" ht="12.75" customHeight="1" outlineLevel="1" x14ac:dyDescent="0.2">
      <c r="A343" s="23"/>
      <c r="D343" s="13" t="s">
        <v>1020</v>
      </c>
      <c r="E343" s="14" t="str">
        <f>Translations!$B$472</f>
        <v>Measurement instruments used:</v>
      </c>
      <c r="H343" s="215"/>
      <c r="I343" s="215"/>
      <c r="J343" s="215"/>
      <c r="K343" s="215"/>
      <c r="L343" s="215"/>
      <c r="P343" s="15"/>
      <c r="Q343" s="23"/>
      <c r="R343" s="23"/>
      <c r="S343" s="23"/>
      <c r="T343" s="23"/>
      <c r="U343" s="23"/>
      <c r="V343" s="23"/>
      <c r="W343" s="23"/>
    </row>
    <row r="344" spans="1:23" s="24" customFormat="1" ht="5.0999999999999996" customHeight="1" outlineLevel="1" x14ac:dyDescent="0.2">
      <c r="A344" s="23"/>
      <c r="D344" s="13"/>
      <c r="E344" s="14"/>
      <c r="P344" s="15"/>
      <c r="Q344" s="23"/>
      <c r="R344" s="23"/>
      <c r="S344" s="23"/>
      <c r="T344" s="23"/>
      <c r="U344" s="23"/>
      <c r="V344" s="23"/>
      <c r="W344" s="23"/>
    </row>
    <row r="345" spans="1:23" s="24" customFormat="1" outlineLevel="1" x14ac:dyDescent="0.2">
      <c r="A345" s="23"/>
      <c r="D345" s="13"/>
      <c r="E345" s="24" t="str">
        <f>Translations!$B$475</f>
        <v>Comment / Description of approach, if several instruments used:</v>
      </c>
      <c r="I345" s="11"/>
      <c r="P345" s="29"/>
      <c r="Q345" s="23"/>
      <c r="R345" s="23"/>
      <c r="S345" s="23"/>
      <c r="T345" s="23"/>
      <c r="U345" s="23"/>
      <c r="V345" s="23"/>
      <c r="W345" s="23"/>
    </row>
    <row r="346" spans="1:23" s="24" customFormat="1" ht="12.75" customHeight="1" outlineLevel="1" x14ac:dyDescent="0.2">
      <c r="A346" s="23"/>
      <c r="D346" s="13"/>
      <c r="E346" s="1051"/>
      <c r="F346" s="1052"/>
      <c r="G346" s="1052"/>
      <c r="H346" s="1052"/>
      <c r="I346" s="1052"/>
      <c r="J346" s="1052"/>
      <c r="K346" s="1052"/>
      <c r="L346" s="1052"/>
      <c r="M346" s="1052"/>
      <c r="N346" s="1053"/>
      <c r="P346" s="29"/>
      <c r="Q346" s="23"/>
      <c r="R346" s="23"/>
      <c r="S346" s="23"/>
      <c r="T346" s="23"/>
      <c r="U346" s="23"/>
      <c r="V346" s="23"/>
      <c r="W346" s="23"/>
    </row>
    <row r="347" spans="1:23" s="24" customFormat="1" outlineLevel="1" x14ac:dyDescent="0.2">
      <c r="A347" s="23"/>
      <c r="D347" s="13"/>
      <c r="E347" s="1054"/>
      <c r="F347" s="1055"/>
      <c r="G347" s="1055"/>
      <c r="H347" s="1055"/>
      <c r="I347" s="1055"/>
      <c r="J347" s="1055"/>
      <c r="K347" s="1055"/>
      <c r="L347" s="1055"/>
      <c r="M347" s="1055"/>
      <c r="N347" s="1056"/>
      <c r="P347" s="29"/>
      <c r="Q347" s="29"/>
      <c r="R347" s="29"/>
      <c r="S347" s="23"/>
      <c r="T347" s="23"/>
      <c r="U347" s="23"/>
      <c r="V347" s="23"/>
      <c r="W347" s="23"/>
    </row>
    <row r="348" spans="1:23" s="24" customFormat="1" outlineLevel="1" x14ac:dyDescent="0.2">
      <c r="A348" s="23"/>
      <c r="D348" s="13"/>
      <c r="E348" s="1057"/>
      <c r="F348" s="1058"/>
      <c r="G348" s="1058"/>
      <c r="H348" s="1058"/>
      <c r="I348" s="1058"/>
      <c r="J348" s="1058"/>
      <c r="K348" s="1058"/>
      <c r="L348" s="1058"/>
      <c r="M348" s="1058"/>
      <c r="N348" s="1059"/>
      <c r="P348" s="29"/>
      <c r="Q348" s="29"/>
      <c r="R348" s="29"/>
      <c r="S348" s="23"/>
      <c r="T348" s="23"/>
      <c r="U348" s="23"/>
      <c r="V348" s="23"/>
      <c r="W348" s="23"/>
    </row>
    <row r="349" spans="1:23" s="24" customFormat="1" outlineLevel="1" x14ac:dyDescent="0.2">
      <c r="A349" s="23"/>
      <c r="D349" s="13"/>
      <c r="P349" s="29"/>
      <c r="Q349" s="29"/>
      <c r="R349" s="29"/>
      <c r="S349" s="23"/>
      <c r="T349" s="23"/>
      <c r="U349" s="23"/>
      <c r="V349" s="23"/>
      <c r="W349" s="23"/>
    </row>
    <row r="350" spans="1:23" s="24" customFormat="1" ht="12.75" customHeight="1" outlineLevel="1" x14ac:dyDescent="0.2">
      <c r="A350" s="23"/>
      <c r="D350" s="13" t="s">
        <v>554</v>
      </c>
      <c r="E350" s="14" t="str">
        <f>Translations!$B$477</f>
        <v>Activity data tier level required:</v>
      </c>
      <c r="H350" s="30" t="str">
        <f>IF(H321="","",IF(CNTR_Category="A",INDEX(EUwideConstants!$G:$G,MATCH(Q350,EUwideConstants!$S:$S,0)),INDEX(EUwideConstants!$P:$P,MATCH(Q350,EUwideConstants!$S:$S,0))))</f>
        <v/>
      </c>
      <c r="I350" s="26" t="str">
        <f>IF(H350="","",IF(S350=0,EUconst_NA,IF(ISERROR(S350),"",EUconst_MsgTierActivityLevel &amp; " " &amp;S350)))</f>
        <v/>
      </c>
      <c r="J350" s="27"/>
      <c r="K350" s="27"/>
      <c r="L350" s="27"/>
      <c r="M350" s="27"/>
      <c r="N350" s="28"/>
      <c r="P350" s="29"/>
      <c r="Q350" s="92" t="str">
        <f>EUconst_CNTR_ActivityData&amp;H321</f>
        <v>ActivityData_</v>
      </c>
      <c r="R350" s="29"/>
      <c r="S350" s="32" t="str">
        <f>IF(H350="","",IF(H350=EUconst_NA,"",INDEX(EUwideConstants!$H:$O,MATCH(Q350,EUwideConstants!$S:$S,0),MATCH(H350,CNTR_TierList,0))))</f>
        <v/>
      </c>
      <c r="T350" s="23"/>
      <c r="U350" s="23"/>
      <c r="V350" s="23"/>
      <c r="W350" s="23"/>
    </row>
    <row r="351" spans="1:23" s="24" customFormat="1" ht="12.75" customHeight="1" outlineLevel="1" x14ac:dyDescent="0.2">
      <c r="A351" s="23"/>
      <c r="D351" s="13" t="s">
        <v>1022</v>
      </c>
      <c r="E351" s="14" t="str">
        <f>Translations!$B$478</f>
        <v>Activity data tier used:</v>
      </c>
      <c r="H351" s="192"/>
      <c r="I351" s="26" t="str">
        <f>IF(OR(ISBLANK(H351),H351=EUconst_NoTier),"",IF(S351=0,EUconst_NA,IF(ISERROR(S351),"",EUconst_MsgTierActivityLevel &amp; " " &amp;S351)))</f>
        <v/>
      </c>
      <c r="J351" s="27"/>
      <c r="K351" s="27"/>
      <c r="L351" s="27"/>
      <c r="M351" s="27"/>
      <c r="N351" s="28"/>
      <c r="P351" s="29"/>
      <c r="Q351" s="92" t="str">
        <f>EUconst_CNTR_ActivityData&amp;H321</f>
        <v>ActivityData_</v>
      </c>
      <c r="R351" s="29"/>
      <c r="S351" s="32" t="str">
        <f>IF(ISBLANK(H351),"",IF(H351=EUconst_NA,"",INDEX(EUwideConstants!$H:$O,MATCH(Q351,EUwideConstants!$S:$S,0),MATCH(H351,CNTR_TierList,0))))</f>
        <v/>
      </c>
      <c r="T351" s="23"/>
      <c r="U351" s="23"/>
      <c r="V351" s="23"/>
      <c r="W351" s="23"/>
    </row>
    <row r="352" spans="1:23" s="24" customFormat="1" ht="12.75" customHeight="1" outlineLevel="1" x14ac:dyDescent="0.2">
      <c r="A352" s="23"/>
      <c r="D352" s="13" t="s">
        <v>1023</v>
      </c>
      <c r="E352" s="14" t="str">
        <f>Translations!$B$479</f>
        <v>Uncertainty achieved:</v>
      </c>
      <c r="H352" s="229"/>
      <c r="I352" s="14" t="str">
        <f>Translations!$B$480</f>
        <v>Comment:</v>
      </c>
      <c r="J352" s="193"/>
      <c r="K352" s="194"/>
      <c r="L352" s="194"/>
      <c r="M352" s="194"/>
      <c r="N352" s="195"/>
      <c r="P352" s="29"/>
      <c r="Q352" s="29"/>
      <c r="R352" s="29"/>
      <c r="S352" s="23"/>
      <c r="T352" s="23"/>
      <c r="U352" s="23"/>
      <c r="V352" s="23"/>
      <c r="W352" s="23"/>
    </row>
    <row r="353" spans="1:23" s="24" customFormat="1" ht="5.0999999999999996" customHeight="1" outlineLevel="1" x14ac:dyDescent="0.2">
      <c r="A353" s="23"/>
      <c r="D353" s="13"/>
      <c r="E353" s="67"/>
      <c r="F353" s="67"/>
      <c r="G353" s="67"/>
      <c r="H353" s="67"/>
      <c r="I353" s="67"/>
      <c r="J353" s="67"/>
      <c r="K353" s="67"/>
      <c r="L353" s="67"/>
      <c r="M353" s="67"/>
      <c r="N353" s="67"/>
      <c r="P353" s="29"/>
      <c r="Q353" s="29"/>
      <c r="R353" s="29"/>
      <c r="S353" s="23"/>
      <c r="T353" s="23"/>
      <c r="U353" s="23"/>
      <c r="V353" s="23"/>
      <c r="W353" s="23"/>
    </row>
    <row r="354" spans="1:23" s="24" customFormat="1" ht="15" customHeight="1" outlineLevel="1" x14ac:dyDescent="0.2">
      <c r="A354" s="23"/>
      <c r="D354" s="1040" t="str">
        <f>Translations!$B$490</f>
        <v>Calculation factors:</v>
      </c>
      <c r="E354" s="1040"/>
      <c r="F354" s="1040"/>
      <c r="G354" s="1040"/>
      <c r="H354" s="1040"/>
      <c r="I354" s="1040"/>
      <c r="J354" s="1040"/>
      <c r="K354" s="1040"/>
      <c r="L354" s="1040"/>
      <c r="M354" s="1040"/>
      <c r="N354" s="1040"/>
      <c r="P354" s="29"/>
      <c r="Q354" s="29"/>
      <c r="R354" s="29"/>
      <c r="S354" s="29"/>
      <c r="T354" s="6"/>
      <c r="U354" s="23"/>
      <c r="V354" s="23"/>
      <c r="W354" s="23"/>
    </row>
    <row r="355" spans="1:23" s="24" customFormat="1" ht="5.0999999999999996" customHeight="1" outlineLevel="1" x14ac:dyDescent="0.2">
      <c r="A355" s="23"/>
      <c r="D355" s="13"/>
      <c r="E355" s="14"/>
      <c r="P355" s="29"/>
      <c r="Q355" s="29"/>
      <c r="R355" s="29"/>
      <c r="S355" s="29"/>
      <c r="T355" s="6"/>
      <c r="U355" s="23"/>
      <c r="V355" s="23"/>
      <c r="W355" s="23"/>
    </row>
    <row r="356" spans="1:23" s="24" customFormat="1" ht="12.75" customHeight="1" outlineLevel="1" x14ac:dyDescent="0.2">
      <c r="A356" s="23"/>
      <c r="D356" s="13" t="s">
        <v>1019</v>
      </c>
      <c r="E356" s="14" t="str">
        <f>Translations!$B$515</f>
        <v>Applied tiers for calculation factors:</v>
      </c>
      <c r="P356" s="29"/>
      <c r="Q356" s="29"/>
      <c r="R356" s="29"/>
      <c r="S356" s="29"/>
      <c r="T356" s="23"/>
      <c r="U356" s="23"/>
      <c r="V356" s="23"/>
      <c r="W356" s="23"/>
    </row>
    <row r="357" spans="1:23" s="24" customFormat="1" ht="5.0999999999999996" customHeight="1" outlineLevel="1" x14ac:dyDescent="0.2">
      <c r="A357" s="23"/>
      <c r="D357" s="13"/>
      <c r="E357" s="14"/>
      <c r="P357" s="29"/>
      <c r="Q357" s="29"/>
      <c r="R357" s="29"/>
      <c r="S357" s="29"/>
      <c r="T357" s="23"/>
      <c r="U357" s="23"/>
      <c r="V357" s="23"/>
      <c r="W357" s="23"/>
    </row>
    <row r="358" spans="1:23" s="24" customFormat="1" ht="25.5" customHeight="1" outlineLevel="1" x14ac:dyDescent="0.2">
      <c r="A358" s="23"/>
      <c r="E358" s="1044" t="str">
        <f>Translations!$B$516</f>
        <v>calculation factor</v>
      </c>
      <c r="F358" s="1044"/>
      <c r="G358" s="1044"/>
      <c r="H358" s="50" t="str">
        <f>Translations!$B$517</f>
        <v>required tier</v>
      </c>
      <c r="I358" s="50" t="str">
        <f>Translations!$B$518</f>
        <v>applied tier</v>
      </c>
      <c r="J358" s="1046" t="str">
        <f>Translations!$B$519</f>
        <v>full text for applied tier</v>
      </c>
      <c r="K358" s="1047"/>
      <c r="L358" s="1047"/>
      <c r="M358" s="1047"/>
      <c r="N358" s="1048"/>
      <c r="P358" s="29"/>
      <c r="Q358" s="29"/>
      <c r="R358" s="29"/>
      <c r="S358" s="15" t="s">
        <v>1038</v>
      </c>
      <c r="T358" s="23"/>
      <c r="U358" s="23"/>
      <c r="V358" s="23"/>
      <c r="W358" s="52" t="s">
        <v>1295</v>
      </c>
    </row>
    <row r="359" spans="1:23" s="24" customFormat="1" ht="12.75" customHeight="1" outlineLevel="1" x14ac:dyDescent="0.2">
      <c r="A359" s="23"/>
      <c r="D359" s="25" t="s">
        <v>1030</v>
      </c>
      <c r="E359" s="1039" t="str">
        <f>Translations!$B$520</f>
        <v>Net calorific value (NCV)</v>
      </c>
      <c r="F359" s="1039"/>
      <c r="G359" s="1039"/>
      <c r="H359" s="30" t="str">
        <f>IF(H321="","",IF(CNTR_Category="A",INDEX(EUwideConstants!$G:$G,MATCH(Q359,EUwideConstants!$S:$S,0)),INDEX(EUwideConstants!$P:$P,MATCH(Q359,EUwideConstants!$S:$S,0))))</f>
        <v/>
      </c>
      <c r="I359" s="192"/>
      <c r="J359" s="1041" t="str">
        <f t="shared" ref="J359:J364" si="19">IF(OR(ISBLANK(I359),I359=EUconst_NoTier),"",IF(S359=0,EUconst_NotApplicable,IF(ISERROR(S359),"",S359)))</f>
        <v/>
      </c>
      <c r="K359" s="1042"/>
      <c r="L359" s="1042"/>
      <c r="M359" s="1042"/>
      <c r="N359" s="1043"/>
      <c r="P359" s="29"/>
      <c r="Q359" s="92" t="str">
        <f>EUconst_CNTR_NCV&amp;H321</f>
        <v>NCV_</v>
      </c>
      <c r="R359" s="29"/>
      <c r="S359" s="31" t="str">
        <f>IF(ISBLANK(I359),"",IF(I359=EUconst_NA,"",INDEX(EUwideConstants!$H:$O,MATCH(Q359,EUwideConstants!$S:$S,0),MATCH(I359,CNTR_TierList,0))))</f>
        <v/>
      </c>
      <c r="T359" s="23"/>
      <c r="U359" s="23"/>
      <c r="V359" s="23"/>
      <c r="W359" s="32" t="b">
        <f t="shared" ref="W359:W364" si="20">(H359=EUconst_NA)</f>
        <v>0</v>
      </c>
    </row>
    <row r="360" spans="1:23" s="24" customFormat="1" ht="12.75" customHeight="1" outlineLevel="1" x14ac:dyDescent="0.2">
      <c r="A360" s="23"/>
      <c r="D360" s="25" t="s">
        <v>1031</v>
      </c>
      <c r="E360" s="1039" t="str">
        <f>Translations!$B$521</f>
        <v>Emission factor (preliminary)</v>
      </c>
      <c r="F360" s="1039"/>
      <c r="G360" s="1039"/>
      <c r="H360" s="30" t="str">
        <f>IF(H321="","",IF(CNTR_Category="A",INDEX(EUwideConstants!$G:$G,MATCH(Q360,EUwideConstants!$S:$S,0)),INDEX(EUwideConstants!$P:$P,MATCH(Q360,EUwideConstants!$S:$S,0))))</f>
        <v/>
      </c>
      <c r="I360" s="192"/>
      <c r="J360" s="1041" t="str">
        <f t="shared" si="19"/>
        <v/>
      </c>
      <c r="K360" s="1042"/>
      <c r="L360" s="1042"/>
      <c r="M360" s="1042"/>
      <c r="N360" s="1043"/>
      <c r="P360" s="29"/>
      <c r="Q360" s="92" t="str">
        <f>EUconst_CNTR_EF&amp;H321</f>
        <v>EF_</v>
      </c>
      <c r="R360" s="29"/>
      <c r="S360" s="31" t="str">
        <f>IF(ISBLANK(I360),"",IF(I360=EUconst_NA,"",INDEX(EUwideConstants!$H:$O,MATCH(Q360,EUwideConstants!$S:$S,0),MATCH(I360,CNTR_TierList,0))))</f>
        <v/>
      </c>
      <c r="T360" s="23"/>
      <c r="U360" s="23"/>
      <c r="V360" s="23"/>
      <c r="W360" s="32" t="b">
        <f t="shared" si="20"/>
        <v>0</v>
      </c>
    </row>
    <row r="361" spans="1:23" s="24" customFormat="1" ht="12.75" customHeight="1" outlineLevel="1" x14ac:dyDescent="0.2">
      <c r="A361" s="23"/>
      <c r="D361" s="25" t="s">
        <v>1468</v>
      </c>
      <c r="E361" s="1039" t="str">
        <f>Translations!$B$522</f>
        <v>Oxidation factor</v>
      </c>
      <c r="F361" s="1039"/>
      <c r="G361" s="1039"/>
      <c r="H361" s="30" t="str">
        <f>IF(H321="","",IF(CNTR_Category="A",INDEX(EUwideConstants!$G:$G,MATCH(Q361,EUwideConstants!$S:$S,0)),INDEX(EUwideConstants!$P:$P,MATCH(Q361,EUwideConstants!$S:$S,0))))</f>
        <v/>
      </c>
      <c r="I361" s="192"/>
      <c r="J361" s="1041" t="str">
        <f t="shared" si="19"/>
        <v/>
      </c>
      <c r="K361" s="1042"/>
      <c r="L361" s="1042"/>
      <c r="M361" s="1042"/>
      <c r="N361" s="1043"/>
      <c r="P361" s="29"/>
      <c r="Q361" s="92" t="str">
        <f>EUconst_CNTR_OxidationFactor&amp;H321</f>
        <v>OxF_</v>
      </c>
      <c r="R361" s="29"/>
      <c r="S361" s="31" t="str">
        <f>IF(ISBLANK(I361),"",IF(I361=EUconst_NA,"",INDEX(EUwideConstants!$H:$O,MATCH(Q361,EUwideConstants!$S:$S,0),MATCH(I361,CNTR_TierList,0))))</f>
        <v/>
      </c>
      <c r="T361" s="23"/>
      <c r="U361" s="23"/>
      <c r="V361" s="23"/>
      <c r="W361" s="32" t="b">
        <f t="shared" si="20"/>
        <v>0</v>
      </c>
    </row>
    <row r="362" spans="1:23" s="24" customFormat="1" ht="12.75" customHeight="1" outlineLevel="1" x14ac:dyDescent="0.2">
      <c r="A362" s="23"/>
      <c r="D362" s="25" t="s">
        <v>1469</v>
      </c>
      <c r="E362" s="1039" t="str">
        <f>Translations!$B$523</f>
        <v>Conversion factor</v>
      </c>
      <c r="F362" s="1039"/>
      <c r="G362" s="1039"/>
      <c r="H362" s="30" t="str">
        <f>IF(H321="","",IF(CNTR_Category="A",INDEX(EUwideConstants!$G:$G,MATCH(Q362,EUwideConstants!$S:$S,0)),INDEX(EUwideConstants!$P:$P,MATCH(Q362,EUwideConstants!$S:$S,0))))</f>
        <v/>
      </c>
      <c r="I362" s="192"/>
      <c r="J362" s="1041" t="str">
        <f t="shared" si="19"/>
        <v/>
      </c>
      <c r="K362" s="1042"/>
      <c r="L362" s="1042"/>
      <c r="M362" s="1042"/>
      <c r="N362" s="1043"/>
      <c r="P362" s="29"/>
      <c r="Q362" s="92" t="str">
        <f>EUconst_CNTR_ConversionFactor&amp;H321</f>
        <v>ConvF_</v>
      </c>
      <c r="R362" s="29"/>
      <c r="S362" s="31" t="str">
        <f>IF(ISBLANK(I362),"",IF(I362=EUconst_NA,"",INDEX(EUwideConstants!$H:$O,MATCH(Q362,EUwideConstants!$S:$S,0),MATCH(I362,CNTR_TierList,0))))</f>
        <v/>
      </c>
      <c r="T362" s="23"/>
      <c r="U362" s="23"/>
      <c r="V362" s="23"/>
      <c r="W362" s="32" t="b">
        <f t="shared" si="20"/>
        <v>0</v>
      </c>
    </row>
    <row r="363" spans="1:23" s="24" customFormat="1" ht="12.75" customHeight="1" outlineLevel="1" x14ac:dyDescent="0.2">
      <c r="A363" s="23"/>
      <c r="D363" s="25" t="s">
        <v>1470</v>
      </c>
      <c r="E363" s="1039" t="str">
        <f>Translations!$B$524</f>
        <v>Carbon content</v>
      </c>
      <c r="F363" s="1039"/>
      <c r="G363" s="1039"/>
      <c r="H363" s="30" t="str">
        <f>IF(H321="","",IF(CNTR_Category="A",INDEX(EUwideConstants!$G:$G,MATCH(Q363,EUwideConstants!$S:$S,0)),INDEX(EUwideConstants!$P:$P,MATCH(Q363,EUwideConstants!$S:$S,0))))</f>
        <v/>
      </c>
      <c r="I363" s="192"/>
      <c r="J363" s="1041" t="str">
        <f t="shared" si="19"/>
        <v/>
      </c>
      <c r="K363" s="1042"/>
      <c r="L363" s="1042"/>
      <c r="M363" s="1042"/>
      <c r="N363" s="1043"/>
      <c r="P363" s="209"/>
      <c r="Q363" s="92" t="str">
        <f>EUconst_CNTR_CarbonContent&amp;H321</f>
        <v>CarbC_</v>
      </c>
      <c r="R363" s="29"/>
      <c r="S363" s="31" t="str">
        <f>IF(ISBLANK(I363),"",IF(I363=EUconst_NA,"",INDEX(EUwideConstants!$H:$O,MATCH(Q363,EUwideConstants!$S:$S,0),MATCH(I363,CNTR_TierList,0))))</f>
        <v/>
      </c>
      <c r="T363" s="23"/>
      <c r="U363" s="23"/>
      <c r="V363" s="23"/>
      <c r="W363" s="32" t="b">
        <f t="shared" si="20"/>
        <v>0</v>
      </c>
    </row>
    <row r="364" spans="1:23" s="24" customFormat="1" ht="12.75" customHeight="1" outlineLevel="1" x14ac:dyDescent="0.2">
      <c r="A364" s="23"/>
      <c r="D364" s="25" t="s">
        <v>1471</v>
      </c>
      <c r="E364" s="1039" t="str">
        <f>Translations!$B$525</f>
        <v>Biomass fraction (if applicable)</v>
      </c>
      <c r="F364" s="1039"/>
      <c r="G364" s="1039"/>
      <c r="H364" s="30" t="str">
        <f>IF(H321="","",IF(CNTR_Category="A",INDEX(EUwideConstants!$G:$G,MATCH(Q364,EUwideConstants!$S:$S,0)),INDEX(EUwideConstants!$P:$P,MATCH(Q364,EUwideConstants!$S:$S,0))))</f>
        <v/>
      </c>
      <c r="I364" s="192"/>
      <c r="J364" s="1041" t="str">
        <f t="shared" si="19"/>
        <v/>
      </c>
      <c r="K364" s="1042"/>
      <c r="L364" s="1042"/>
      <c r="M364" s="1042"/>
      <c r="N364" s="1043"/>
      <c r="P364" s="29"/>
      <c r="Q364" s="92" t="str">
        <f>EUconst_CNTR_BiomassContent&amp;H321</f>
        <v>BioC_</v>
      </c>
      <c r="R364" s="29"/>
      <c r="S364" s="31" t="str">
        <f>IF(ISBLANK(I364),"",IF(I364=EUconst_NA,"",INDEX(EUwideConstants!$H:$O,MATCH(Q364,EUwideConstants!$S:$S,0),MATCH(I364,CNTR_TierList,0))))</f>
        <v/>
      </c>
      <c r="T364" s="23"/>
      <c r="U364" s="23"/>
      <c r="V364" s="23"/>
      <c r="W364" s="32" t="b">
        <f t="shared" si="20"/>
        <v>0</v>
      </c>
    </row>
    <row r="365" spans="1:23" s="24" customFormat="1" outlineLevel="1" x14ac:dyDescent="0.2">
      <c r="A365" s="23"/>
      <c r="D365" s="13"/>
      <c r="E365" s="67"/>
      <c r="F365" s="67"/>
      <c r="G365" s="67"/>
      <c r="H365" s="67"/>
      <c r="I365" s="67"/>
      <c r="J365" s="67"/>
      <c r="K365" s="67"/>
      <c r="L365" s="67"/>
      <c r="M365" s="67"/>
      <c r="N365" s="67"/>
      <c r="P365" s="29"/>
      <c r="Q365" s="23"/>
      <c r="R365" s="23"/>
      <c r="S365" s="23"/>
      <c r="T365" s="23"/>
      <c r="U365" s="23"/>
      <c r="V365" s="23"/>
      <c r="W365" s="23"/>
    </row>
    <row r="366" spans="1:23" s="24" customFormat="1" outlineLevel="1" x14ac:dyDescent="0.2">
      <c r="A366" s="23"/>
      <c r="D366" s="13" t="s">
        <v>1349</v>
      </c>
      <c r="E366" s="14" t="str">
        <f>Translations!$B$534</f>
        <v>Details for calculation factors:</v>
      </c>
      <c r="F366" s="67"/>
      <c r="G366" s="67"/>
      <c r="H366" s="67"/>
      <c r="I366" s="67"/>
      <c r="J366" s="67"/>
      <c r="K366" s="67"/>
      <c r="L366" s="67"/>
      <c r="M366" s="67"/>
      <c r="N366" s="67"/>
      <c r="P366" s="29"/>
      <c r="Q366" s="23"/>
      <c r="R366" s="23"/>
      <c r="S366" s="23"/>
      <c r="T366" s="23"/>
      <c r="U366" s="23"/>
      <c r="V366" s="23"/>
      <c r="W366" s="23"/>
    </row>
    <row r="367" spans="1:23" s="24" customFormat="1" ht="5.0999999999999996" customHeight="1" outlineLevel="1" x14ac:dyDescent="0.2">
      <c r="A367" s="23"/>
      <c r="D367" s="13"/>
      <c r="E367" s="67"/>
      <c r="F367" s="67"/>
      <c r="G367" s="67"/>
      <c r="H367" s="67"/>
      <c r="I367" s="67"/>
      <c r="J367" s="67"/>
      <c r="K367" s="67"/>
      <c r="L367" s="67"/>
      <c r="M367" s="67"/>
      <c r="N367" s="67"/>
      <c r="P367" s="29"/>
      <c r="Q367" s="23"/>
      <c r="R367" s="23"/>
      <c r="S367" s="23"/>
      <c r="T367" s="23"/>
      <c r="U367" s="23"/>
      <c r="V367" s="23"/>
      <c r="W367" s="23"/>
    </row>
    <row r="368" spans="1:23" s="24" customFormat="1" ht="25.5" customHeight="1" outlineLevel="1" x14ac:dyDescent="0.2">
      <c r="A368" s="23"/>
      <c r="E368" s="1044" t="str">
        <f t="shared" ref="E368:E374" si="21">E358</f>
        <v>calculation factor</v>
      </c>
      <c r="F368" s="1044"/>
      <c r="G368" s="1044"/>
      <c r="H368" s="50" t="str">
        <f>I358</f>
        <v>applied tier</v>
      </c>
      <c r="I368" s="51" t="str">
        <f>Translations!$B$535</f>
        <v>default value</v>
      </c>
      <c r="J368" s="51" t="str">
        <f>Translations!$B$536</f>
        <v>Unit</v>
      </c>
      <c r="K368" s="51" t="str">
        <f>Translations!$B$537</f>
        <v>source ref</v>
      </c>
      <c r="L368" s="51" t="str">
        <f>Translations!$B$538</f>
        <v>analysis ref</v>
      </c>
      <c r="M368" s="51" t="str">
        <f>Translations!$B$539</f>
        <v>sampling ref</v>
      </c>
      <c r="N368" s="51" t="str">
        <f>Translations!$B$540</f>
        <v>Analysis frequency</v>
      </c>
      <c r="P368" s="29"/>
      <c r="Q368" s="23"/>
      <c r="R368" s="23"/>
      <c r="S368" s="52" t="s">
        <v>384</v>
      </c>
      <c r="T368" s="23"/>
      <c r="U368" s="23"/>
      <c r="V368" s="23"/>
      <c r="W368" s="52" t="s">
        <v>1295</v>
      </c>
    </row>
    <row r="369" spans="1:23" s="24" customFormat="1" ht="12.75" customHeight="1" outlineLevel="1" x14ac:dyDescent="0.2">
      <c r="A369" s="23"/>
      <c r="D369" s="25" t="s">
        <v>1030</v>
      </c>
      <c r="E369" s="1039" t="str">
        <f t="shared" si="21"/>
        <v>Net calorific value (NCV)</v>
      </c>
      <c r="F369" s="1039"/>
      <c r="G369" s="1039"/>
      <c r="H369" s="30" t="str">
        <f t="shared" ref="H369:H374" si="22">IF(OR(ISBLANK(I359),I359=EUconst_NA),"",I359)</f>
        <v/>
      </c>
      <c r="I369" s="192"/>
      <c r="J369" s="192"/>
      <c r="K369" s="214"/>
      <c r="L369" s="213"/>
      <c r="M369" s="213"/>
      <c r="N369" s="196"/>
      <c r="P369" s="209"/>
      <c r="Q369" s="23"/>
      <c r="R369" s="23"/>
      <c r="S369" s="63" t="str">
        <f>IF(H369="","",IF(I359=EUconst_NA,"",INDEX(EUwideConstants!$AL:$AR,MATCH(Q359,EUwideConstants!$S:$S,0),MATCH(I359,CNTR_TierList,0))))</f>
        <v/>
      </c>
      <c r="T369" s="23"/>
      <c r="U369" s="23"/>
      <c r="V369" s="23"/>
      <c r="W369" s="32" t="b">
        <f t="shared" ref="W369:W374" si="23">OR(H369="",H369=EUconst_NA,J359=EUconst_NotApplicable)</f>
        <v>1</v>
      </c>
    </row>
    <row r="370" spans="1:23" s="24" customFormat="1" ht="12.75" customHeight="1" outlineLevel="1" x14ac:dyDescent="0.2">
      <c r="A370" s="23"/>
      <c r="D370" s="25" t="s">
        <v>1031</v>
      </c>
      <c r="E370" s="1039" t="str">
        <f t="shared" si="21"/>
        <v>Emission factor (preliminary)</v>
      </c>
      <c r="F370" s="1039"/>
      <c r="G370" s="1039"/>
      <c r="H370" s="30" t="str">
        <f t="shared" si="22"/>
        <v/>
      </c>
      <c r="I370" s="197"/>
      <c r="J370" s="192"/>
      <c r="K370" s="213"/>
      <c r="L370" s="271"/>
      <c r="M370" s="271"/>
      <c r="N370" s="196"/>
      <c r="P370" s="29"/>
      <c r="Q370" s="23"/>
      <c r="R370" s="23"/>
      <c r="S370" s="63" t="str">
        <f>IF(H370="","",IF(I360=EUconst_NA,"",INDEX(EUwideConstants!$AL:$AR,MATCH(Q360,EUwideConstants!$S:$S,0),MATCH(I360,CNTR_TierList,0))))</f>
        <v/>
      </c>
      <c r="T370" s="23"/>
      <c r="U370" s="23"/>
      <c r="V370" s="23"/>
      <c r="W370" s="32" t="b">
        <f t="shared" si="23"/>
        <v>1</v>
      </c>
    </row>
    <row r="371" spans="1:23" s="24" customFormat="1" ht="12.75" customHeight="1" outlineLevel="1" x14ac:dyDescent="0.2">
      <c r="A371" s="23"/>
      <c r="D371" s="25" t="s">
        <v>1468</v>
      </c>
      <c r="E371" s="1039" t="str">
        <f t="shared" si="21"/>
        <v>Oxidation factor</v>
      </c>
      <c r="F371" s="1039"/>
      <c r="G371" s="1039"/>
      <c r="H371" s="30" t="str">
        <f t="shared" si="22"/>
        <v/>
      </c>
      <c r="I371" s="192"/>
      <c r="J371" s="192"/>
      <c r="K371" s="213"/>
      <c r="L371" s="213"/>
      <c r="M371" s="213"/>
      <c r="N371" s="196"/>
      <c r="P371" s="29"/>
      <c r="Q371" s="23"/>
      <c r="R371" s="23"/>
      <c r="S371" s="63" t="str">
        <f>IF(H371="","",IF(I361=EUconst_NA,"",INDEX(EUwideConstants!$AL:$AR,MATCH(Q361,EUwideConstants!$S:$S,0),MATCH(I361,CNTR_TierList,0))))</f>
        <v/>
      </c>
      <c r="T371" s="23"/>
      <c r="U371" s="23"/>
      <c r="V371" s="23"/>
      <c r="W371" s="32" t="b">
        <f t="shared" si="23"/>
        <v>1</v>
      </c>
    </row>
    <row r="372" spans="1:23" s="24" customFormat="1" ht="12.75" customHeight="1" outlineLevel="1" x14ac:dyDescent="0.2">
      <c r="A372" s="23"/>
      <c r="D372" s="25" t="s">
        <v>1469</v>
      </c>
      <c r="E372" s="1039" t="str">
        <f t="shared" si="21"/>
        <v>Conversion factor</v>
      </c>
      <c r="F372" s="1039"/>
      <c r="G372" s="1039"/>
      <c r="H372" s="30" t="str">
        <f t="shared" si="22"/>
        <v/>
      </c>
      <c r="I372" s="192"/>
      <c r="J372" s="192"/>
      <c r="K372" s="213"/>
      <c r="L372" s="271"/>
      <c r="M372" s="213"/>
      <c r="N372" s="196"/>
      <c r="P372" s="29"/>
      <c r="Q372" s="23"/>
      <c r="R372" s="23"/>
      <c r="S372" s="63" t="str">
        <f>IF(H372="","",IF(I362=EUconst_NA,"",INDEX(EUwideConstants!$AL:$AR,MATCH(Q362,EUwideConstants!$S:$S,0),MATCH(I362,CNTR_TierList,0))))</f>
        <v/>
      </c>
      <c r="T372" s="23"/>
      <c r="U372" s="23"/>
      <c r="V372" s="23"/>
      <c r="W372" s="32" t="b">
        <f t="shared" si="23"/>
        <v>1</v>
      </c>
    </row>
    <row r="373" spans="1:23" s="24" customFormat="1" ht="12.75" customHeight="1" outlineLevel="1" x14ac:dyDescent="0.2">
      <c r="A373" s="23"/>
      <c r="D373" s="25" t="s">
        <v>1470</v>
      </c>
      <c r="E373" s="1039" t="str">
        <f t="shared" si="21"/>
        <v>Carbon content</v>
      </c>
      <c r="F373" s="1039"/>
      <c r="G373" s="1039"/>
      <c r="H373" s="30" t="str">
        <f t="shared" si="22"/>
        <v/>
      </c>
      <c r="I373" s="192"/>
      <c r="J373" s="192"/>
      <c r="K373" s="213"/>
      <c r="L373" s="213"/>
      <c r="M373" s="213"/>
      <c r="N373" s="196"/>
      <c r="P373" s="29"/>
      <c r="Q373" s="23"/>
      <c r="R373" s="23"/>
      <c r="S373" s="63" t="str">
        <f>IF(H373="","",IF(I363=EUconst_NA,"",INDEX(EUwideConstants!$AL:$AR,MATCH(Q363,EUwideConstants!$S:$S,0),MATCH(I363,CNTR_TierList,0))))</f>
        <v/>
      </c>
      <c r="T373" s="23"/>
      <c r="U373" s="23"/>
      <c r="V373" s="23"/>
      <c r="W373" s="32" t="b">
        <f t="shared" si="23"/>
        <v>1</v>
      </c>
    </row>
    <row r="374" spans="1:23" s="24" customFormat="1" ht="12.75" customHeight="1" outlineLevel="1" x14ac:dyDescent="0.2">
      <c r="A374" s="23"/>
      <c r="D374" s="25" t="s">
        <v>1471</v>
      </c>
      <c r="E374" s="1039" t="str">
        <f t="shared" si="21"/>
        <v>Biomass fraction (if applicable)</v>
      </c>
      <c r="F374" s="1039"/>
      <c r="G374" s="1039"/>
      <c r="H374" s="30" t="str">
        <f t="shared" si="22"/>
        <v/>
      </c>
      <c r="I374" s="192"/>
      <c r="J374" s="197"/>
      <c r="K374" s="213"/>
      <c r="L374" s="213"/>
      <c r="M374" s="213"/>
      <c r="N374" s="196"/>
      <c r="P374" s="47"/>
      <c r="Q374" s="23"/>
      <c r="R374" s="23"/>
      <c r="S374" s="63" t="str">
        <f>IF(H374="","",IF(I364=EUconst_NA,"",INDEX(EUwideConstants!$AL:$AR,MATCH(Q364,EUwideConstants!$S:$S,0),MATCH(I364,CNTR_TierList,0))))</f>
        <v/>
      </c>
      <c r="T374" s="23"/>
      <c r="U374" s="23"/>
      <c r="V374" s="23"/>
      <c r="W374" s="32" t="b">
        <f t="shared" si="23"/>
        <v>1</v>
      </c>
    </row>
    <row r="375" spans="1:23" s="24" customFormat="1" ht="12.75" customHeight="1" outlineLevel="1" x14ac:dyDescent="0.2">
      <c r="A375" s="23"/>
      <c r="D375" s="13"/>
      <c r="P375" s="29"/>
      <c r="Q375" s="23"/>
      <c r="R375" s="23"/>
      <c r="S375" s="23"/>
      <c r="T375" s="23"/>
      <c r="U375" s="23"/>
      <c r="V375" s="23"/>
      <c r="W375" s="23"/>
    </row>
    <row r="376" spans="1:23" s="24" customFormat="1" ht="15" customHeight="1" outlineLevel="1" x14ac:dyDescent="0.2">
      <c r="A376" s="23"/>
      <c r="D376" s="1040" t="str">
        <f>Translations!$B$545</f>
        <v>Comments and explanations:</v>
      </c>
      <c r="E376" s="1040"/>
      <c r="F376" s="1040"/>
      <c r="G376" s="1040"/>
      <c r="H376" s="1040"/>
      <c r="I376" s="1040"/>
      <c r="J376" s="1040"/>
      <c r="K376" s="1040"/>
      <c r="L376" s="1040"/>
      <c r="M376" s="1040"/>
      <c r="N376" s="1040"/>
      <c r="P376" s="29"/>
      <c r="Q376" s="29"/>
      <c r="R376" s="29"/>
      <c r="S376" s="29"/>
      <c r="T376" s="6"/>
      <c r="U376" s="23"/>
      <c r="V376" s="23"/>
      <c r="W376" s="23"/>
    </row>
    <row r="377" spans="1:23" s="24" customFormat="1" ht="5.0999999999999996" customHeight="1" outlineLevel="1" x14ac:dyDescent="0.2">
      <c r="A377" s="23"/>
      <c r="D377" s="13"/>
      <c r="P377" s="29"/>
      <c r="Q377" s="23"/>
      <c r="R377" s="23"/>
      <c r="S377" s="23"/>
      <c r="T377" s="23"/>
      <c r="U377" s="23"/>
      <c r="V377" s="23"/>
      <c r="W377" s="23"/>
    </row>
    <row r="378" spans="1:23" s="24" customFormat="1" ht="12.75" customHeight="1" outlineLevel="1" x14ac:dyDescent="0.2">
      <c r="A378" s="23"/>
      <c r="D378" s="13" t="s">
        <v>1351</v>
      </c>
      <c r="E378" s="946" t="str">
        <f>Translations!$B$1198</f>
        <v>Comments and justification if required tiers are not applied:</v>
      </c>
      <c r="F378" s="946"/>
      <c r="G378" s="946"/>
      <c r="H378" s="946"/>
      <c r="I378" s="946"/>
      <c r="J378" s="946"/>
      <c r="K378" s="946"/>
      <c r="L378" s="946"/>
      <c r="M378" s="946"/>
      <c r="N378" s="946"/>
      <c r="P378" s="29"/>
      <c r="Q378" s="23"/>
      <c r="R378" s="23"/>
      <c r="S378" s="23"/>
      <c r="T378" s="23"/>
      <c r="U378" s="23"/>
      <c r="V378" s="23"/>
      <c r="W378" s="23"/>
    </row>
    <row r="379" spans="1:23" s="24" customFormat="1" ht="5.0999999999999996" customHeight="1" outlineLevel="1" x14ac:dyDescent="0.2">
      <c r="A379" s="23"/>
      <c r="D379" s="13"/>
      <c r="E379" s="48"/>
      <c r="P379" s="29"/>
      <c r="Q379" s="23"/>
      <c r="R379" s="23"/>
      <c r="S379" s="23"/>
      <c r="T379" s="23"/>
      <c r="U379" s="23"/>
      <c r="V379" s="23"/>
      <c r="W379" s="23"/>
    </row>
    <row r="380" spans="1:23" s="24" customFormat="1" ht="12.75" customHeight="1" outlineLevel="1" x14ac:dyDescent="0.2">
      <c r="A380" s="23"/>
      <c r="D380" s="13"/>
      <c r="E380" s="1045"/>
      <c r="F380" s="955"/>
      <c r="G380" s="955"/>
      <c r="H380" s="955"/>
      <c r="I380" s="955"/>
      <c r="J380" s="955"/>
      <c r="K380" s="955"/>
      <c r="L380" s="955"/>
      <c r="M380" s="955"/>
      <c r="N380" s="956"/>
      <c r="P380" s="29"/>
      <c r="Q380" s="23"/>
      <c r="R380" s="23"/>
      <c r="S380" s="23"/>
      <c r="T380" s="23"/>
      <c r="U380" s="23"/>
      <c r="V380" s="23"/>
      <c r="W380" s="23"/>
    </row>
    <row r="381" spans="1:23" s="24" customFormat="1" ht="12.75" customHeight="1" outlineLevel="1" x14ac:dyDescent="0.2">
      <c r="A381" s="23"/>
      <c r="D381" s="13"/>
      <c r="E381" s="1037"/>
      <c r="F381" s="958"/>
      <c r="G381" s="958"/>
      <c r="H381" s="958"/>
      <c r="I381" s="958"/>
      <c r="J381" s="958"/>
      <c r="K381" s="958"/>
      <c r="L381" s="958"/>
      <c r="M381" s="958"/>
      <c r="N381" s="959"/>
      <c r="P381" s="29"/>
      <c r="Q381" s="23"/>
      <c r="R381" s="23"/>
      <c r="S381" s="23"/>
      <c r="T381" s="23"/>
      <c r="U381" s="23"/>
      <c r="V381" s="23"/>
      <c r="W381" s="23"/>
    </row>
    <row r="382" spans="1:23" s="24" customFormat="1" ht="12.75" customHeight="1" outlineLevel="1" x14ac:dyDescent="0.2">
      <c r="A382" s="23"/>
      <c r="D382" s="13"/>
      <c r="E382" s="1038"/>
      <c r="F382" s="961"/>
      <c r="G382" s="961"/>
      <c r="H382" s="961"/>
      <c r="I382" s="961"/>
      <c r="J382" s="961"/>
      <c r="K382" s="961"/>
      <c r="L382" s="961"/>
      <c r="M382" s="961"/>
      <c r="N382" s="962"/>
      <c r="P382" s="29"/>
      <c r="Q382" s="23"/>
      <c r="R382" s="23"/>
      <c r="S382" s="23"/>
      <c r="T382" s="23"/>
      <c r="U382" s="23"/>
      <c r="V382" s="23"/>
      <c r="W382" s="23"/>
    </row>
    <row r="383" spans="1:23" ht="12.75" customHeight="1" thickBot="1" x14ac:dyDescent="0.25">
      <c r="A383" s="72"/>
      <c r="C383" s="54"/>
      <c r="D383" s="55"/>
      <c r="E383" s="56"/>
      <c r="F383" s="54"/>
      <c r="G383" s="57"/>
      <c r="H383" s="57"/>
      <c r="I383" s="57"/>
      <c r="J383" s="57"/>
      <c r="K383" s="57"/>
      <c r="L383" s="57"/>
      <c r="M383" s="57"/>
      <c r="N383" s="57"/>
      <c r="O383" s="24"/>
      <c r="P383" s="15"/>
      <c r="Q383" s="72"/>
      <c r="R383" s="72"/>
      <c r="S383" s="75"/>
      <c r="T383" s="72"/>
      <c r="U383" s="72"/>
      <c r="V383" s="72"/>
      <c r="W383" s="72"/>
    </row>
    <row r="384" spans="1:23" ht="12.75" customHeight="1" thickBot="1" x14ac:dyDescent="0.25">
      <c r="A384" s="72"/>
      <c r="D384" s="13"/>
      <c r="E384" s="22"/>
      <c r="G384" s="2"/>
      <c r="H384" s="2"/>
      <c r="I384" s="2"/>
      <c r="J384" s="2"/>
      <c r="L384" s="2"/>
      <c r="M384" s="2"/>
      <c r="N384" s="2"/>
      <c r="O384" s="24"/>
      <c r="P384" s="15"/>
      <c r="Q384" s="72"/>
      <c r="R384" s="72"/>
      <c r="S384" s="66" t="s">
        <v>470</v>
      </c>
      <c r="T384" s="107" t="s">
        <v>471</v>
      </c>
      <c r="U384" s="107" t="s">
        <v>472</v>
      </c>
      <c r="V384" s="72"/>
      <c r="W384" s="72"/>
    </row>
    <row r="385" spans="1:23" s="186" customFormat="1" ht="15" customHeight="1" thickBot="1" x14ac:dyDescent="0.25">
      <c r="A385" s="76"/>
      <c r="B385" s="34"/>
      <c r="C385" s="35" t="str">
        <f>"F"&amp;Q385</f>
        <v>F5</v>
      </c>
      <c r="D385" s="1040" t="str">
        <f>CONCATENATE(Euconst_SourceStream," ", Q385,":")</f>
        <v>Source Stream 5:</v>
      </c>
      <c r="E385" s="1040"/>
      <c r="F385" s="1040"/>
      <c r="G385" s="1066"/>
      <c r="H385" s="1067" t="str">
        <f>IF(INDEX(C_InstallationDescription!$F$194:$F$204,MATCH(C385,C_InstallationDescription!$E$194:$E$204,0))&gt;0,INDEX(C_InstallationDescription!$F$194:$F$204,MATCH(C385,C_InstallationDescription!$E$194:$E$204,0)),"")</f>
        <v/>
      </c>
      <c r="I385" s="1067"/>
      <c r="J385" s="1067"/>
      <c r="K385" s="1067"/>
      <c r="L385" s="1068"/>
      <c r="M385" s="1069" t="str">
        <f>IF(S385=TRUE,IF(U385="",T385,U385),"")</f>
        <v/>
      </c>
      <c r="N385" s="1070"/>
      <c r="O385" s="24"/>
      <c r="P385" s="41"/>
      <c r="Q385" s="33">
        <f>Q319+1</f>
        <v>5</v>
      </c>
      <c r="R385" s="37"/>
      <c r="S385" s="40" t="b">
        <f>IF(INDEX(C_InstallationDescription!$M:$M,MATCH(Q387,C_InstallationDescription!$Q:$Q,0))="",FALSE,TRUE)</f>
        <v>0</v>
      </c>
      <c r="T385" s="92" t="str">
        <f>IF(S385=TRUE,INDEX(C_InstallationDescription!$M:$M,MATCH(Q387,C_InstallationDescription!$Q:$Q,0)),"")</f>
        <v/>
      </c>
      <c r="U385" s="40" t="str">
        <f>IF(S385=TRUE,IF(ISBLANK(INDEX(C_InstallationDescription!$N:$N,MATCH(Q387,C_InstallationDescription!$Q:$Q,0))),"",INDEX(C_InstallationDescription!$N:$N,MATCH(Q387,C_InstallationDescription!$Q:$Q,0))),"")</f>
        <v/>
      </c>
      <c r="V385" s="37"/>
      <c r="W385" s="37"/>
    </row>
    <row r="386" spans="1:23" s="24" customFormat="1" ht="5.0999999999999996" customHeight="1" x14ac:dyDescent="0.2">
      <c r="A386" s="72"/>
      <c r="B386" s="8"/>
      <c r="C386" s="8"/>
      <c r="D386" s="8"/>
      <c r="E386" s="8"/>
      <c r="F386" s="8"/>
      <c r="G386" s="8"/>
      <c r="H386" s="8"/>
      <c r="I386" s="8"/>
      <c r="J386" s="8"/>
      <c r="K386" s="8"/>
      <c r="L386" s="8"/>
      <c r="M386" s="7"/>
      <c r="N386" s="7"/>
      <c r="P386" s="17"/>
      <c r="Q386" s="12"/>
      <c r="R386" s="23"/>
      <c r="S386" s="23"/>
      <c r="T386" s="23"/>
      <c r="U386" s="23"/>
      <c r="V386" s="23"/>
      <c r="W386" s="23"/>
    </row>
    <row r="387" spans="1:23" s="24" customFormat="1" ht="12.75" customHeight="1" x14ac:dyDescent="0.2">
      <c r="A387" s="72"/>
      <c r="B387" s="8"/>
      <c r="C387" s="8"/>
      <c r="D387" s="13"/>
      <c r="E387" s="924" t="str">
        <f>Translations!$B$437</f>
        <v>Source stream type:</v>
      </c>
      <c r="F387" s="924"/>
      <c r="G387" s="925"/>
      <c r="H387" s="1071" t="str">
        <f>IF(INDEX(C_InstallationDescription!$I$194:$I$204,MATCH(C385,C_InstallationDescription!$E$194:$E$204,0))&gt;0,INDEX(C_InstallationDescription!$I$194:$I$204,MATCH(C385,C_InstallationDescription!$E$194:$E$204,0)),"")</f>
        <v/>
      </c>
      <c r="I387" s="1072"/>
      <c r="J387" s="1072"/>
      <c r="K387" s="1072"/>
      <c r="L387" s="1073"/>
      <c r="P387" s="17"/>
      <c r="Q387" s="39" t="str">
        <f>EUconst_CNTR_SourceCategory&amp;C385</f>
        <v>SourceCategory_F5</v>
      </c>
      <c r="R387" s="23"/>
      <c r="S387" s="23"/>
      <c r="T387" s="23"/>
      <c r="U387" s="23"/>
      <c r="V387" s="23"/>
      <c r="W387" s="23"/>
    </row>
    <row r="388" spans="1:23" s="24" customFormat="1" ht="12.75" customHeight="1" outlineLevel="1" x14ac:dyDescent="0.2">
      <c r="A388" s="23"/>
      <c r="B388" s="8"/>
      <c r="C388" s="8"/>
      <c r="D388" s="11"/>
      <c r="E388" s="924" t="str">
        <f>Translations!$B$438</f>
        <v>Method applicable according to MRR:</v>
      </c>
      <c r="F388" s="924"/>
      <c r="G388" s="925"/>
      <c r="H388" s="1062" t="str">
        <f>IF(H387="","",INDEX(EUwideConstants!F:F,MATCH(H387,EUwideConstants!Q:Q,0)))</f>
        <v/>
      </c>
      <c r="I388" s="1062"/>
      <c r="J388" s="1062"/>
      <c r="K388" s="1062"/>
      <c r="L388" s="1062"/>
      <c r="M388" s="2"/>
      <c r="N388" s="2"/>
      <c r="P388" s="17"/>
      <c r="Q388" s="12"/>
      <c r="R388" s="23"/>
      <c r="S388" s="23"/>
      <c r="T388" s="23"/>
      <c r="U388" s="23"/>
      <c r="V388" s="23"/>
      <c r="W388" s="23"/>
    </row>
    <row r="389" spans="1:23" s="24" customFormat="1" ht="12.75" customHeight="1" outlineLevel="1" x14ac:dyDescent="0.2">
      <c r="A389" s="23"/>
      <c r="D389" s="38"/>
      <c r="E389" s="924" t="str">
        <f>Translations!$B$439</f>
        <v>Parameter to which uncertainty applies:</v>
      </c>
      <c r="F389" s="924"/>
      <c r="G389" s="925"/>
      <c r="H389" s="1062" t="str">
        <f>IF(H387="","",INDEX(EUwideConstants!E:E,MATCH(H387,EUwideConstants!Q:Q,0)))</f>
        <v/>
      </c>
      <c r="I389" s="1062"/>
      <c r="J389" s="1062"/>
      <c r="K389" s="1062"/>
      <c r="L389" s="1062"/>
      <c r="P389" s="17"/>
      <c r="Q389" s="12"/>
      <c r="R389" s="23"/>
      <c r="S389" s="23"/>
      <c r="T389" s="23"/>
      <c r="U389" s="23"/>
      <c r="V389" s="23"/>
      <c r="W389" s="23"/>
    </row>
    <row r="390" spans="1:23" s="24" customFormat="1" ht="5.0999999999999996" customHeight="1" outlineLevel="1" x14ac:dyDescent="0.2">
      <c r="A390" s="23"/>
      <c r="P390" s="29"/>
      <c r="Q390" s="23"/>
      <c r="R390" s="23"/>
      <c r="S390" s="23"/>
      <c r="T390" s="23"/>
      <c r="U390" s="23"/>
      <c r="V390" s="23"/>
      <c r="W390" s="23"/>
    </row>
    <row r="391" spans="1:23" s="24" customFormat="1" ht="51" customHeight="1" outlineLevel="1" x14ac:dyDescent="0.2">
      <c r="A391" s="23"/>
      <c r="D391" s="13"/>
      <c r="E391" s="1063" t="str">
        <f>IF(H385="","",INDEX(EUconst_SmallEmiSouStreamMsg,MATCH(Q391,EUconst_SmallEmiSouStream,0)))</f>
        <v/>
      </c>
      <c r="F391" s="1064"/>
      <c r="G391" s="1064"/>
      <c r="H391" s="1064"/>
      <c r="I391" s="1064"/>
      <c r="J391" s="1064"/>
      <c r="K391" s="1064"/>
      <c r="L391" s="1064"/>
      <c r="M391" s="1064"/>
      <c r="N391" s="1065"/>
      <c r="P391" s="15"/>
      <c r="Q391" s="43" t="str">
        <f>IF(CNTR_SmallEmitter=TRUE,EUconst_CNTR_SmallEmitter,EUconst_CNTR_NoSmallEmitter) &amp; IF((CNTR_Category)="","C",CNTR_Category) &amp; "_" &amp; IF(M385="",1,MATCH(M385,SourceCategory,0))</f>
        <v>NoSmallEmitter_C_1</v>
      </c>
      <c r="R391" s="23"/>
      <c r="S391" s="23"/>
      <c r="T391" s="23"/>
      <c r="U391" s="23"/>
      <c r="V391" s="23"/>
      <c r="W391" s="23"/>
    </row>
    <row r="392" spans="1:23" s="24" customFormat="1" ht="12.75" customHeight="1" outlineLevel="1" x14ac:dyDescent="0.2">
      <c r="A392" s="23"/>
      <c r="D392" s="13"/>
      <c r="P392" s="29"/>
      <c r="Q392" s="23"/>
      <c r="R392" s="23"/>
      <c r="S392" s="23"/>
      <c r="T392" s="23"/>
      <c r="U392" s="23"/>
      <c r="V392" s="23"/>
      <c r="W392" s="23"/>
    </row>
    <row r="393" spans="1:23" s="24" customFormat="1" ht="15" customHeight="1" outlineLevel="1" x14ac:dyDescent="0.2">
      <c r="A393" s="23"/>
      <c r="D393" s="1040" t="str">
        <f>Translations!$B$454</f>
        <v>Activity Data:</v>
      </c>
      <c r="E393" s="1040"/>
      <c r="F393" s="1040"/>
      <c r="G393" s="1040"/>
      <c r="H393" s="1040"/>
      <c r="I393" s="1040"/>
      <c r="J393" s="1040"/>
      <c r="K393" s="1040"/>
      <c r="L393" s="1040"/>
      <c r="M393" s="1040"/>
      <c r="N393" s="1040"/>
      <c r="P393" s="29"/>
      <c r="Q393" s="23"/>
      <c r="R393" s="23"/>
      <c r="S393" s="23"/>
      <c r="T393" s="23"/>
      <c r="U393" s="23"/>
      <c r="V393" s="23"/>
      <c r="W393" s="23"/>
    </row>
    <row r="394" spans="1:23" s="24" customFormat="1" ht="5.0999999999999996" customHeight="1" outlineLevel="1" x14ac:dyDescent="0.2">
      <c r="A394" s="23"/>
      <c r="D394" s="13"/>
      <c r="P394" s="29"/>
      <c r="Q394" s="23"/>
      <c r="R394" s="23"/>
      <c r="S394" s="23"/>
      <c r="T394" s="23"/>
      <c r="U394" s="23"/>
      <c r="V394" s="23"/>
      <c r="W394" s="23"/>
    </row>
    <row r="395" spans="1:23" s="24" customFormat="1" outlineLevel="1" x14ac:dyDescent="0.2">
      <c r="A395" s="23"/>
      <c r="D395" s="13" t="s">
        <v>1018</v>
      </c>
      <c r="E395" s="825" t="str">
        <f>Translations!$B$455</f>
        <v>Activity data determination method:</v>
      </c>
      <c r="F395" s="825"/>
      <c r="G395" s="825"/>
      <c r="H395" s="825"/>
      <c r="I395" s="825"/>
      <c r="J395" s="825"/>
      <c r="K395" s="825"/>
      <c r="L395" s="825"/>
      <c r="M395" s="825"/>
      <c r="N395" s="825"/>
      <c r="P395" s="29"/>
      <c r="Q395" s="23"/>
      <c r="R395" s="23"/>
      <c r="S395" s="23"/>
      <c r="T395" s="23"/>
      <c r="U395" s="23"/>
      <c r="V395" s="23"/>
      <c r="W395" s="23"/>
    </row>
    <row r="396" spans="1:23" s="24" customFormat="1" ht="5.0999999999999996" customHeight="1" outlineLevel="1" x14ac:dyDescent="0.2">
      <c r="A396" s="23"/>
      <c r="D396" s="13"/>
      <c r="E396" s="14"/>
      <c r="F396" s="14"/>
      <c r="G396" s="14"/>
      <c r="H396" s="14"/>
      <c r="I396" s="14"/>
      <c r="L396" s="22"/>
      <c r="P396" s="29"/>
      <c r="Q396" s="23"/>
      <c r="R396" s="23"/>
      <c r="S396" s="23"/>
      <c r="T396" s="23"/>
      <c r="U396" s="23"/>
      <c r="V396" s="23"/>
      <c r="W396" s="23"/>
    </row>
    <row r="397" spans="1:23" s="24" customFormat="1" ht="12.75" customHeight="1" outlineLevel="1" x14ac:dyDescent="0.2">
      <c r="A397" s="23"/>
      <c r="D397" s="25" t="s">
        <v>1030</v>
      </c>
      <c r="E397" s="11" t="str">
        <f>Translations!$B$456</f>
        <v>Determination method:</v>
      </c>
      <c r="G397" s="14"/>
      <c r="H397" s="1060"/>
      <c r="I397" s="1061"/>
      <c r="P397" s="220"/>
      <c r="Q397" s="23"/>
      <c r="R397" s="23"/>
      <c r="S397" s="23"/>
      <c r="T397" s="23"/>
      <c r="U397" s="23"/>
      <c r="V397" s="23"/>
      <c r="W397" s="63" t="str">
        <f>IF(M385="","",IF(M385=INDEX(SourceCategory,3),1,IF(CNTR_InstHasCalculation=FALSE,0,2)))</f>
        <v/>
      </c>
    </row>
    <row r="398" spans="1:23" s="24" customFormat="1" ht="5.0999999999999996" customHeight="1" outlineLevel="1" x14ac:dyDescent="0.2">
      <c r="A398" s="23"/>
      <c r="D398" s="25"/>
      <c r="G398" s="14"/>
      <c r="H398" s="44"/>
      <c r="I398" s="44"/>
      <c r="P398" s="29"/>
      <c r="Q398" s="23"/>
      <c r="R398" s="23"/>
      <c r="S398" s="23"/>
      <c r="T398" s="23"/>
      <c r="U398" s="23"/>
      <c r="V398" s="23"/>
      <c r="W398" s="23"/>
    </row>
    <row r="399" spans="1:23" s="24" customFormat="1" ht="12.75" customHeight="1" outlineLevel="1" x14ac:dyDescent="0.2">
      <c r="A399" s="23"/>
      <c r="E399" s="46"/>
      <c r="F399" s="1049" t="str">
        <f>Translations!$B$459</f>
        <v>Reference to procedure used for determining stock piles at end of year:</v>
      </c>
      <c r="G399" s="1049"/>
      <c r="H399" s="1049"/>
      <c r="I399" s="1049"/>
      <c r="J399" s="1050"/>
      <c r="K399" s="1060"/>
      <c r="L399" s="1061"/>
      <c r="P399" s="29"/>
      <c r="Q399" s="23"/>
      <c r="R399" s="23"/>
      <c r="S399" s="23"/>
      <c r="T399" s="23"/>
      <c r="U399" s="29"/>
      <c r="V399" s="32" t="b">
        <f>IF(OR(H385="",ISBLANK(H397)),FALSE,IF(MATCH(H397,EUconst_ActivityDeterminationMethod,0)=2,TRUE,FALSE))</f>
        <v>0</v>
      </c>
      <c r="W399" s="63" t="str">
        <f>IF(V399=TRUE,0,W397)</f>
        <v/>
      </c>
    </row>
    <row r="400" spans="1:23" s="24" customFormat="1" ht="5.0999999999999996" customHeight="1" outlineLevel="1" x14ac:dyDescent="0.2">
      <c r="A400" s="23"/>
      <c r="P400" s="29"/>
      <c r="Q400" s="23"/>
      <c r="R400" s="23"/>
      <c r="S400" s="23"/>
      <c r="T400" s="23"/>
      <c r="U400" s="23"/>
      <c r="V400" s="23"/>
      <c r="W400" s="23"/>
    </row>
    <row r="401" spans="1:23" s="24" customFormat="1" ht="12.75" customHeight="1" outlineLevel="1" x14ac:dyDescent="0.2">
      <c r="A401" s="23"/>
      <c r="D401" s="46" t="s">
        <v>1031</v>
      </c>
      <c r="E401" s="11" t="str">
        <f>Translations!$B$462</f>
        <v>Instrument under control of:</v>
      </c>
      <c r="G401" s="14"/>
      <c r="H401" s="1060"/>
      <c r="I401" s="1061"/>
      <c r="J401" s="25"/>
      <c r="P401" s="29"/>
      <c r="Q401" s="23"/>
      <c r="R401" s="23"/>
      <c r="S401" s="23"/>
      <c r="T401" s="23"/>
      <c r="U401" s="23"/>
      <c r="V401" s="23"/>
      <c r="W401" s="63" t="str">
        <f>W397</f>
        <v/>
      </c>
    </row>
    <row r="402" spans="1:23" s="24" customFormat="1" ht="5.0999999999999996" customHeight="1" outlineLevel="1" x14ac:dyDescent="0.2">
      <c r="A402" s="23"/>
      <c r="D402" s="25"/>
      <c r="G402" s="14"/>
      <c r="H402" s="44"/>
      <c r="I402" s="44"/>
      <c r="J402" s="25"/>
      <c r="P402" s="29"/>
      <c r="Q402" s="23"/>
      <c r="R402" s="23"/>
      <c r="S402" s="23"/>
      <c r="T402" s="23"/>
      <c r="U402" s="23"/>
      <c r="V402" s="23"/>
      <c r="W402" s="23"/>
    </row>
    <row r="403" spans="1:23" s="24" customFormat="1" ht="12.75" customHeight="1" outlineLevel="1" x14ac:dyDescent="0.2">
      <c r="A403" s="23"/>
      <c r="D403" s="25"/>
      <c r="E403" s="46" t="s">
        <v>1296</v>
      </c>
      <c r="F403" s="767" t="str">
        <f>Translations!$B$465</f>
        <v>Please confirm that the conditions of Article 29(1) are satisfied:</v>
      </c>
      <c r="G403" s="732"/>
      <c r="H403" s="732"/>
      <c r="I403" s="732"/>
      <c r="J403" s="732"/>
      <c r="K403" s="732"/>
      <c r="L403" s="192"/>
      <c r="P403" s="29"/>
      <c r="Q403" s="23"/>
      <c r="R403" s="23"/>
      <c r="S403" s="23"/>
      <c r="T403" s="23"/>
      <c r="U403" s="23"/>
      <c r="V403" s="32" t="b">
        <f>IF(OR(H385="",ISBLANK(H401)),FALSE,IF(MATCH(H401,EUconst_OwnerInstrument,0)=1,TRUE,FALSE))</f>
        <v>0</v>
      </c>
      <c r="W403" s="63" t="str">
        <f>IF(V403=TRUE,0,W397)</f>
        <v/>
      </c>
    </row>
    <row r="404" spans="1:23" s="24" customFormat="1" ht="5.0999999999999996" customHeight="1" outlineLevel="1" x14ac:dyDescent="0.2">
      <c r="A404" s="23"/>
      <c r="D404" s="25"/>
      <c r="E404" s="25"/>
      <c r="G404" s="14"/>
      <c r="N404" s="44"/>
      <c r="P404" s="29"/>
      <c r="Q404" s="23"/>
      <c r="R404" s="23"/>
      <c r="S404" s="23"/>
      <c r="T404" s="23"/>
      <c r="U404" s="23"/>
      <c r="V404" s="16"/>
      <c r="W404" s="23"/>
    </row>
    <row r="405" spans="1:23" s="24" customFormat="1" ht="12.75" customHeight="1" outlineLevel="1" x14ac:dyDescent="0.2">
      <c r="A405" s="23"/>
      <c r="D405" s="25"/>
      <c r="E405" s="46" t="s">
        <v>1297</v>
      </c>
      <c r="F405" s="1049" t="str">
        <f>Translations!$B$468</f>
        <v>Do you use invoices for determining the amount of this fuel or material?</v>
      </c>
      <c r="G405" s="1049"/>
      <c r="H405" s="1049"/>
      <c r="I405" s="1049"/>
      <c r="J405" s="1049"/>
      <c r="K405" s="1050"/>
      <c r="L405" s="192"/>
      <c r="P405" s="29"/>
      <c r="Q405" s="23"/>
      <c r="R405" s="23"/>
      <c r="S405" s="23"/>
      <c r="T405" s="23"/>
      <c r="U405" s="23"/>
      <c r="V405" s="32" t="b">
        <f>IF(OR(H385="",ISBLANK(H401)),FALSE,IF(MATCH(H401,EUconst_OwnerInstrument,0)=1,TRUE,FALSE))</f>
        <v>0</v>
      </c>
      <c r="W405" s="63" t="str">
        <f>IF(V405=TRUE,0,W397)</f>
        <v/>
      </c>
    </row>
    <row r="406" spans="1:23" s="24" customFormat="1" ht="5.0999999999999996" customHeight="1" outlineLevel="1" x14ac:dyDescent="0.2">
      <c r="A406" s="23"/>
      <c r="D406" s="25"/>
      <c r="E406" s="25"/>
      <c r="G406" s="14"/>
      <c r="J406" s="25"/>
      <c r="L406" s="45"/>
      <c r="P406" s="29"/>
      <c r="Q406" s="23"/>
      <c r="R406" s="23"/>
      <c r="S406" s="23"/>
      <c r="T406" s="23"/>
      <c r="U406" s="23"/>
      <c r="V406" s="23"/>
      <c r="W406" s="23"/>
    </row>
    <row r="407" spans="1:23" s="24" customFormat="1" ht="12.75" customHeight="1" outlineLevel="1" x14ac:dyDescent="0.2">
      <c r="A407" s="23"/>
      <c r="D407" s="25"/>
      <c r="E407" s="46" t="s">
        <v>1298</v>
      </c>
      <c r="F407" s="1049" t="str">
        <f>Translations!$B$469</f>
        <v>Please confirm that the trade partner and the operator are independent:</v>
      </c>
      <c r="G407" s="1049"/>
      <c r="H407" s="1049"/>
      <c r="I407" s="1049"/>
      <c r="J407" s="1049"/>
      <c r="K407" s="1050"/>
      <c r="L407" s="192"/>
      <c r="P407" s="29"/>
      <c r="Q407" s="23"/>
      <c r="R407" s="23"/>
      <c r="S407" s="23"/>
      <c r="T407" s="23"/>
      <c r="U407" s="23"/>
      <c r="V407" s="32" t="b">
        <f>IF(OR(H385="",ISBLANK(H401)),FALSE,IF(MATCH(H401,EUconst_OwnerInstrument,0)=1,TRUE,FALSE))</f>
        <v>0</v>
      </c>
      <c r="W407" s="63" t="str">
        <f>IF(V407=TRUE,0,W397)</f>
        <v/>
      </c>
    </row>
    <row r="408" spans="1:23" s="24" customFormat="1" outlineLevel="1" x14ac:dyDescent="0.2">
      <c r="A408" s="23"/>
      <c r="P408" s="29"/>
      <c r="Q408" s="23"/>
      <c r="R408" s="23"/>
      <c r="S408" s="23"/>
      <c r="T408" s="23"/>
      <c r="U408" s="23"/>
      <c r="V408" s="23"/>
      <c r="W408" s="23"/>
    </row>
    <row r="409" spans="1:23" s="24" customFormat="1" ht="12.75" customHeight="1" outlineLevel="1" x14ac:dyDescent="0.2">
      <c r="A409" s="23"/>
      <c r="D409" s="13" t="s">
        <v>1020</v>
      </c>
      <c r="E409" s="14" t="str">
        <f>Translations!$B$472</f>
        <v>Measurement instruments used:</v>
      </c>
      <c r="H409" s="215"/>
      <c r="I409" s="215"/>
      <c r="J409" s="215"/>
      <c r="K409" s="215"/>
      <c r="L409" s="215"/>
      <c r="P409" s="15"/>
      <c r="Q409" s="23"/>
      <c r="R409" s="23"/>
      <c r="S409" s="23"/>
      <c r="T409" s="23"/>
      <c r="U409" s="23"/>
      <c r="V409" s="23"/>
      <c r="W409" s="23"/>
    </row>
    <row r="410" spans="1:23" s="24" customFormat="1" ht="5.0999999999999996" customHeight="1" outlineLevel="1" x14ac:dyDescent="0.2">
      <c r="A410" s="23"/>
      <c r="D410" s="13"/>
      <c r="E410" s="14"/>
      <c r="P410" s="15"/>
      <c r="Q410" s="23"/>
      <c r="R410" s="23"/>
      <c r="S410" s="23"/>
      <c r="T410" s="23"/>
      <c r="U410" s="23"/>
      <c r="V410" s="23"/>
      <c r="W410" s="23"/>
    </row>
    <row r="411" spans="1:23" s="24" customFormat="1" outlineLevel="1" x14ac:dyDescent="0.2">
      <c r="A411" s="23"/>
      <c r="D411" s="13"/>
      <c r="E411" s="24" t="str">
        <f>Translations!$B$475</f>
        <v>Comment / Description of approach, if several instruments used:</v>
      </c>
      <c r="I411" s="11"/>
      <c r="P411" s="29"/>
      <c r="Q411" s="23"/>
      <c r="R411" s="23"/>
      <c r="S411" s="23"/>
      <c r="T411" s="23"/>
      <c r="U411" s="23"/>
      <c r="V411" s="23"/>
      <c r="W411" s="23"/>
    </row>
    <row r="412" spans="1:23" s="24" customFormat="1" ht="12.75" customHeight="1" outlineLevel="1" x14ac:dyDescent="0.2">
      <c r="A412" s="23"/>
      <c r="D412" s="13"/>
      <c r="E412" s="1051"/>
      <c r="F412" s="1052"/>
      <c r="G412" s="1052"/>
      <c r="H412" s="1052"/>
      <c r="I412" s="1052"/>
      <c r="J412" s="1052"/>
      <c r="K412" s="1052"/>
      <c r="L412" s="1052"/>
      <c r="M412" s="1052"/>
      <c r="N412" s="1053"/>
      <c r="P412" s="29"/>
      <c r="Q412" s="23"/>
      <c r="R412" s="23"/>
      <c r="S412" s="23"/>
      <c r="T412" s="23"/>
      <c r="U412" s="23"/>
      <c r="V412" s="23"/>
      <c r="W412" s="23"/>
    </row>
    <row r="413" spans="1:23" s="24" customFormat="1" outlineLevel="1" x14ac:dyDescent="0.2">
      <c r="A413" s="23"/>
      <c r="D413" s="13"/>
      <c r="E413" s="1054"/>
      <c r="F413" s="1055"/>
      <c r="G413" s="1055"/>
      <c r="H413" s="1055"/>
      <c r="I413" s="1055"/>
      <c r="J413" s="1055"/>
      <c r="K413" s="1055"/>
      <c r="L413" s="1055"/>
      <c r="M413" s="1055"/>
      <c r="N413" s="1056"/>
      <c r="P413" s="29"/>
      <c r="Q413" s="29"/>
      <c r="R413" s="29"/>
      <c r="S413" s="23"/>
      <c r="T413" s="23"/>
      <c r="U413" s="23"/>
      <c r="V413" s="23"/>
      <c r="W413" s="23"/>
    </row>
    <row r="414" spans="1:23" s="24" customFormat="1" outlineLevel="1" x14ac:dyDescent="0.2">
      <c r="A414" s="23"/>
      <c r="D414" s="13"/>
      <c r="E414" s="1057"/>
      <c r="F414" s="1058"/>
      <c r="G414" s="1058"/>
      <c r="H414" s="1058"/>
      <c r="I414" s="1058"/>
      <c r="J414" s="1058"/>
      <c r="K414" s="1058"/>
      <c r="L414" s="1058"/>
      <c r="M414" s="1058"/>
      <c r="N414" s="1059"/>
      <c r="P414" s="29"/>
      <c r="Q414" s="29"/>
      <c r="R414" s="29"/>
      <c r="S414" s="23"/>
      <c r="T414" s="23"/>
      <c r="U414" s="23"/>
      <c r="V414" s="23"/>
      <c r="W414" s="23"/>
    </row>
    <row r="415" spans="1:23" s="24" customFormat="1" outlineLevel="1" x14ac:dyDescent="0.2">
      <c r="A415" s="23"/>
      <c r="D415" s="13"/>
      <c r="P415" s="29"/>
      <c r="Q415" s="29"/>
      <c r="R415" s="29"/>
      <c r="S415" s="23"/>
      <c r="T415" s="23"/>
      <c r="U415" s="23"/>
      <c r="V415" s="23"/>
      <c r="W415" s="23"/>
    </row>
    <row r="416" spans="1:23" s="24" customFormat="1" ht="12.75" customHeight="1" outlineLevel="1" x14ac:dyDescent="0.2">
      <c r="A416" s="23"/>
      <c r="D416" s="13" t="s">
        <v>554</v>
      </c>
      <c r="E416" s="14" t="str">
        <f>Translations!$B$477</f>
        <v>Activity data tier level required:</v>
      </c>
      <c r="H416" s="30" t="str">
        <f>IF(H387="","",IF(CNTR_Category="A",INDEX(EUwideConstants!$G:$G,MATCH(Q416,EUwideConstants!$S:$S,0)),INDEX(EUwideConstants!$P:$P,MATCH(Q416,EUwideConstants!$S:$S,0))))</f>
        <v/>
      </c>
      <c r="I416" s="26" t="str">
        <f>IF(H416="","",IF(S416=0,EUconst_NA,IF(ISERROR(S416),"",EUconst_MsgTierActivityLevel &amp; " " &amp;S416)))</f>
        <v/>
      </c>
      <c r="J416" s="27"/>
      <c r="K416" s="27"/>
      <c r="L416" s="27"/>
      <c r="M416" s="27"/>
      <c r="N416" s="28"/>
      <c r="P416" s="29"/>
      <c r="Q416" s="92" t="str">
        <f>EUconst_CNTR_ActivityData&amp;H387</f>
        <v>ActivityData_</v>
      </c>
      <c r="R416" s="29"/>
      <c r="S416" s="32" t="str">
        <f>IF(H416="","",IF(H416=EUconst_NA,"",INDEX(EUwideConstants!$H:$O,MATCH(Q416,EUwideConstants!$S:$S,0),MATCH(H416,CNTR_TierList,0))))</f>
        <v/>
      </c>
      <c r="T416" s="23"/>
      <c r="U416" s="23"/>
      <c r="V416" s="23"/>
      <c r="W416" s="23"/>
    </row>
    <row r="417" spans="1:23" s="24" customFormat="1" ht="12.75" customHeight="1" outlineLevel="1" x14ac:dyDescent="0.2">
      <c r="A417" s="23"/>
      <c r="D417" s="13" t="s">
        <v>1022</v>
      </c>
      <c r="E417" s="14" t="str">
        <f>Translations!$B$478</f>
        <v>Activity data tier used:</v>
      </c>
      <c r="H417" s="192"/>
      <c r="I417" s="26" t="str">
        <f>IF(OR(ISBLANK(H417),H417=EUconst_NoTier),"",IF(S417=0,EUconst_NA,IF(ISERROR(S417),"",EUconst_MsgTierActivityLevel &amp; " " &amp;S417)))</f>
        <v/>
      </c>
      <c r="J417" s="27"/>
      <c r="K417" s="27"/>
      <c r="L417" s="27"/>
      <c r="M417" s="27"/>
      <c r="N417" s="28"/>
      <c r="P417" s="29"/>
      <c r="Q417" s="92" t="str">
        <f>EUconst_CNTR_ActivityData&amp;H387</f>
        <v>ActivityData_</v>
      </c>
      <c r="R417" s="29"/>
      <c r="S417" s="32" t="str">
        <f>IF(ISBLANK(H417),"",IF(H417=EUconst_NA,"",INDEX(EUwideConstants!$H:$O,MATCH(Q417,EUwideConstants!$S:$S,0),MATCH(H417,CNTR_TierList,0))))</f>
        <v/>
      </c>
      <c r="T417" s="23"/>
      <c r="U417" s="23"/>
      <c r="V417" s="23"/>
      <c r="W417" s="23"/>
    </row>
    <row r="418" spans="1:23" s="24" customFormat="1" ht="12.75" customHeight="1" outlineLevel="1" x14ac:dyDescent="0.2">
      <c r="A418" s="23"/>
      <c r="D418" s="13" t="s">
        <v>1023</v>
      </c>
      <c r="E418" s="14" t="str">
        <f>Translations!$B$479</f>
        <v>Uncertainty achieved:</v>
      </c>
      <c r="H418" s="229"/>
      <c r="I418" s="14" t="str">
        <f>Translations!$B$480</f>
        <v>Comment:</v>
      </c>
      <c r="J418" s="193"/>
      <c r="K418" s="194"/>
      <c r="L418" s="194"/>
      <c r="M418" s="194"/>
      <c r="N418" s="195"/>
      <c r="P418" s="29"/>
      <c r="Q418" s="29"/>
      <c r="R418" s="29"/>
      <c r="S418" s="23"/>
      <c r="T418" s="23"/>
      <c r="U418" s="23"/>
      <c r="V418" s="23"/>
      <c r="W418" s="23"/>
    </row>
    <row r="419" spans="1:23" s="24" customFormat="1" ht="5.0999999999999996" customHeight="1" outlineLevel="1" x14ac:dyDescent="0.2">
      <c r="A419" s="23"/>
      <c r="D419" s="13"/>
      <c r="E419" s="67"/>
      <c r="F419" s="67"/>
      <c r="G419" s="67"/>
      <c r="H419" s="67"/>
      <c r="I419" s="67"/>
      <c r="J419" s="67"/>
      <c r="K419" s="67"/>
      <c r="L419" s="67"/>
      <c r="M419" s="67"/>
      <c r="N419" s="67"/>
      <c r="P419" s="29"/>
      <c r="Q419" s="29"/>
      <c r="R419" s="29"/>
      <c r="S419" s="23"/>
      <c r="T419" s="23"/>
      <c r="U419" s="23"/>
      <c r="V419" s="23"/>
      <c r="W419" s="23"/>
    </row>
    <row r="420" spans="1:23" s="24" customFormat="1" ht="15" customHeight="1" outlineLevel="1" x14ac:dyDescent="0.2">
      <c r="A420" s="23"/>
      <c r="D420" s="1040" t="str">
        <f>Translations!$B$490</f>
        <v>Calculation factors:</v>
      </c>
      <c r="E420" s="1040"/>
      <c r="F420" s="1040"/>
      <c r="G420" s="1040"/>
      <c r="H420" s="1040"/>
      <c r="I420" s="1040"/>
      <c r="J420" s="1040"/>
      <c r="K420" s="1040"/>
      <c r="L420" s="1040"/>
      <c r="M420" s="1040"/>
      <c r="N420" s="1040"/>
      <c r="P420" s="29"/>
      <c r="Q420" s="29"/>
      <c r="R420" s="29"/>
      <c r="S420" s="29"/>
      <c r="T420" s="6"/>
      <c r="U420" s="23"/>
      <c r="V420" s="23"/>
      <c r="W420" s="23"/>
    </row>
    <row r="421" spans="1:23" s="24" customFormat="1" ht="5.0999999999999996" customHeight="1" outlineLevel="1" x14ac:dyDescent="0.2">
      <c r="A421" s="23"/>
      <c r="D421" s="13"/>
      <c r="E421" s="14"/>
      <c r="P421" s="29"/>
      <c r="Q421" s="29"/>
      <c r="R421" s="29"/>
      <c r="S421" s="29"/>
      <c r="T421" s="6"/>
      <c r="U421" s="23"/>
      <c r="V421" s="23"/>
      <c r="W421" s="23"/>
    </row>
    <row r="422" spans="1:23" s="24" customFormat="1" ht="12.75" customHeight="1" outlineLevel="1" x14ac:dyDescent="0.2">
      <c r="A422" s="23"/>
      <c r="D422" s="13" t="s">
        <v>1019</v>
      </c>
      <c r="E422" s="14" t="str">
        <f>Translations!$B$515</f>
        <v>Applied tiers for calculation factors:</v>
      </c>
      <c r="P422" s="29"/>
      <c r="Q422" s="29"/>
      <c r="R422" s="29"/>
      <c r="S422" s="29"/>
      <c r="T422" s="23"/>
      <c r="U422" s="23"/>
      <c r="V422" s="23"/>
      <c r="W422" s="23"/>
    </row>
    <row r="423" spans="1:23" s="24" customFormat="1" ht="5.0999999999999996" customHeight="1" outlineLevel="1" x14ac:dyDescent="0.2">
      <c r="A423" s="23"/>
      <c r="D423" s="13"/>
      <c r="E423" s="14"/>
      <c r="P423" s="29"/>
      <c r="Q423" s="29"/>
      <c r="R423" s="29"/>
      <c r="S423" s="29"/>
      <c r="T423" s="23"/>
      <c r="U423" s="23"/>
      <c r="V423" s="23"/>
      <c r="W423" s="23"/>
    </row>
    <row r="424" spans="1:23" s="24" customFormat="1" ht="25.5" customHeight="1" outlineLevel="1" x14ac:dyDescent="0.2">
      <c r="A424" s="23"/>
      <c r="E424" s="1044" t="str">
        <f>Translations!$B$516</f>
        <v>calculation factor</v>
      </c>
      <c r="F424" s="1044"/>
      <c r="G424" s="1044"/>
      <c r="H424" s="50" t="str">
        <f>Translations!$B$517</f>
        <v>required tier</v>
      </c>
      <c r="I424" s="50" t="str">
        <f>Translations!$B$518</f>
        <v>applied tier</v>
      </c>
      <c r="J424" s="1046" t="str">
        <f>Translations!$B$519</f>
        <v>full text for applied tier</v>
      </c>
      <c r="K424" s="1047"/>
      <c r="L424" s="1047"/>
      <c r="M424" s="1047"/>
      <c r="N424" s="1048"/>
      <c r="P424" s="29"/>
      <c r="Q424" s="29"/>
      <c r="R424" s="29"/>
      <c r="S424" s="15" t="s">
        <v>1038</v>
      </c>
      <c r="T424" s="23"/>
      <c r="U424" s="23"/>
      <c r="V424" s="23"/>
      <c r="W424" s="52" t="s">
        <v>1295</v>
      </c>
    </row>
    <row r="425" spans="1:23" s="24" customFormat="1" ht="12.75" customHeight="1" outlineLevel="1" x14ac:dyDescent="0.2">
      <c r="A425" s="23"/>
      <c r="D425" s="25" t="s">
        <v>1030</v>
      </c>
      <c r="E425" s="1039" t="str">
        <f>Translations!$B$520</f>
        <v>Net calorific value (NCV)</v>
      </c>
      <c r="F425" s="1039"/>
      <c r="G425" s="1039"/>
      <c r="H425" s="30" t="str">
        <f>IF(H387="","",IF(CNTR_Category="A",INDEX(EUwideConstants!$G:$G,MATCH(Q425,EUwideConstants!$S:$S,0)),INDEX(EUwideConstants!$P:$P,MATCH(Q425,EUwideConstants!$S:$S,0))))</f>
        <v/>
      </c>
      <c r="I425" s="192"/>
      <c r="J425" s="1041" t="str">
        <f t="shared" ref="J425:J430" si="24">IF(OR(ISBLANK(I425),I425=EUconst_NoTier),"",IF(S425=0,EUconst_NotApplicable,IF(ISERROR(S425),"",S425)))</f>
        <v/>
      </c>
      <c r="K425" s="1042"/>
      <c r="L425" s="1042"/>
      <c r="M425" s="1042"/>
      <c r="N425" s="1043"/>
      <c r="P425" s="29"/>
      <c r="Q425" s="92" t="str">
        <f>EUconst_CNTR_NCV&amp;H387</f>
        <v>NCV_</v>
      </c>
      <c r="R425" s="29"/>
      <c r="S425" s="31" t="str">
        <f>IF(ISBLANK(I425),"",IF(I425=EUconst_NA,"",INDEX(EUwideConstants!$H:$O,MATCH(Q425,EUwideConstants!$S:$S,0),MATCH(I425,CNTR_TierList,0))))</f>
        <v/>
      </c>
      <c r="T425" s="23"/>
      <c r="U425" s="23"/>
      <c r="V425" s="23"/>
      <c r="W425" s="32" t="b">
        <f t="shared" ref="W425:W430" si="25">(H425=EUconst_NA)</f>
        <v>0</v>
      </c>
    </row>
    <row r="426" spans="1:23" s="24" customFormat="1" ht="12.75" customHeight="1" outlineLevel="1" x14ac:dyDescent="0.2">
      <c r="A426" s="23"/>
      <c r="D426" s="25" t="s">
        <v>1031</v>
      </c>
      <c r="E426" s="1039" t="str">
        <f>Translations!$B$521</f>
        <v>Emission factor (preliminary)</v>
      </c>
      <c r="F426" s="1039"/>
      <c r="G426" s="1039"/>
      <c r="H426" s="30" t="str">
        <f>IF(H387="","",IF(CNTR_Category="A",INDEX(EUwideConstants!$G:$G,MATCH(Q426,EUwideConstants!$S:$S,0)),INDEX(EUwideConstants!$P:$P,MATCH(Q426,EUwideConstants!$S:$S,0))))</f>
        <v/>
      </c>
      <c r="I426" s="192"/>
      <c r="J426" s="1041" t="str">
        <f t="shared" si="24"/>
        <v/>
      </c>
      <c r="K426" s="1042"/>
      <c r="L426" s="1042"/>
      <c r="M426" s="1042"/>
      <c r="N426" s="1043"/>
      <c r="P426" s="29"/>
      <c r="Q426" s="92" t="str">
        <f>EUconst_CNTR_EF&amp;H387</f>
        <v>EF_</v>
      </c>
      <c r="R426" s="29"/>
      <c r="S426" s="31" t="str">
        <f>IF(ISBLANK(I426),"",IF(I426=EUconst_NA,"",INDEX(EUwideConstants!$H:$O,MATCH(Q426,EUwideConstants!$S:$S,0),MATCH(I426,CNTR_TierList,0))))</f>
        <v/>
      </c>
      <c r="T426" s="23"/>
      <c r="U426" s="23"/>
      <c r="V426" s="23"/>
      <c r="W426" s="32" t="b">
        <f t="shared" si="25"/>
        <v>0</v>
      </c>
    </row>
    <row r="427" spans="1:23" s="24" customFormat="1" ht="12.75" customHeight="1" outlineLevel="1" x14ac:dyDescent="0.2">
      <c r="A427" s="23"/>
      <c r="D427" s="25" t="s">
        <v>1468</v>
      </c>
      <c r="E427" s="1039" t="str">
        <f>Translations!$B$522</f>
        <v>Oxidation factor</v>
      </c>
      <c r="F427" s="1039"/>
      <c r="G427" s="1039"/>
      <c r="H427" s="30" t="str">
        <f>IF(H387="","",IF(CNTR_Category="A",INDEX(EUwideConstants!$G:$G,MATCH(Q427,EUwideConstants!$S:$S,0)),INDEX(EUwideConstants!$P:$P,MATCH(Q427,EUwideConstants!$S:$S,0))))</f>
        <v/>
      </c>
      <c r="I427" s="192"/>
      <c r="J427" s="1041" t="str">
        <f t="shared" si="24"/>
        <v/>
      </c>
      <c r="K427" s="1042"/>
      <c r="L427" s="1042"/>
      <c r="M427" s="1042"/>
      <c r="N427" s="1043"/>
      <c r="P427" s="29"/>
      <c r="Q427" s="92" t="str">
        <f>EUconst_CNTR_OxidationFactor&amp;H387</f>
        <v>OxF_</v>
      </c>
      <c r="R427" s="29"/>
      <c r="S427" s="31" t="str">
        <f>IF(ISBLANK(I427),"",IF(I427=EUconst_NA,"",INDEX(EUwideConstants!$H:$O,MATCH(Q427,EUwideConstants!$S:$S,0),MATCH(I427,CNTR_TierList,0))))</f>
        <v/>
      </c>
      <c r="T427" s="23"/>
      <c r="U427" s="23"/>
      <c r="V427" s="23"/>
      <c r="W427" s="32" t="b">
        <f t="shared" si="25"/>
        <v>0</v>
      </c>
    </row>
    <row r="428" spans="1:23" s="24" customFormat="1" ht="12.75" customHeight="1" outlineLevel="1" x14ac:dyDescent="0.2">
      <c r="A428" s="23"/>
      <c r="D428" s="25" t="s">
        <v>1469</v>
      </c>
      <c r="E428" s="1039" t="str">
        <f>Translations!$B$523</f>
        <v>Conversion factor</v>
      </c>
      <c r="F428" s="1039"/>
      <c r="G428" s="1039"/>
      <c r="H428" s="30" t="str">
        <f>IF(H387="","",IF(CNTR_Category="A",INDEX(EUwideConstants!$G:$G,MATCH(Q428,EUwideConstants!$S:$S,0)),INDEX(EUwideConstants!$P:$P,MATCH(Q428,EUwideConstants!$S:$S,0))))</f>
        <v/>
      </c>
      <c r="I428" s="192"/>
      <c r="J428" s="1041" t="str">
        <f t="shared" si="24"/>
        <v/>
      </c>
      <c r="K428" s="1042"/>
      <c r="L428" s="1042"/>
      <c r="M428" s="1042"/>
      <c r="N428" s="1043"/>
      <c r="P428" s="29"/>
      <c r="Q428" s="92" t="str">
        <f>EUconst_CNTR_ConversionFactor&amp;H387</f>
        <v>ConvF_</v>
      </c>
      <c r="R428" s="29"/>
      <c r="S428" s="31" t="str">
        <f>IF(ISBLANK(I428),"",IF(I428=EUconst_NA,"",INDEX(EUwideConstants!$H:$O,MATCH(Q428,EUwideConstants!$S:$S,0),MATCH(I428,CNTR_TierList,0))))</f>
        <v/>
      </c>
      <c r="T428" s="23"/>
      <c r="U428" s="23"/>
      <c r="V428" s="23"/>
      <c r="W428" s="32" t="b">
        <f t="shared" si="25"/>
        <v>0</v>
      </c>
    </row>
    <row r="429" spans="1:23" s="24" customFormat="1" ht="12.75" customHeight="1" outlineLevel="1" x14ac:dyDescent="0.2">
      <c r="A429" s="23"/>
      <c r="D429" s="25" t="s">
        <v>1470</v>
      </c>
      <c r="E429" s="1039" t="str">
        <f>Translations!$B$524</f>
        <v>Carbon content</v>
      </c>
      <c r="F429" s="1039"/>
      <c r="G429" s="1039"/>
      <c r="H429" s="30" t="str">
        <f>IF(H387="","",IF(CNTR_Category="A",INDEX(EUwideConstants!$G:$G,MATCH(Q429,EUwideConstants!$S:$S,0)),INDEX(EUwideConstants!$P:$P,MATCH(Q429,EUwideConstants!$S:$S,0))))</f>
        <v/>
      </c>
      <c r="I429" s="192"/>
      <c r="J429" s="1041" t="str">
        <f t="shared" si="24"/>
        <v/>
      </c>
      <c r="K429" s="1042"/>
      <c r="L429" s="1042"/>
      <c r="M429" s="1042"/>
      <c r="N429" s="1043"/>
      <c r="P429" s="209"/>
      <c r="Q429" s="92" t="str">
        <f>EUconst_CNTR_CarbonContent&amp;H387</f>
        <v>CarbC_</v>
      </c>
      <c r="R429" s="29"/>
      <c r="S429" s="31" t="str">
        <f>IF(ISBLANK(I429),"",IF(I429=EUconst_NA,"",INDEX(EUwideConstants!$H:$O,MATCH(Q429,EUwideConstants!$S:$S,0),MATCH(I429,CNTR_TierList,0))))</f>
        <v/>
      </c>
      <c r="T429" s="23"/>
      <c r="U429" s="23"/>
      <c r="V429" s="23"/>
      <c r="W429" s="32" t="b">
        <f t="shared" si="25"/>
        <v>0</v>
      </c>
    </row>
    <row r="430" spans="1:23" s="24" customFormat="1" ht="12.75" customHeight="1" outlineLevel="1" x14ac:dyDescent="0.2">
      <c r="A430" s="23"/>
      <c r="D430" s="25" t="s">
        <v>1471</v>
      </c>
      <c r="E430" s="1039" t="str">
        <f>Translations!$B$525</f>
        <v>Biomass fraction (if applicable)</v>
      </c>
      <c r="F430" s="1039"/>
      <c r="G430" s="1039"/>
      <c r="H430" s="30" t="str">
        <f>IF(H387="","",IF(CNTR_Category="A",INDEX(EUwideConstants!$G:$G,MATCH(Q430,EUwideConstants!$S:$S,0)),INDEX(EUwideConstants!$P:$P,MATCH(Q430,EUwideConstants!$S:$S,0))))</f>
        <v/>
      </c>
      <c r="I430" s="192"/>
      <c r="J430" s="1041" t="str">
        <f t="shared" si="24"/>
        <v/>
      </c>
      <c r="K430" s="1042"/>
      <c r="L430" s="1042"/>
      <c r="M430" s="1042"/>
      <c r="N430" s="1043"/>
      <c r="P430" s="29"/>
      <c r="Q430" s="92" t="str">
        <f>EUconst_CNTR_BiomassContent&amp;H387</f>
        <v>BioC_</v>
      </c>
      <c r="R430" s="29"/>
      <c r="S430" s="31" t="str">
        <f>IF(ISBLANK(I430),"",IF(I430=EUconst_NA,"",INDEX(EUwideConstants!$H:$O,MATCH(Q430,EUwideConstants!$S:$S,0),MATCH(I430,CNTR_TierList,0))))</f>
        <v/>
      </c>
      <c r="T430" s="23"/>
      <c r="U430" s="23"/>
      <c r="V430" s="23"/>
      <c r="W430" s="32" t="b">
        <f t="shared" si="25"/>
        <v>0</v>
      </c>
    </row>
    <row r="431" spans="1:23" s="24" customFormat="1" outlineLevel="1" x14ac:dyDescent="0.2">
      <c r="A431" s="23"/>
      <c r="D431" s="13"/>
      <c r="E431" s="67"/>
      <c r="F431" s="67"/>
      <c r="G431" s="67"/>
      <c r="H431" s="67"/>
      <c r="I431" s="67"/>
      <c r="J431" s="67"/>
      <c r="K431" s="67"/>
      <c r="L431" s="67"/>
      <c r="M431" s="67"/>
      <c r="N431" s="67"/>
      <c r="P431" s="29"/>
      <c r="Q431" s="23"/>
      <c r="R431" s="23"/>
      <c r="S431" s="23"/>
      <c r="T431" s="23"/>
      <c r="U431" s="23"/>
      <c r="V431" s="23"/>
      <c r="W431" s="23"/>
    </row>
    <row r="432" spans="1:23" s="24" customFormat="1" outlineLevel="1" x14ac:dyDescent="0.2">
      <c r="A432" s="23"/>
      <c r="D432" s="13" t="s">
        <v>1349</v>
      </c>
      <c r="E432" s="14" t="str">
        <f>Translations!$B$534</f>
        <v>Details for calculation factors:</v>
      </c>
      <c r="F432" s="67"/>
      <c r="G432" s="67"/>
      <c r="H432" s="67"/>
      <c r="I432" s="67"/>
      <c r="J432" s="67"/>
      <c r="K432" s="67"/>
      <c r="L432" s="67"/>
      <c r="M432" s="67"/>
      <c r="N432" s="67"/>
      <c r="P432" s="29"/>
      <c r="Q432" s="23"/>
      <c r="R432" s="23"/>
      <c r="S432" s="23"/>
      <c r="T432" s="23"/>
      <c r="U432" s="23"/>
      <c r="V432" s="23"/>
      <c r="W432" s="23"/>
    </row>
    <row r="433" spans="1:23" s="24" customFormat="1" ht="5.0999999999999996" customHeight="1" outlineLevel="1" x14ac:dyDescent="0.2">
      <c r="A433" s="23"/>
      <c r="D433" s="13"/>
      <c r="E433" s="67"/>
      <c r="F433" s="67"/>
      <c r="G433" s="67"/>
      <c r="H433" s="67"/>
      <c r="I433" s="67"/>
      <c r="J433" s="67"/>
      <c r="K433" s="67"/>
      <c r="L433" s="67"/>
      <c r="M433" s="67"/>
      <c r="N433" s="67"/>
      <c r="P433" s="29"/>
      <c r="Q433" s="23"/>
      <c r="R433" s="23"/>
      <c r="S433" s="23"/>
      <c r="T433" s="23"/>
      <c r="U433" s="23"/>
      <c r="V433" s="23"/>
      <c r="W433" s="23"/>
    </row>
    <row r="434" spans="1:23" s="24" customFormat="1" ht="25.5" customHeight="1" outlineLevel="1" x14ac:dyDescent="0.2">
      <c r="A434" s="23"/>
      <c r="E434" s="1044" t="str">
        <f t="shared" ref="E434:E440" si="26">E424</f>
        <v>calculation factor</v>
      </c>
      <c r="F434" s="1044"/>
      <c r="G434" s="1044"/>
      <c r="H434" s="50" t="str">
        <f>I424</f>
        <v>applied tier</v>
      </c>
      <c r="I434" s="51" t="str">
        <f>Translations!$B$535</f>
        <v>default value</v>
      </c>
      <c r="J434" s="51" t="str">
        <f>Translations!$B$536</f>
        <v>Unit</v>
      </c>
      <c r="K434" s="51" t="str">
        <f>Translations!$B$537</f>
        <v>source ref</v>
      </c>
      <c r="L434" s="51" t="str">
        <f>Translations!$B$538</f>
        <v>analysis ref</v>
      </c>
      <c r="M434" s="51" t="str">
        <f>Translations!$B$539</f>
        <v>sampling ref</v>
      </c>
      <c r="N434" s="51" t="str">
        <f>Translations!$B$540</f>
        <v>Analysis frequency</v>
      </c>
      <c r="P434" s="29"/>
      <c r="Q434" s="23"/>
      <c r="R434" s="23"/>
      <c r="S434" s="52" t="s">
        <v>384</v>
      </c>
      <c r="T434" s="23"/>
      <c r="U434" s="23"/>
      <c r="V434" s="23"/>
      <c r="W434" s="52" t="s">
        <v>1295</v>
      </c>
    </row>
    <row r="435" spans="1:23" s="24" customFormat="1" ht="12.75" customHeight="1" outlineLevel="1" x14ac:dyDescent="0.2">
      <c r="A435" s="23"/>
      <c r="D435" s="25" t="s">
        <v>1030</v>
      </c>
      <c r="E435" s="1039" t="str">
        <f t="shared" si="26"/>
        <v>Net calorific value (NCV)</v>
      </c>
      <c r="F435" s="1039"/>
      <c r="G435" s="1039"/>
      <c r="H435" s="30" t="str">
        <f t="shared" ref="H435:H440" si="27">IF(OR(ISBLANK(I425),I425=EUconst_NA),"",I425)</f>
        <v/>
      </c>
      <c r="I435" s="192"/>
      <c r="J435" s="192"/>
      <c r="K435" s="214"/>
      <c r="L435" s="213"/>
      <c r="M435" s="213"/>
      <c r="N435" s="196"/>
      <c r="P435" s="209"/>
      <c r="Q435" s="23"/>
      <c r="R435" s="23"/>
      <c r="S435" s="63" t="str">
        <f>IF(H435="","",IF(I425=EUconst_NA,"",INDEX(EUwideConstants!$AL:$AR,MATCH(Q425,EUwideConstants!$S:$S,0),MATCH(I425,CNTR_TierList,0))))</f>
        <v/>
      </c>
      <c r="T435" s="23"/>
      <c r="U435" s="23"/>
      <c r="V435" s="23"/>
      <c r="W435" s="32" t="b">
        <f t="shared" ref="W435:W440" si="28">OR(H435="",H435=EUconst_NA,J425=EUconst_NotApplicable)</f>
        <v>1</v>
      </c>
    </row>
    <row r="436" spans="1:23" s="24" customFormat="1" ht="12.75" customHeight="1" outlineLevel="1" x14ac:dyDescent="0.2">
      <c r="A436" s="23"/>
      <c r="D436" s="25" t="s">
        <v>1031</v>
      </c>
      <c r="E436" s="1039" t="str">
        <f t="shared" si="26"/>
        <v>Emission factor (preliminary)</v>
      </c>
      <c r="F436" s="1039"/>
      <c r="G436" s="1039"/>
      <c r="H436" s="30" t="str">
        <f t="shared" si="27"/>
        <v/>
      </c>
      <c r="I436" s="197"/>
      <c r="J436" s="192"/>
      <c r="K436" s="213"/>
      <c r="L436" s="271"/>
      <c r="M436" s="271"/>
      <c r="N436" s="196"/>
      <c r="P436" s="29"/>
      <c r="Q436" s="23"/>
      <c r="R436" s="23"/>
      <c r="S436" s="63" t="str">
        <f>IF(H436="","",IF(I426=EUconst_NA,"",INDEX(EUwideConstants!$AL:$AR,MATCH(Q426,EUwideConstants!$S:$S,0),MATCH(I426,CNTR_TierList,0))))</f>
        <v/>
      </c>
      <c r="T436" s="23"/>
      <c r="U436" s="23"/>
      <c r="V436" s="23"/>
      <c r="W436" s="32" t="b">
        <f t="shared" si="28"/>
        <v>1</v>
      </c>
    </row>
    <row r="437" spans="1:23" s="24" customFormat="1" ht="12.75" customHeight="1" outlineLevel="1" x14ac:dyDescent="0.2">
      <c r="A437" s="23"/>
      <c r="D437" s="25" t="s">
        <v>1468</v>
      </c>
      <c r="E437" s="1039" t="str">
        <f t="shared" si="26"/>
        <v>Oxidation factor</v>
      </c>
      <c r="F437" s="1039"/>
      <c r="G437" s="1039"/>
      <c r="H437" s="30" t="str">
        <f t="shared" si="27"/>
        <v/>
      </c>
      <c r="I437" s="192"/>
      <c r="J437" s="192"/>
      <c r="K437" s="213"/>
      <c r="L437" s="213"/>
      <c r="M437" s="213"/>
      <c r="N437" s="196"/>
      <c r="P437" s="29"/>
      <c r="Q437" s="23"/>
      <c r="R437" s="23"/>
      <c r="S437" s="63" t="str">
        <f>IF(H437="","",IF(I427=EUconst_NA,"",INDEX(EUwideConstants!$AL:$AR,MATCH(Q427,EUwideConstants!$S:$S,0),MATCH(I427,CNTR_TierList,0))))</f>
        <v/>
      </c>
      <c r="T437" s="23"/>
      <c r="U437" s="23"/>
      <c r="V437" s="23"/>
      <c r="W437" s="32" t="b">
        <f t="shared" si="28"/>
        <v>1</v>
      </c>
    </row>
    <row r="438" spans="1:23" s="24" customFormat="1" ht="12.75" customHeight="1" outlineLevel="1" x14ac:dyDescent="0.2">
      <c r="A438" s="23"/>
      <c r="D438" s="25" t="s">
        <v>1469</v>
      </c>
      <c r="E438" s="1039" t="str">
        <f t="shared" si="26"/>
        <v>Conversion factor</v>
      </c>
      <c r="F438" s="1039"/>
      <c r="G438" s="1039"/>
      <c r="H438" s="30" t="str">
        <f t="shared" si="27"/>
        <v/>
      </c>
      <c r="I438" s="192"/>
      <c r="J438" s="192"/>
      <c r="K438" s="213"/>
      <c r="L438" s="271"/>
      <c r="M438" s="213"/>
      <c r="N438" s="196"/>
      <c r="P438" s="29"/>
      <c r="Q438" s="23"/>
      <c r="R438" s="23"/>
      <c r="S438" s="63" t="str">
        <f>IF(H438="","",IF(I428=EUconst_NA,"",INDEX(EUwideConstants!$AL:$AR,MATCH(Q428,EUwideConstants!$S:$S,0),MATCH(I428,CNTR_TierList,0))))</f>
        <v/>
      </c>
      <c r="T438" s="23"/>
      <c r="U438" s="23"/>
      <c r="V438" s="23"/>
      <c r="W438" s="32" t="b">
        <f t="shared" si="28"/>
        <v>1</v>
      </c>
    </row>
    <row r="439" spans="1:23" s="24" customFormat="1" ht="12.75" customHeight="1" outlineLevel="1" x14ac:dyDescent="0.2">
      <c r="A439" s="23"/>
      <c r="D439" s="25" t="s">
        <v>1470</v>
      </c>
      <c r="E439" s="1039" t="str">
        <f t="shared" si="26"/>
        <v>Carbon content</v>
      </c>
      <c r="F439" s="1039"/>
      <c r="G439" s="1039"/>
      <c r="H439" s="30" t="str">
        <f t="shared" si="27"/>
        <v/>
      </c>
      <c r="I439" s="192"/>
      <c r="J439" s="192"/>
      <c r="K439" s="213"/>
      <c r="L439" s="213"/>
      <c r="M439" s="213"/>
      <c r="N439" s="196"/>
      <c r="P439" s="29"/>
      <c r="Q439" s="23"/>
      <c r="R439" s="23"/>
      <c r="S439" s="63" t="str">
        <f>IF(H439="","",IF(I429=EUconst_NA,"",INDEX(EUwideConstants!$AL:$AR,MATCH(Q429,EUwideConstants!$S:$S,0),MATCH(I429,CNTR_TierList,0))))</f>
        <v/>
      </c>
      <c r="T439" s="23"/>
      <c r="U439" s="23"/>
      <c r="V439" s="23"/>
      <c r="W439" s="32" t="b">
        <f t="shared" si="28"/>
        <v>1</v>
      </c>
    </row>
    <row r="440" spans="1:23" s="24" customFormat="1" ht="12.75" customHeight="1" outlineLevel="1" x14ac:dyDescent="0.2">
      <c r="A440" s="23"/>
      <c r="D440" s="25" t="s">
        <v>1471</v>
      </c>
      <c r="E440" s="1039" t="str">
        <f t="shared" si="26"/>
        <v>Biomass fraction (if applicable)</v>
      </c>
      <c r="F440" s="1039"/>
      <c r="G440" s="1039"/>
      <c r="H440" s="30" t="str">
        <f t="shared" si="27"/>
        <v/>
      </c>
      <c r="I440" s="192"/>
      <c r="J440" s="197"/>
      <c r="K440" s="213"/>
      <c r="L440" s="213"/>
      <c r="M440" s="213"/>
      <c r="N440" s="196"/>
      <c r="P440" s="47"/>
      <c r="Q440" s="23"/>
      <c r="R440" s="23"/>
      <c r="S440" s="63" t="str">
        <f>IF(H440="","",IF(I430=EUconst_NA,"",INDEX(EUwideConstants!$AL:$AR,MATCH(Q430,EUwideConstants!$S:$S,0),MATCH(I430,CNTR_TierList,0))))</f>
        <v/>
      </c>
      <c r="T440" s="23"/>
      <c r="U440" s="23"/>
      <c r="V440" s="23"/>
      <c r="W440" s="32" t="b">
        <f t="shared" si="28"/>
        <v>1</v>
      </c>
    </row>
    <row r="441" spans="1:23" s="24" customFormat="1" ht="12.75" customHeight="1" outlineLevel="1" x14ac:dyDescent="0.2">
      <c r="A441" s="23"/>
      <c r="D441" s="13"/>
      <c r="P441" s="29"/>
      <c r="Q441" s="23"/>
      <c r="R441" s="23"/>
      <c r="S441" s="23"/>
      <c r="T441" s="23"/>
      <c r="U441" s="23"/>
      <c r="V441" s="23"/>
      <c r="W441" s="23"/>
    </row>
    <row r="442" spans="1:23" s="24" customFormat="1" ht="15" customHeight="1" outlineLevel="1" x14ac:dyDescent="0.2">
      <c r="A442" s="23"/>
      <c r="D442" s="1040" t="str">
        <f>Translations!$B$545</f>
        <v>Comments and explanations:</v>
      </c>
      <c r="E442" s="1040"/>
      <c r="F442" s="1040"/>
      <c r="G442" s="1040"/>
      <c r="H442" s="1040"/>
      <c r="I442" s="1040"/>
      <c r="J442" s="1040"/>
      <c r="K442" s="1040"/>
      <c r="L442" s="1040"/>
      <c r="M442" s="1040"/>
      <c r="N442" s="1040"/>
      <c r="P442" s="29"/>
      <c r="Q442" s="29"/>
      <c r="R442" s="29"/>
      <c r="S442" s="29"/>
      <c r="T442" s="6"/>
      <c r="U442" s="23"/>
      <c r="V442" s="23"/>
      <c r="W442" s="23"/>
    </row>
    <row r="443" spans="1:23" s="24" customFormat="1" ht="5.0999999999999996" customHeight="1" outlineLevel="1" x14ac:dyDescent="0.2">
      <c r="A443" s="23"/>
      <c r="D443" s="13"/>
      <c r="P443" s="29"/>
      <c r="Q443" s="23"/>
      <c r="R443" s="23"/>
      <c r="S443" s="23"/>
      <c r="T443" s="23"/>
      <c r="U443" s="23"/>
      <c r="V443" s="23"/>
      <c r="W443" s="23"/>
    </row>
    <row r="444" spans="1:23" s="24" customFormat="1" ht="12.75" customHeight="1" outlineLevel="1" x14ac:dyDescent="0.2">
      <c r="A444" s="23"/>
      <c r="D444" s="13" t="s">
        <v>1351</v>
      </c>
      <c r="E444" s="946" t="str">
        <f>Translations!$B$1198</f>
        <v>Comments and justification if required tiers are not applied:</v>
      </c>
      <c r="F444" s="946"/>
      <c r="G444" s="946"/>
      <c r="H444" s="946"/>
      <c r="I444" s="946"/>
      <c r="J444" s="946"/>
      <c r="K444" s="946"/>
      <c r="L444" s="946"/>
      <c r="M444" s="946"/>
      <c r="N444" s="946"/>
      <c r="P444" s="29"/>
      <c r="Q444" s="23"/>
      <c r="R444" s="23"/>
      <c r="S444" s="23"/>
      <c r="T444" s="23"/>
      <c r="U444" s="23"/>
      <c r="V444" s="23"/>
      <c r="W444" s="23"/>
    </row>
    <row r="445" spans="1:23" s="24" customFormat="1" ht="5.0999999999999996" customHeight="1" outlineLevel="1" x14ac:dyDescent="0.2">
      <c r="A445" s="23"/>
      <c r="D445" s="13"/>
      <c r="E445" s="48"/>
      <c r="P445" s="29"/>
      <c r="Q445" s="23"/>
      <c r="R445" s="23"/>
      <c r="S445" s="23"/>
      <c r="T445" s="23"/>
      <c r="U445" s="23"/>
      <c r="V445" s="23"/>
      <c r="W445" s="23"/>
    </row>
    <row r="446" spans="1:23" s="24" customFormat="1" ht="12.75" customHeight="1" outlineLevel="1" x14ac:dyDescent="0.2">
      <c r="A446" s="23"/>
      <c r="D446" s="13"/>
      <c r="E446" s="1045"/>
      <c r="F446" s="955"/>
      <c r="G446" s="955"/>
      <c r="H446" s="955"/>
      <c r="I446" s="955"/>
      <c r="J446" s="955"/>
      <c r="K446" s="955"/>
      <c r="L446" s="955"/>
      <c r="M446" s="955"/>
      <c r="N446" s="956"/>
      <c r="P446" s="29"/>
      <c r="Q446" s="23"/>
      <c r="R446" s="23"/>
      <c r="S446" s="23"/>
      <c r="T446" s="23"/>
      <c r="U446" s="23"/>
      <c r="V446" s="23"/>
      <c r="W446" s="23"/>
    </row>
    <row r="447" spans="1:23" s="24" customFormat="1" ht="12.75" customHeight="1" outlineLevel="1" x14ac:dyDescent="0.2">
      <c r="A447" s="23"/>
      <c r="D447" s="13"/>
      <c r="E447" s="1037"/>
      <c r="F447" s="958"/>
      <c r="G447" s="958"/>
      <c r="H447" s="958"/>
      <c r="I447" s="958"/>
      <c r="J447" s="958"/>
      <c r="K447" s="958"/>
      <c r="L447" s="958"/>
      <c r="M447" s="958"/>
      <c r="N447" s="959"/>
      <c r="P447" s="29"/>
      <c r="Q447" s="23"/>
      <c r="R447" s="23"/>
      <c r="S447" s="23"/>
      <c r="T447" s="23"/>
      <c r="U447" s="23"/>
      <c r="V447" s="23"/>
      <c r="W447" s="23"/>
    </row>
    <row r="448" spans="1:23" s="24" customFormat="1" ht="12.75" customHeight="1" outlineLevel="1" x14ac:dyDescent="0.2">
      <c r="A448" s="23"/>
      <c r="D448" s="13"/>
      <c r="E448" s="1038"/>
      <c r="F448" s="961"/>
      <c r="G448" s="961"/>
      <c r="H448" s="961"/>
      <c r="I448" s="961"/>
      <c r="J448" s="961"/>
      <c r="K448" s="961"/>
      <c r="L448" s="961"/>
      <c r="M448" s="961"/>
      <c r="N448" s="962"/>
      <c r="P448" s="29"/>
      <c r="Q448" s="23"/>
      <c r="R448" s="23"/>
      <c r="S448" s="23"/>
      <c r="T448" s="23"/>
      <c r="U448" s="23"/>
      <c r="V448" s="23"/>
      <c r="W448" s="23"/>
    </row>
    <row r="449" spans="1:23" ht="12.75" customHeight="1" thickBot="1" x14ac:dyDescent="0.25">
      <c r="A449" s="72"/>
      <c r="C449" s="54"/>
      <c r="D449" s="55"/>
      <c r="E449" s="56"/>
      <c r="F449" s="54"/>
      <c r="G449" s="57"/>
      <c r="H449" s="57"/>
      <c r="I449" s="57"/>
      <c r="J449" s="57"/>
      <c r="K449" s="57"/>
      <c r="L449" s="57"/>
      <c r="M449" s="57"/>
      <c r="N449" s="57"/>
      <c r="O449" s="24"/>
      <c r="P449" s="15"/>
      <c r="Q449" s="72"/>
      <c r="R449" s="72"/>
      <c r="S449" s="75"/>
      <c r="T449" s="72"/>
      <c r="U449" s="72"/>
      <c r="V449" s="72"/>
      <c r="W449" s="72"/>
    </row>
    <row r="450" spans="1:23" ht="12.75" customHeight="1" thickBot="1" x14ac:dyDescent="0.25">
      <c r="A450" s="72"/>
      <c r="D450" s="13"/>
      <c r="E450" s="22"/>
      <c r="G450" s="2"/>
      <c r="H450" s="2"/>
      <c r="I450" s="2"/>
      <c r="J450" s="2"/>
      <c r="L450" s="2"/>
      <c r="M450" s="2"/>
      <c r="N450" s="2"/>
      <c r="O450" s="24"/>
      <c r="P450" s="15"/>
      <c r="Q450" s="72"/>
      <c r="R450" s="72"/>
      <c r="S450" s="66" t="s">
        <v>470</v>
      </c>
      <c r="T450" s="107" t="s">
        <v>471</v>
      </c>
      <c r="U450" s="107" t="s">
        <v>472</v>
      </c>
      <c r="V450" s="72"/>
      <c r="W450" s="72"/>
    </row>
    <row r="451" spans="1:23" s="186" customFormat="1" ht="15" customHeight="1" thickBot="1" x14ac:dyDescent="0.25">
      <c r="A451" s="76"/>
      <c r="B451" s="34"/>
      <c r="C451" s="35" t="str">
        <f>"F"&amp;Q451</f>
        <v>F6</v>
      </c>
      <c r="D451" s="1040" t="str">
        <f>CONCATENATE(Euconst_SourceStream," ", Q451,":")</f>
        <v>Source Stream 6:</v>
      </c>
      <c r="E451" s="1040"/>
      <c r="F451" s="1040"/>
      <c r="G451" s="1066"/>
      <c r="H451" s="1067" t="str">
        <f>IF(INDEX(C_InstallationDescription!$F$194:$F$204,MATCH(C451,C_InstallationDescription!$E$194:$E$204,0))&gt;0,INDEX(C_InstallationDescription!$F$194:$F$204,MATCH(C451,C_InstallationDescription!$E$194:$E$204,0)),"")</f>
        <v/>
      </c>
      <c r="I451" s="1067"/>
      <c r="J451" s="1067"/>
      <c r="K451" s="1067"/>
      <c r="L451" s="1068"/>
      <c r="M451" s="1069" t="str">
        <f>IF(S451=TRUE,IF(U451="",T451,U451),"")</f>
        <v/>
      </c>
      <c r="N451" s="1070"/>
      <c r="O451" s="24"/>
      <c r="P451" s="41"/>
      <c r="Q451" s="33">
        <f>Q385+1</f>
        <v>6</v>
      </c>
      <c r="R451" s="37"/>
      <c r="S451" s="40" t="b">
        <f>IF(INDEX(C_InstallationDescription!$M:$M,MATCH(Q453,C_InstallationDescription!$Q:$Q,0))="",FALSE,TRUE)</f>
        <v>0</v>
      </c>
      <c r="T451" s="92" t="str">
        <f>IF(S451=TRUE,INDEX(C_InstallationDescription!$M:$M,MATCH(Q453,C_InstallationDescription!$Q:$Q,0)),"")</f>
        <v/>
      </c>
      <c r="U451" s="40" t="str">
        <f>IF(S451=TRUE,IF(ISBLANK(INDEX(C_InstallationDescription!$N:$N,MATCH(Q453,C_InstallationDescription!$Q:$Q,0))),"",INDEX(C_InstallationDescription!$N:$N,MATCH(Q453,C_InstallationDescription!$Q:$Q,0))),"")</f>
        <v/>
      </c>
      <c r="V451" s="37"/>
      <c r="W451" s="37"/>
    </row>
    <row r="452" spans="1:23" s="24" customFormat="1" ht="5.0999999999999996" customHeight="1" x14ac:dyDescent="0.2">
      <c r="A452" s="72"/>
      <c r="B452" s="8"/>
      <c r="C452" s="8"/>
      <c r="D452" s="8"/>
      <c r="E452" s="8"/>
      <c r="F452" s="8"/>
      <c r="G452" s="8"/>
      <c r="H452" s="8"/>
      <c r="I452" s="8"/>
      <c r="J452" s="8"/>
      <c r="K452" s="8"/>
      <c r="L452" s="8"/>
      <c r="M452" s="7"/>
      <c r="N452" s="7"/>
      <c r="P452" s="17"/>
      <c r="Q452" s="12"/>
      <c r="R452" s="23"/>
      <c r="S452" s="23"/>
      <c r="T452" s="23"/>
      <c r="U452" s="23"/>
      <c r="V452" s="23"/>
      <c r="W452" s="23"/>
    </row>
    <row r="453" spans="1:23" s="24" customFormat="1" ht="12.75" customHeight="1" x14ac:dyDescent="0.2">
      <c r="A453" s="72"/>
      <c r="B453" s="8"/>
      <c r="C453" s="8"/>
      <c r="D453" s="13"/>
      <c r="E453" s="924" t="str">
        <f>Translations!$B$437</f>
        <v>Source stream type:</v>
      </c>
      <c r="F453" s="924"/>
      <c r="G453" s="925"/>
      <c r="H453" s="1071" t="str">
        <f>IF(INDEX(C_InstallationDescription!$I$194:$I$204,MATCH(C451,C_InstallationDescription!$E$194:$E$204,0))&gt;0,INDEX(C_InstallationDescription!$I$194:$I$204,MATCH(C451,C_InstallationDescription!$E$194:$E$204,0)),"")</f>
        <v/>
      </c>
      <c r="I453" s="1072"/>
      <c r="J453" s="1072"/>
      <c r="K453" s="1072"/>
      <c r="L453" s="1073"/>
      <c r="P453" s="17"/>
      <c r="Q453" s="39" t="str">
        <f>EUconst_CNTR_SourceCategory&amp;C451</f>
        <v>SourceCategory_F6</v>
      </c>
      <c r="R453" s="23"/>
      <c r="S453" s="23"/>
      <c r="T453" s="23"/>
      <c r="U453" s="23"/>
      <c r="V453" s="23"/>
      <c r="W453" s="23"/>
    </row>
    <row r="454" spans="1:23" s="24" customFormat="1" ht="12.75" customHeight="1" outlineLevel="1" x14ac:dyDescent="0.2">
      <c r="A454" s="23"/>
      <c r="B454" s="8"/>
      <c r="C454" s="8"/>
      <c r="D454" s="11"/>
      <c r="E454" s="924" t="str">
        <f>Translations!$B$438</f>
        <v>Method applicable according to MRR:</v>
      </c>
      <c r="F454" s="924"/>
      <c r="G454" s="925"/>
      <c r="H454" s="1062" t="str">
        <f>IF(H453="","",INDEX(EUwideConstants!F:F,MATCH(H453,EUwideConstants!Q:Q,0)))</f>
        <v/>
      </c>
      <c r="I454" s="1062"/>
      <c r="J454" s="1062"/>
      <c r="K454" s="1062"/>
      <c r="L454" s="1062"/>
      <c r="M454" s="2"/>
      <c r="N454" s="2"/>
      <c r="P454" s="17"/>
      <c r="Q454" s="12"/>
      <c r="R454" s="23"/>
      <c r="S454" s="23"/>
      <c r="T454" s="23"/>
      <c r="U454" s="23"/>
      <c r="V454" s="23"/>
      <c r="W454" s="23"/>
    </row>
    <row r="455" spans="1:23" s="24" customFormat="1" ht="12.75" customHeight="1" outlineLevel="1" x14ac:dyDescent="0.2">
      <c r="A455" s="23"/>
      <c r="D455" s="38"/>
      <c r="E455" s="924" t="str">
        <f>Translations!$B$439</f>
        <v>Parameter to which uncertainty applies:</v>
      </c>
      <c r="F455" s="924"/>
      <c r="G455" s="925"/>
      <c r="H455" s="1062" t="str">
        <f>IF(H453="","",INDEX(EUwideConstants!E:E,MATCH(H453,EUwideConstants!Q:Q,0)))</f>
        <v/>
      </c>
      <c r="I455" s="1062"/>
      <c r="J455" s="1062"/>
      <c r="K455" s="1062"/>
      <c r="L455" s="1062"/>
      <c r="P455" s="17"/>
      <c r="Q455" s="12"/>
      <c r="R455" s="23"/>
      <c r="S455" s="23"/>
      <c r="T455" s="23"/>
      <c r="U455" s="23"/>
      <c r="V455" s="23"/>
      <c r="W455" s="23"/>
    </row>
    <row r="456" spans="1:23" s="24" customFormat="1" ht="5.0999999999999996" customHeight="1" outlineLevel="1" x14ac:dyDescent="0.2">
      <c r="A456" s="23"/>
      <c r="P456" s="29"/>
      <c r="Q456" s="23"/>
      <c r="R456" s="23"/>
      <c r="S456" s="23"/>
      <c r="T456" s="23"/>
      <c r="U456" s="23"/>
      <c r="V456" s="23"/>
      <c r="W456" s="23"/>
    </row>
    <row r="457" spans="1:23" s="24" customFormat="1" ht="51" customHeight="1" outlineLevel="1" x14ac:dyDescent="0.2">
      <c r="A457" s="23"/>
      <c r="D457" s="13"/>
      <c r="E457" s="1063" t="str">
        <f>IF(H451="","",INDEX(EUconst_SmallEmiSouStreamMsg,MATCH(Q457,EUconst_SmallEmiSouStream,0)))</f>
        <v/>
      </c>
      <c r="F457" s="1064"/>
      <c r="G457" s="1064"/>
      <c r="H457" s="1064"/>
      <c r="I457" s="1064"/>
      <c r="J457" s="1064"/>
      <c r="K457" s="1064"/>
      <c r="L457" s="1064"/>
      <c r="M457" s="1064"/>
      <c r="N457" s="1065"/>
      <c r="P457" s="15"/>
      <c r="Q457" s="43" t="str">
        <f>IF(CNTR_SmallEmitter=TRUE,EUconst_CNTR_SmallEmitter,EUconst_CNTR_NoSmallEmitter) &amp; IF((CNTR_Category)="","C",CNTR_Category) &amp; "_" &amp; IF(M451="",1,MATCH(M451,SourceCategory,0))</f>
        <v>NoSmallEmitter_C_1</v>
      </c>
      <c r="R457" s="23"/>
      <c r="S457" s="23"/>
      <c r="T457" s="23"/>
      <c r="U457" s="23"/>
      <c r="V457" s="23"/>
      <c r="W457" s="23"/>
    </row>
    <row r="458" spans="1:23" s="24" customFormat="1" ht="12.75" customHeight="1" outlineLevel="1" x14ac:dyDescent="0.2">
      <c r="A458" s="23"/>
      <c r="D458" s="13"/>
      <c r="P458" s="29"/>
      <c r="Q458" s="23"/>
      <c r="R458" s="23"/>
      <c r="S458" s="23"/>
      <c r="T458" s="23"/>
      <c r="U458" s="23"/>
      <c r="V458" s="23"/>
      <c r="W458" s="23"/>
    </row>
    <row r="459" spans="1:23" s="24" customFormat="1" ht="15" customHeight="1" outlineLevel="1" x14ac:dyDescent="0.2">
      <c r="A459" s="23"/>
      <c r="D459" s="1040" t="str">
        <f>Translations!$B$454</f>
        <v>Activity Data:</v>
      </c>
      <c r="E459" s="1040"/>
      <c r="F459" s="1040"/>
      <c r="G459" s="1040"/>
      <c r="H459" s="1040"/>
      <c r="I459" s="1040"/>
      <c r="J459" s="1040"/>
      <c r="K459" s="1040"/>
      <c r="L459" s="1040"/>
      <c r="M459" s="1040"/>
      <c r="N459" s="1040"/>
      <c r="P459" s="29"/>
      <c r="Q459" s="23"/>
      <c r="R459" s="23"/>
      <c r="S459" s="23"/>
      <c r="T459" s="23"/>
      <c r="U459" s="23"/>
      <c r="V459" s="23"/>
      <c r="W459" s="23"/>
    </row>
    <row r="460" spans="1:23" s="24" customFormat="1" ht="5.0999999999999996" customHeight="1" outlineLevel="1" x14ac:dyDescent="0.2">
      <c r="A460" s="23"/>
      <c r="D460" s="13"/>
      <c r="P460" s="29"/>
      <c r="Q460" s="23"/>
      <c r="R460" s="23"/>
      <c r="S460" s="23"/>
      <c r="T460" s="23"/>
      <c r="U460" s="23"/>
      <c r="V460" s="23"/>
      <c r="W460" s="23"/>
    </row>
    <row r="461" spans="1:23" s="24" customFormat="1" outlineLevel="1" x14ac:dyDescent="0.2">
      <c r="A461" s="23"/>
      <c r="D461" s="13" t="s">
        <v>1018</v>
      </c>
      <c r="E461" s="825" t="str">
        <f>Translations!$B$455</f>
        <v>Activity data determination method:</v>
      </c>
      <c r="F461" s="825"/>
      <c r="G461" s="825"/>
      <c r="H461" s="825"/>
      <c r="I461" s="825"/>
      <c r="J461" s="825"/>
      <c r="K461" s="825"/>
      <c r="L461" s="825"/>
      <c r="M461" s="825"/>
      <c r="N461" s="825"/>
      <c r="P461" s="29"/>
      <c r="Q461" s="23"/>
      <c r="R461" s="23"/>
      <c r="S461" s="23"/>
      <c r="T461" s="23"/>
      <c r="U461" s="23"/>
      <c r="V461" s="23"/>
      <c r="W461" s="23"/>
    </row>
    <row r="462" spans="1:23" s="24" customFormat="1" ht="5.0999999999999996" customHeight="1" outlineLevel="1" x14ac:dyDescent="0.2">
      <c r="A462" s="23"/>
      <c r="D462" s="13"/>
      <c r="E462" s="14"/>
      <c r="F462" s="14"/>
      <c r="G462" s="14"/>
      <c r="H462" s="14"/>
      <c r="I462" s="14"/>
      <c r="L462" s="22"/>
      <c r="P462" s="29"/>
      <c r="Q462" s="23"/>
      <c r="R462" s="23"/>
      <c r="S462" s="23"/>
      <c r="T462" s="23"/>
      <c r="U462" s="23"/>
      <c r="V462" s="23"/>
      <c r="W462" s="23"/>
    </row>
    <row r="463" spans="1:23" s="24" customFormat="1" ht="12.75" customHeight="1" outlineLevel="1" x14ac:dyDescent="0.2">
      <c r="A463" s="23"/>
      <c r="D463" s="25" t="s">
        <v>1030</v>
      </c>
      <c r="E463" s="11" t="str">
        <f>Translations!$B$456</f>
        <v>Determination method:</v>
      </c>
      <c r="G463" s="14"/>
      <c r="H463" s="1060"/>
      <c r="I463" s="1061"/>
      <c r="P463" s="220"/>
      <c r="Q463" s="23"/>
      <c r="R463" s="23"/>
      <c r="S463" s="23"/>
      <c r="T463" s="23"/>
      <c r="U463" s="23"/>
      <c r="V463" s="23"/>
      <c r="W463" s="63" t="str">
        <f>IF(M451="","",IF(M451=INDEX(SourceCategory,3),1,IF(CNTR_InstHasCalculation=FALSE,0,2)))</f>
        <v/>
      </c>
    </row>
    <row r="464" spans="1:23" s="24" customFormat="1" ht="5.0999999999999996" customHeight="1" outlineLevel="1" x14ac:dyDescent="0.2">
      <c r="A464" s="23"/>
      <c r="D464" s="25"/>
      <c r="G464" s="14"/>
      <c r="H464" s="44"/>
      <c r="I464" s="44"/>
      <c r="P464" s="29"/>
      <c r="Q464" s="23"/>
      <c r="R464" s="23"/>
      <c r="S464" s="23"/>
      <c r="T464" s="23"/>
      <c r="U464" s="23"/>
      <c r="V464" s="23"/>
      <c r="W464" s="23"/>
    </row>
    <row r="465" spans="1:23" s="24" customFormat="1" ht="12.75" customHeight="1" outlineLevel="1" x14ac:dyDescent="0.2">
      <c r="A465" s="23"/>
      <c r="E465" s="46"/>
      <c r="F465" s="1049" t="str">
        <f>Translations!$B$459</f>
        <v>Reference to procedure used for determining stock piles at end of year:</v>
      </c>
      <c r="G465" s="1049"/>
      <c r="H465" s="1049"/>
      <c r="I465" s="1049"/>
      <c r="J465" s="1050"/>
      <c r="K465" s="1060"/>
      <c r="L465" s="1061"/>
      <c r="P465" s="29"/>
      <c r="Q465" s="23"/>
      <c r="R465" s="23"/>
      <c r="S465" s="23"/>
      <c r="T465" s="23"/>
      <c r="U465" s="29"/>
      <c r="V465" s="32" t="b">
        <f>IF(OR(H451="",ISBLANK(H463)),FALSE,IF(MATCH(H463,EUconst_ActivityDeterminationMethod,0)=2,TRUE,FALSE))</f>
        <v>0</v>
      </c>
      <c r="W465" s="63" t="str">
        <f>IF(V465=TRUE,0,W463)</f>
        <v/>
      </c>
    </row>
    <row r="466" spans="1:23" s="24" customFormat="1" ht="5.0999999999999996" customHeight="1" outlineLevel="1" x14ac:dyDescent="0.2">
      <c r="A466" s="23"/>
      <c r="P466" s="29"/>
      <c r="Q466" s="23"/>
      <c r="R466" s="23"/>
      <c r="S466" s="23"/>
      <c r="T466" s="23"/>
      <c r="U466" s="23"/>
      <c r="V466" s="23"/>
      <c r="W466" s="23"/>
    </row>
    <row r="467" spans="1:23" s="24" customFormat="1" ht="12.75" customHeight="1" outlineLevel="1" x14ac:dyDescent="0.2">
      <c r="A467" s="23"/>
      <c r="D467" s="46" t="s">
        <v>1031</v>
      </c>
      <c r="E467" s="11" t="str">
        <f>Translations!$B$462</f>
        <v>Instrument under control of:</v>
      </c>
      <c r="G467" s="14"/>
      <c r="H467" s="1060"/>
      <c r="I467" s="1061"/>
      <c r="J467" s="25"/>
      <c r="P467" s="29"/>
      <c r="Q467" s="23"/>
      <c r="R467" s="23"/>
      <c r="S467" s="23"/>
      <c r="T467" s="23"/>
      <c r="U467" s="23"/>
      <c r="V467" s="23"/>
      <c r="W467" s="63" t="str">
        <f>W463</f>
        <v/>
      </c>
    </row>
    <row r="468" spans="1:23" s="24" customFormat="1" ht="5.0999999999999996" customHeight="1" outlineLevel="1" x14ac:dyDescent="0.2">
      <c r="A468" s="23"/>
      <c r="D468" s="25"/>
      <c r="G468" s="14"/>
      <c r="H468" s="44"/>
      <c r="I468" s="44"/>
      <c r="J468" s="25"/>
      <c r="P468" s="29"/>
      <c r="Q468" s="23"/>
      <c r="R468" s="23"/>
      <c r="S468" s="23"/>
      <c r="T468" s="23"/>
      <c r="U468" s="23"/>
      <c r="V468" s="23"/>
      <c r="W468" s="23"/>
    </row>
    <row r="469" spans="1:23" s="24" customFormat="1" ht="12.75" customHeight="1" outlineLevel="1" x14ac:dyDescent="0.2">
      <c r="A469" s="23"/>
      <c r="D469" s="25"/>
      <c r="E469" s="46" t="s">
        <v>1296</v>
      </c>
      <c r="F469" s="767" t="str">
        <f>Translations!$B$465</f>
        <v>Please confirm that the conditions of Article 29(1) are satisfied:</v>
      </c>
      <c r="G469" s="732"/>
      <c r="H469" s="732"/>
      <c r="I469" s="732"/>
      <c r="J469" s="732"/>
      <c r="K469" s="732"/>
      <c r="L469" s="192"/>
      <c r="P469" s="29"/>
      <c r="Q469" s="23"/>
      <c r="R469" s="23"/>
      <c r="S469" s="23"/>
      <c r="T469" s="23"/>
      <c r="U469" s="23"/>
      <c r="V469" s="32" t="b">
        <f>IF(OR(H451="",ISBLANK(H467)),FALSE,IF(MATCH(H467,EUconst_OwnerInstrument,0)=1,TRUE,FALSE))</f>
        <v>0</v>
      </c>
      <c r="W469" s="63" t="str">
        <f>IF(V469=TRUE,0,W463)</f>
        <v/>
      </c>
    </row>
    <row r="470" spans="1:23" s="24" customFormat="1" ht="5.0999999999999996" customHeight="1" outlineLevel="1" x14ac:dyDescent="0.2">
      <c r="A470" s="23"/>
      <c r="D470" s="25"/>
      <c r="E470" s="25"/>
      <c r="G470" s="14"/>
      <c r="N470" s="44"/>
      <c r="P470" s="29"/>
      <c r="Q470" s="23"/>
      <c r="R470" s="23"/>
      <c r="S470" s="23"/>
      <c r="T470" s="23"/>
      <c r="U470" s="23"/>
      <c r="V470" s="16"/>
      <c r="W470" s="23"/>
    </row>
    <row r="471" spans="1:23" s="24" customFormat="1" ht="12.75" customHeight="1" outlineLevel="1" x14ac:dyDescent="0.2">
      <c r="A471" s="23"/>
      <c r="D471" s="25"/>
      <c r="E471" s="46" t="s">
        <v>1297</v>
      </c>
      <c r="F471" s="1049" t="str">
        <f>Translations!$B$468</f>
        <v>Do you use invoices for determining the amount of this fuel or material?</v>
      </c>
      <c r="G471" s="1049"/>
      <c r="H471" s="1049"/>
      <c r="I471" s="1049"/>
      <c r="J471" s="1049"/>
      <c r="K471" s="1050"/>
      <c r="L471" s="192"/>
      <c r="P471" s="29"/>
      <c r="Q471" s="23"/>
      <c r="R471" s="23"/>
      <c r="S471" s="23"/>
      <c r="T471" s="23"/>
      <c r="U471" s="23"/>
      <c r="V471" s="32" t="b">
        <f>IF(OR(H451="",ISBLANK(H467)),FALSE,IF(MATCH(H467,EUconst_OwnerInstrument,0)=1,TRUE,FALSE))</f>
        <v>0</v>
      </c>
      <c r="W471" s="63" t="str">
        <f>IF(V471=TRUE,0,W463)</f>
        <v/>
      </c>
    </row>
    <row r="472" spans="1:23" s="24" customFormat="1" ht="5.0999999999999996" customHeight="1" outlineLevel="1" x14ac:dyDescent="0.2">
      <c r="A472" s="23"/>
      <c r="D472" s="25"/>
      <c r="E472" s="25"/>
      <c r="G472" s="14"/>
      <c r="J472" s="25"/>
      <c r="L472" s="45"/>
      <c r="P472" s="29"/>
      <c r="Q472" s="23"/>
      <c r="R472" s="23"/>
      <c r="S472" s="23"/>
      <c r="T472" s="23"/>
      <c r="U472" s="23"/>
      <c r="V472" s="23"/>
      <c r="W472" s="23"/>
    </row>
    <row r="473" spans="1:23" s="24" customFormat="1" ht="12.75" customHeight="1" outlineLevel="1" x14ac:dyDescent="0.2">
      <c r="A473" s="23"/>
      <c r="D473" s="25"/>
      <c r="E473" s="46" t="s">
        <v>1298</v>
      </c>
      <c r="F473" s="1049" t="str">
        <f>Translations!$B$469</f>
        <v>Please confirm that the trade partner and the operator are independent:</v>
      </c>
      <c r="G473" s="1049"/>
      <c r="H473" s="1049"/>
      <c r="I473" s="1049"/>
      <c r="J473" s="1049"/>
      <c r="K473" s="1050"/>
      <c r="L473" s="192"/>
      <c r="P473" s="29"/>
      <c r="Q473" s="23"/>
      <c r="R473" s="23"/>
      <c r="S473" s="23"/>
      <c r="T473" s="23"/>
      <c r="U473" s="23"/>
      <c r="V473" s="32" t="b">
        <f>IF(OR(H451="",ISBLANK(H467)),FALSE,IF(MATCH(H467,EUconst_OwnerInstrument,0)=1,TRUE,FALSE))</f>
        <v>0</v>
      </c>
      <c r="W473" s="63" t="str">
        <f>IF(V473=TRUE,0,W463)</f>
        <v/>
      </c>
    </row>
    <row r="474" spans="1:23" s="24" customFormat="1" outlineLevel="1" x14ac:dyDescent="0.2">
      <c r="A474" s="23"/>
      <c r="P474" s="29"/>
      <c r="Q474" s="23"/>
      <c r="R474" s="23"/>
      <c r="S474" s="23"/>
      <c r="T474" s="23"/>
      <c r="U474" s="23"/>
      <c r="V474" s="23"/>
      <c r="W474" s="23"/>
    </row>
    <row r="475" spans="1:23" s="24" customFormat="1" ht="12.75" customHeight="1" outlineLevel="1" x14ac:dyDescent="0.2">
      <c r="A475" s="23"/>
      <c r="D475" s="13" t="s">
        <v>1020</v>
      </c>
      <c r="E475" s="14" t="str">
        <f>Translations!$B$472</f>
        <v>Measurement instruments used:</v>
      </c>
      <c r="H475" s="215"/>
      <c r="I475" s="215"/>
      <c r="J475" s="215"/>
      <c r="K475" s="215"/>
      <c r="L475" s="215"/>
      <c r="P475" s="15"/>
      <c r="Q475" s="23"/>
      <c r="R475" s="23"/>
      <c r="S475" s="23"/>
      <c r="T475" s="23"/>
      <c r="U475" s="23"/>
      <c r="V475" s="23"/>
      <c r="W475" s="23"/>
    </row>
    <row r="476" spans="1:23" s="24" customFormat="1" ht="5.0999999999999996" customHeight="1" outlineLevel="1" x14ac:dyDescent="0.2">
      <c r="A476" s="23"/>
      <c r="D476" s="13"/>
      <c r="E476" s="14"/>
      <c r="P476" s="15"/>
      <c r="Q476" s="23"/>
      <c r="R476" s="23"/>
      <c r="S476" s="23"/>
      <c r="T476" s="23"/>
      <c r="U476" s="23"/>
      <c r="V476" s="23"/>
      <c r="W476" s="23"/>
    </row>
    <row r="477" spans="1:23" s="24" customFormat="1" outlineLevel="1" x14ac:dyDescent="0.2">
      <c r="A477" s="23"/>
      <c r="D477" s="13"/>
      <c r="E477" s="24" t="str">
        <f>Translations!$B$475</f>
        <v>Comment / Description of approach, if several instruments used:</v>
      </c>
      <c r="I477" s="11"/>
      <c r="P477" s="29"/>
      <c r="Q477" s="23"/>
      <c r="R477" s="23"/>
      <c r="S477" s="23"/>
      <c r="T477" s="23"/>
      <c r="U477" s="23"/>
      <c r="V477" s="23"/>
      <c r="W477" s="23"/>
    </row>
    <row r="478" spans="1:23" s="24" customFormat="1" ht="12.75" customHeight="1" outlineLevel="1" x14ac:dyDescent="0.2">
      <c r="A478" s="23"/>
      <c r="D478" s="13"/>
      <c r="E478" s="1051"/>
      <c r="F478" s="1052"/>
      <c r="G478" s="1052"/>
      <c r="H478" s="1052"/>
      <c r="I478" s="1052"/>
      <c r="J478" s="1052"/>
      <c r="K478" s="1052"/>
      <c r="L478" s="1052"/>
      <c r="M478" s="1052"/>
      <c r="N478" s="1053"/>
      <c r="P478" s="29"/>
      <c r="Q478" s="23"/>
      <c r="R478" s="23"/>
      <c r="S478" s="23"/>
      <c r="T478" s="23"/>
      <c r="U478" s="23"/>
      <c r="V478" s="23"/>
      <c r="W478" s="23"/>
    </row>
    <row r="479" spans="1:23" s="24" customFormat="1" outlineLevel="1" x14ac:dyDescent="0.2">
      <c r="A479" s="23"/>
      <c r="D479" s="13"/>
      <c r="E479" s="1054"/>
      <c r="F479" s="1055"/>
      <c r="G479" s="1055"/>
      <c r="H479" s="1055"/>
      <c r="I479" s="1055"/>
      <c r="J479" s="1055"/>
      <c r="K479" s="1055"/>
      <c r="L479" s="1055"/>
      <c r="M479" s="1055"/>
      <c r="N479" s="1056"/>
      <c r="P479" s="29"/>
      <c r="Q479" s="29"/>
      <c r="R479" s="29"/>
      <c r="S479" s="23"/>
      <c r="T479" s="23"/>
      <c r="U479" s="23"/>
      <c r="V479" s="23"/>
      <c r="W479" s="23"/>
    </row>
    <row r="480" spans="1:23" s="24" customFormat="1" outlineLevel="1" x14ac:dyDescent="0.2">
      <c r="A480" s="23"/>
      <c r="D480" s="13"/>
      <c r="E480" s="1057"/>
      <c r="F480" s="1058"/>
      <c r="G480" s="1058"/>
      <c r="H480" s="1058"/>
      <c r="I480" s="1058"/>
      <c r="J480" s="1058"/>
      <c r="K480" s="1058"/>
      <c r="L480" s="1058"/>
      <c r="M480" s="1058"/>
      <c r="N480" s="1059"/>
      <c r="P480" s="29"/>
      <c r="Q480" s="29"/>
      <c r="R480" s="29"/>
      <c r="S480" s="23"/>
      <c r="T480" s="23"/>
      <c r="U480" s="23"/>
      <c r="V480" s="23"/>
      <c r="W480" s="23"/>
    </row>
    <row r="481" spans="1:23" s="24" customFormat="1" outlineLevel="1" x14ac:dyDescent="0.2">
      <c r="A481" s="23"/>
      <c r="D481" s="13"/>
      <c r="P481" s="29"/>
      <c r="Q481" s="29"/>
      <c r="R481" s="29"/>
      <c r="S481" s="23"/>
      <c r="T481" s="23"/>
      <c r="U481" s="23"/>
      <c r="V481" s="23"/>
      <c r="W481" s="23"/>
    </row>
    <row r="482" spans="1:23" s="24" customFormat="1" ht="12.75" customHeight="1" outlineLevel="1" x14ac:dyDescent="0.2">
      <c r="A482" s="23"/>
      <c r="D482" s="13" t="s">
        <v>554</v>
      </c>
      <c r="E482" s="14" t="str">
        <f>Translations!$B$477</f>
        <v>Activity data tier level required:</v>
      </c>
      <c r="H482" s="30" t="str">
        <f>IF(H453="","",IF(CNTR_Category="A",INDEX(EUwideConstants!$G:$G,MATCH(Q482,EUwideConstants!$S:$S,0)),INDEX(EUwideConstants!$P:$P,MATCH(Q482,EUwideConstants!$S:$S,0))))</f>
        <v/>
      </c>
      <c r="I482" s="26" t="str">
        <f>IF(H482="","",IF(S482=0,EUconst_NA,IF(ISERROR(S482),"",EUconst_MsgTierActivityLevel &amp; " " &amp;S482)))</f>
        <v/>
      </c>
      <c r="J482" s="27"/>
      <c r="K482" s="27"/>
      <c r="L482" s="27"/>
      <c r="M482" s="27"/>
      <c r="N482" s="28"/>
      <c r="P482" s="29"/>
      <c r="Q482" s="92" t="str">
        <f>EUconst_CNTR_ActivityData&amp;H453</f>
        <v>ActivityData_</v>
      </c>
      <c r="R482" s="29"/>
      <c r="S482" s="32" t="str">
        <f>IF(H482="","",IF(H482=EUconst_NA,"",INDEX(EUwideConstants!$H:$O,MATCH(Q482,EUwideConstants!$S:$S,0),MATCH(H482,CNTR_TierList,0))))</f>
        <v/>
      </c>
      <c r="T482" s="23"/>
      <c r="U482" s="23"/>
      <c r="V482" s="23"/>
      <c r="W482" s="23"/>
    </row>
    <row r="483" spans="1:23" s="24" customFormat="1" ht="12.75" customHeight="1" outlineLevel="1" x14ac:dyDescent="0.2">
      <c r="A483" s="23"/>
      <c r="D483" s="13" t="s">
        <v>1022</v>
      </c>
      <c r="E483" s="14" t="str">
        <f>Translations!$B$478</f>
        <v>Activity data tier used:</v>
      </c>
      <c r="H483" s="192"/>
      <c r="I483" s="26" t="str">
        <f>IF(OR(ISBLANK(H483),H483=EUconst_NoTier),"",IF(S483=0,EUconst_NA,IF(ISERROR(S483),"",EUconst_MsgTierActivityLevel &amp; " " &amp;S483)))</f>
        <v/>
      </c>
      <c r="J483" s="27"/>
      <c r="K483" s="27"/>
      <c r="L483" s="27"/>
      <c r="M483" s="27"/>
      <c r="N483" s="28"/>
      <c r="P483" s="29"/>
      <c r="Q483" s="92" t="str">
        <f>EUconst_CNTR_ActivityData&amp;H453</f>
        <v>ActivityData_</v>
      </c>
      <c r="R483" s="29"/>
      <c r="S483" s="32" t="str">
        <f>IF(ISBLANK(H483),"",IF(H483=EUconst_NA,"",INDEX(EUwideConstants!$H:$O,MATCH(Q483,EUwideConstants!$S:$S,0),MATCH(H483,CNTR_TierList,0))))</f>
        <v/>
      </c>
      <c r="T483" s="23"/>
      <c r="U483" s="23"/>
      <c r="V483" s="23"/>
      <c r="W483" s="23"/>
    </row>
    <row r="484" spans="1:23" s="24" customFormat="1" ht="12.75" customHeight="1" outlineLevel="1" x14ac:dyDescent="0.2">
      <c r="A484" s="23"/>
      <c r="D484" s="13" t="s">
        <v>1023</v>
      </c>
      <c r="E484" s="14" t="str">
        <f>Translations!$B$479</f>
        <v>Uncertainty achieved:</v>
      </c>
      <c r="H484" s="229"/>
      <c r="I484" s="14" t="str">
        <f>Translations!$B$480</f>
        <v>Comment:</v>
      </c>
      <c r="J484" s="193"/>
      <c r="K484" s="194"/>
      <c r="L484" s="194"/>
      <c r="M484" s="194"/>
      <c r="N484" s="195"/>
      <c r="P484" s="29"/>
      <c r="Q484" s="29"/>
      <c r="R484" s="29"/>
      <c r="S484" s="23"/>
      <c r="T484" s="23"/>
      <c r="U484" s="23"/>
      <c r="V484" s="23"/>
      <c r="W484" s="23"/>
    </row>
    <row r="485" spans="1:23" s="24" customFormat="1" ht="5.0999999999999996" customHeight="1" outlineLevel="1" x14ac:dyDescent="0.2">
      <c r="A485" s="23"/>
      <c r="D485" s="13"/>
      <c r="E485" s="67"/>
      <c r="F485" s="67"/>
      <c r="G485" s="67"/>
      <c r="H485" s="67"/>
      <c r="I485" s="67"/>
      <c r="J485" s="67"/>
      <c r="K485" s="67"/>
      <c r="L485" s="67"/>
      <c r="M485" s="67"/>
      <c r="N485" s="67"/>
      <c r="P485" s="29"/>
      <c r="Q485" s="29"/>
      <c r="R485" s="29"/>
      <c r="S485" s="23"/>
      <c r="T485" s="23"/>
      <c r="U485" s="23"/>
      <c r="V485" s="23"/>
      <c r="W485" s="23"/>
    </row>
    <row r="486" spans="1:23" s="24" customFormat="1" ht="15" customHeight="1" outlineLevel="1" x14ac:dyDescent="0.2">
      <c r="A486" s="23"/>
      <c r="D486" s="1040" t="str">
        <f>Translations!$B$490</f>
        <v>Calculation factors:</v>
      </c>
      <c r="E486" s="1040"/>
      <c r="F486" s="1040"/>
      <c r="G486" s="1040"/>
      <c r="H486" s="1040"/>
      <c r="I486" s="1040"/>
      <c r="J486" s="1040"/>
      <c r="K486" s="1040"/>
      <c r="L486" s="1040"/>
      <c r="M486" s="1040"/>
      <c r="N486" s="1040"/>
      <c r="P486" s="29"/>
      <c r="Q486" s="29"/>
      <c r="R486" s="29"/>
      <c r="S486" s="29"/>
      <c r="T486" s="6"/>
      <c r="U486" s="23"/>
      <c r="V486" s="23"/>
      <c r="W486" s="23"/>
    </row>
    <row r="487" spans="1:23" s="24" customFormat="1" ht="5.0999999999999996" customHeight="1" outlineLevel="1" x14ac:dyDescent="0.2">
      <c r="A487" s="23"/>
      <c r="D487" s="13"/>
      <c r="E487" s="14"/>
      <c r="P487" s="29"/>
      <c r="Q487" s="29"/>
      <c r="R487" s="29"/>
      <c r="S487" s="29"/>
      <c r="T487" s="6"/>
      <c r="U487" s="23"/>
      <c r="V487" s="23"/>
      <c r="W487" s="23"/>
    </row>
    <row r="488" spans="1:23" s="24" customFormat="1" ht="12.75" customHeight="1" outlineLevel="1" x14ac:dyDescent="0.2">
      <c r="A488" s="23"/>
      <c r="D488" s="13" t="s">
        <v>1019</v>
      </c>
      <c r="E488" s="14" t="str">
        <f>Translations!$B$515</f>
        <v>Applied tiers for calculation factors:</v>
      </c>
      <c r="P488" s="29"/>
      <c r="Q488" s="29"/>
      <c r="R488" s="29"/>
      <c r="S488" s="29"/>
      <c r="T488" s="23"/>
      <c r="U488" s="23"/>
      <c r="V488" s="23"/>
      <c r="W488" s="23"/>
    </row>
    <row r="489" spans="1:23" s="24" customFormat="1" ht="5.0999999999999996" customHeight="1" outlineLevel="1" x14ac:dyDescent="0.2">
      <c r="A489" s="23"/>
      <c r="D489" s="13"/>
      <c r="E489" s="14"/>
      <c r="P489" s="29"/>
      <c r="Q489" s="29"/>
      <c r="R489" s="29"/>
      <c r="S489" s="29"/>
      <c r="T489" s="23"/>
      <c r="U489" s="23"/>
      <c r="V489" s="23"/>
      <c r="W489" s="23"/>
    </row>
    <row r="490" spans="1:23" s="24" customFormat="1" ht="25.5" customHeight="1" outlineLevel="1" x14ac:dyDescent="0.2">
      <c r="A490" s="23"/>
      <c r="E490" s="1044" t="str">
        <f>Translations!$B$516</f>
        <v>calculation factor</v>
      </c>
      <c r="F490" s="1044"/>
      <c r="G490" s="1044"/>
      <c r="H490" s="50" t="str">
        <f>Translations!$B$517</f>
        <v>required tier</v>
      </c>
      <c r="I490" s="50" t="str">
        <f>Translations!$B$518</f>
        <v>applied tier</v>
      </c>
      <c r="J490" s="1046" t="str">
        <f>Translations!$B$519</f>
        <v>full text for applied tier</v>
      </c>
      <c r="K490" s="1047"/>
      <c r="L490" s="1047"/>
      <c r="M490" s="1047"/>
      <c r="N490" s="1048"/>
      <c r="P490" s="29"/>
      <c r="Q490" s="29"/>
      <c r="R490" s="29"/>
      <c r="S490" s="15" t="s">
        <v>1038</v>
      </c>
      <c r="T490" s="23"/>
      <c r="U490" s="23"/>
      <c r="V490" s="23"/>
      <c r="W490" s="52" t="s">
        <v>1295</v>
      </c>
    </row>
    <row r="491" spans="1:23" s="24" customFormat="1" ht="12.75" customHeight="1" outlineLevel="1" x14ac:dyDescent="0.2">
      <c r="A491" s="23"/>
      <c r="D491" s="25" t="s">
        <v>1030</v>
      </c>
      <c r="E491" s="1039" t="str">
        <f>Translations!$B$520</f>
        <v>Net calorific value (NCV)</v>
      </c>
      <c r="F491" s="1039"/>
      <c r="G491" s="1039"/>
      <c r="H491" s="30" t="str">
        <f>IF(H453="","",IF(CNTR_Category="A",INDEX(EUwideConstants!$G:$G,MATCH(Q491,EUwideConstants!$S:$S,0)),INDEX(EUwideConstants!$P:$P,MATCH(Q491,EUwideConstants!$S:$S,0))))</f>
        <v/>
      </c>
      <c r="I491" s="192"/>
      <c r="J491" s="1041" t="str">
        <f t="shared" ref="J491:J496" si="29">IF(OR(ISBLANK(I491),I491=EUconst_NoTier),"",IF(S491=0,EUconst_NotApplicable,IF(ISERROR(S491),"",S491)))</f>
        <v/>
      </c>
      <c r="K491" s="1042"/>
      <c r="L491" s="1042"/>
      <c r="M491" s="1042"/>
      <c r="N491" s="1043"/>
      <c r="P491" s="29"/>
      <c r="Q491" s="92" t="str">
        <f>EUconst_CNTR_NCV&amp;H453</f>
        <v>NCV_</v>
      </c>
      <c r="R491" s="29"/>
      <c r="S491" s="31" t="str">
        <f>IF(ISBLANK(I491),"",IF(I491=EUconst_NA,"",INDEX(EUwideConstants!$H:$O,MATCH(Q491,EUwideConstants!$S:$S,0),MATCH(I491,CNTR_TierList,0))))</f>
        <v/>
      </c>
      <c r="T491" s="23"/>
      <c r="U491" s="23"/>
      <c r="V491" s="23"/>
      <c r="W491" s="32" t="b">
        <f t="shared" ref="W491:W496" si="30">(H491=EUconst_NA)</f>
        <v>0</v>
      </c>
    </row>
    <row r="492" spans="1:23" s="24" customFormat="1" ht="12.75" customHeight="1" outlineLevel="1" x14ac:dyDescent="0.2">
      <c r="A492" s="23"/>
      <c r="D492" s="25" t="s">
        <v>1031</v>
      </c>
      <c r="E492" s="1039" t="str">
        <f>Translations!$B$521</f>
        <v>Emission factor (preliminary)</v>
      </c>
      <c r="F492" s="1039"/>
      <c r="G492" s="1039"/>
      <c r="H492" s="30" t="str">
        <f>IF(H453="","",IF(CNTR_Category="A",INDEX(EUwideConstants!$G:$G,MATCH(Q492,EUwideConstants!$S:$S,0)),INDEX(EUwideConstants!$P:$P,MATCH(Q492,EUwideConstants!$S:$S,0))))</f>
        <v/>
      </c>
      <c r="I492" s="192"/>
      <c r="J492" s="1041" t="str">
        <f t="shared" si="29"/>
        <v/>
      </c>
      <c r="K492" s="1042"/>
      <c r="L492" s="1042"/>
      <c r="M492" s="1042"/>
      <c r="N492" s="1043"/>
      <c r="P492" s="29"/>
      <c r="Q492" s="92" t="str">
        <f>EUconst_CNTR_EF&amp;H453</f>
        <v>EF_</v>
      </c>
      <c r="R492" s="29"/>
      <c r="S492" s="31" t="str">
        <f>IF(ISBLANK(I492),"",IF(I492=EUconst_NA,"",INDEX(EUwideConstants!$H:$O,MATCH(Q492,EUwideConstants!$S:$S,0),MATCH(I492,CNTR_TierList,0))))</f>
        <v/>
      </c>
      <c r="T492" s="23"/>
      <c r="U492" s="23"/>
      <c r="V492" s="23"/>
      <c r="W492" s="32" t="b">
        <f t="shared" si="30"/>
        <v>0</v>
      </c>
    </row>
    <row r="493" spans="1:23" s="24" customFormat="1" ht="12.75" customHeight="1" outlineLevel="1" x14ac:dyDescent="0.2">
      <c r="A493" s="23"/>
      <c r="D493" s="25" t="s">
        <v>1468</v>
      </c>
      <c r="E493" s="1039" t="str">
        <f>Translations!$B$522</f>
        <v>Oxidation factor</v>
      </c>
      <c r="F493" s="1039"/>
      <c r="G493" s="1039"/>
      <c r="H493" s="30" t="str">
        <f>IF(H453="","",IF(CNTR_Category="A",INDEX(EUwideConstants!$G:$G,MATCH(Q493,EUwideConstants!$S:$S,0)),INDEX(EUwideConstants!$P:$P,MATCH(Q493,EUwideConstants!$S:$S,0))))</f>
        <v/>
      </c>
      <c r="I493" s="192"/>
      <c r="J493" s="1041" t="str">
        <f t="shared" si="29"/>
        <v/>
      </c>
      <c r="K493" s="1042"/>
      <c r="L493" s="1042"/>
      <c r="M493" s="1042"/>
      <c r="N493" s="1043"/>
      <c r="P493" s="29"/>
      <c r="Q493" s="92" t="str">
        <f>EUconst_CNTR_OxidationFactor&amp;H453</f>
        <v>OxF_</v>
      </c>
      <c r="R493" s="29"/>
      <c r="S493" s="31" t="str">
        <f>IF(ISBLANK(I493),"",IF(I493=EUconst_NA,"",INDEX(EUwideConstants!$H:$O,MATCH(Q493,EUwideConstants!$S:$S,0),MATCH(I493,CNTR_TierList,0))))</f>
        <v/>
      </c>
      <c r="T493" s="23"/>
      <c r="U493" s="23"/>
      <c r="V493" s="23"/>
      <c r="W493" s="32" t="b">
        <f t="shared" si="30"/>
        <v>0</v>
      </c>
    </row>
    <row r="494" spans="1:23" s="24" customFormat="1" ht="12.75" customHeight="1" outlineLevel="1" x14ac:dyDescent="0.2">
      <c r="A494" s="23"/>
      <c r="D494" s="25" t="s">
        <v>1469</v>
      </c>
      <c r="E494" s="1039" t="str">
        <f>Translations!$B$523</f>
        <v>Conversion factor</v>
      </c>
      <c r="F494" s="1039"/>
      <c r="G494" s="1039"/>
      <c r="H494" s="30" t="str">
        <f>IF(H453="","",IF(CNTR_Category="A",INDEX(EUwideConstants!$G:$G,MATCH(Q494,EUwideConstants!$S:$S,0)),INDEX(EUwideConstants!$P:$P,MATCH(Q494,EUwideConstants!$S:$S,0))))</f>
        <v/>
      </c>
      <c r="I494" s="192"/>
      <c r="J494" s="1041" t="str">
        <f t="shared" si="29"/>
        <v/>
      </c>
      <c r="K494" s="1042"/>
      <c r="L494" s="1042"/>
      <c r="M494" s="1042"/>
      <c r="N494" s="1043"/>
      <c r="P494" s="29"/>
      <c r="Q494" s="92" t="str">
        <f>EUconst_CNTR_ConversionFactor&amp;H453</f>
        <v>ConvF_</v>
      </c>
      <c r="R494" s="29"/>
      <c r="S494" s="31" t="str">
        <f>IF(ISBLANK(I494),"",IF(I494=EUconst_NA,"",INDEX(EUwideConstants!$H:$O,MATCH(Q494,EUwideConstants!$S:$S,0),MATCH(I494,CNTR_TierList,0))))</f>
        <v/>
      </c>
      <c r="T494" s="23"/>
      <c r="U494" s="23"/>
      <c r="V494" s="23"/>
      <c r="W494" s="32" t="b">
        <f t="shared" si="30"/>
        <v>0</v>
      </c>
    </row>
    <row r="495" spans="1:23" s="24" customFormat="1" ht="12.75" customHeight="1" outlineLevel="1" x14ac:dyDescent="0.2">
      <c r="A495" s="23"/>
      <c r="D495" s="25" t="s">
        <v>1470</v>
      </c>
      <c r="E495" s="1039" t="str">
        <f>Translations!$B$524</f>
        <v>Carbon content</v>
      </c>
      <c r="F495" s="1039"/>
      <c r="G495" s="1039"/>
      <c r="H495" s="30" t="str">
        <f>IF(H453="","",IF(CNTR_Category="A",INDEX(EUwideConstants!$G:$G,MATCH(Q495,EUwideConstants!$S:$S,0)),INDEX(EUwideConstants!$P:$P,MATCH(Q495,EUwideConstants!$S:$S,0))))</f>
        <v/>
      </c>
      <c r="I495" s="192"/>
      <c r="J495" s="1041" t="str">
        <f t="shared" si="29"/>
        <v/>
      </c>
      <c r="K495" s="1042"/>
      <c r="L495" s="1042"/>
      <c r="M495" s="1042"/>
      <c r="N495" s="1043"/>
      <c r="P495" s="209"/>
      <c r="Q495" s="92" t="str">
        <f>EUconst_CNTR_CarbonContent&amp;H453</f>
        <v>CarbC_</v>
      </c>
      <c r="R495" s="29"/>
      <c r="S495" s="31" t="str">
        <f>IF(ISBLANK(I495),"",IF(I495=EUconst_NA,"",INDEX(EUwideConstants!$H:$O,MATCH(Q495,EUwideConstants!$S:$S,0),MATCH(I495,CNTR_TierList,0))))</f>
        <v/>
      </c>
      <c r="T495" s="23"/>
      <c r="U495" s="23"/>
      <c r="V495" s="23"/>
      <c r="W495" s="32" t="b">
        <f t="shared" si="30"/>
        <v>0</v>
      </c>
    </row>
    <row r="496" spans="1:23" s="24" customFormat="1" ht="12.75" customHeight="1" outlineLevel="1" x14ac:dyDescent="0.2">
      <c r="A496" s="23"/>
      <c r="D496" s="25" t="s">
        <v>1471</v>
      </c>
      <c r="E496" s="1039" t="str">
        <f>Translations!$B$525</f>
        <v>Biomass fraction (if applicable)</v>
      </c>
      <c r="F496" s="1039"/>
      <c r="G496" s="1039"/>
      <c r="H496" s="30" t="str">
        <f>IF(H453="","",IF(CNTR_Category="A",INDEX(EUwideConstants!$G:$G,MATCH(Q496,EUwideConstants!$S:$S,0)),INDEX(EUwideConstants!$P:$P,MATCH(Q496,EUwideConstants!$S:$S,0))))</f>
        <v/>
      </c>
      <c r="I496" s="192"/>
      <c r="J496" s="1041" t="str">
        <f t="shared" si="29"/>
        <v/>
      </c>
      <c r="K496" s="1042"/>
      <c r="L496" s="1042"/>
      <c r="M496" s="1042"/>
      <c r="N496" s="1043"/>
      <c r="P496" s="29"/>
      <c r="Q496" s="92" t="str">
        <f>EUconst_CNTR_BiomassContent&amp;H453</f>
        <v>BioC_</v>
      </c>
      <c r="R496" s="29"/>
      <c r="S496" s="31" t="str">
        <f>IF(ISBLANK(I496),"",IF(I496=EUconst_NA,"",INDEX(EUwideConstants!$H:$O,MATCH(Q496,EUwideConstants!$S:$S,0),MATCH(I496,CNTR_TierList,0))))</f>
        <v/>
      </c>
      <c r="T496" s="23"/>
      <c r="U496" s="23"/>
      <c r="V496" s="23"/>
      <c r="W496" s="32" t="b">
        <f t="shared" si="30"/>
        <v>0</v>
      </c>
    </row>
    <row r="497" spans="1:23" s="24" customFormat="1" outlineLevel="1" x14ac:dyDescent="0.2">
      <c r="A497" s="23"/>
      <c r="D497" s="13"/>
      <c r="E497" s="67"/>
      <c r="F497" s="67"/>
      <c r="G497" s="67"/>
      <c r="H497" s="67"/>
      <c r="I497" s="67"/>
      <c r="J497" s="67"/>
      <c r="K497" s="67"/>
      <c r="L497" s="67"/>
      <c r="M497" s="67"/>
      <c r="N497" s="67"/>
      <c r="P497" s="29"/>
      <c r="Q497" s="23"/>
      <c r="R497" s="23"/>
      <c r="S497" s="23"/>
      <c r="T497" s="23"/>
      <c r="U497" s="23"/>
      <c r="V497" s="23"/>
      <c r="W497" s="23"/>
    </row>
    <row r="498" spans="1:23" s="24" customFormat="1" outlineLevel="1" x14ac:dyDescent="0.2">
      <c r="A498" s="23"/>
      <c r="D498" s="13" t="s">
        <v>1349</v>
      </c>
      <c r="E498" s="14" t="str">
        <f>Translations!$B$534</f>
        <v>Details for calculation factors:</v>
      </c>
      <c r="F498" s="67"/>
      <c r="G498" s="67"/>
      <c r="H498" s="67"/>
      <c r="I498" s="67"/>
      <c r="J498" s="67"/>
      <c r="K498" s="67"/>
      <c r="L498" s="67"/>
      <c r="M498" s="67"/>
      <c r="N498" s="67"/>
      <c r="P498" s="29"/>
      <c r="Q498" s="23"/>
      <c r="R498" s="23"/>
      <c r="S498" s="23"/>
      <c r="T498" s="23"/>
      <c r="U498" s="23"/>
      <c r="V498" s="23"/>
      <c r="W498" s="23"/>
    </row>
    <row r="499" spans="1:23" s="24" customFormat="1" ht="5.0999999999999996" customHeight="1" outlineLevel="1" x14ac:dyDescent="0.2">
      <c r="A499" s="23"/>
      <c r="D499" s="13"/>
      <c r="E499" s="67"/>
      <c r="F499" s="67"/>
      <c r="G499" s="67"/>
      <c r="H499" s="67"/>
      <c r="I499" s="67"/>
      <c r="J499" s="67"/>
      <c r="K499" s="67"/>
      <c r="L499" s="67"/>
      <c r="M499" s="67"/>
      <c r="N499" s="67"/>
      <c r="P499" s="29"/>
      <c r="Q499" s="23"/>
      <c r="R499" s="23"/>
      <c r="S499" s="23"/>
      <c r="T499" s="23"/>
      <c r="U499" s="23"/>
      <c r="V499" s="23"/>
      <c r="W499" s="23"/>
    </row>
    <row r="500" spans="1:23" s="24" customFormat="1" ht="25.5" customHeight="1" outlineLevel="1" x14ac:dyDescent="0.2">
      <c r="A500" s="23"/>
      <c r="E500" s="1044" t="str">
        <f t="shared" ref="E500:E506" si="31">E490</f>
        <v>calculation factor</v>
      </c>
      <c r="F500" s="1044"/>
      <c r="G500" s="1044"/>
      <c r="H500" s="50" t="str">
        <f>I490</f>
        <v>applied tier</v>
      </c>
      <c r="I500" s="51" t="str">
        <f>Translations!$B$535</f>
        <v>default value</v>
      </c>
      <c r="J500" s="51" t="str">
        <f>Translations!$B$536</f>
        <v>Unit</v>
      </c>
      <c r="K500" s="51" t="str">
        <f>Translations!$B$537</f>
        <v>source ref</v>
      </c>
      <c r="L500" s="51" t="str">
        <f>Translations!$B$538</f>
        <v>analysis ref</v>
      </c>
      <c r="M500" s="51" t="str">
        <f>Translations!$B$539</f>
        <v>sampling ref</v>
      </c>
      <c r="N500" s="51" t="str">
        <f>Translations!$B$540</f>
        <v>Analysis frequency</v>
      </c>
      <c r="P500" s="29"/>
      <c r="Q500" s="23"/>
      <c r="R500" s="23"/>
      <c r="S500" s="52" t="s">
        <v>384</v>
      </c>
      <c r="T500" s="23"/>
      <c r="U500" s="23"/>
      <c r="V500" s="23"/>
      <c r="W500" s="52" t="s">
        <v>1295</v>
      </c>
    </row>
    <row r="501" spans="1:23" s="24" customFormat="1" ht="12.75" customHeight="1" outlineLevel="1" x14ac:dyDescent="0.2">
      <c r="A501" s="23"/>
      <c r="D501" s="25" t="s">
        <v>1030</v>
      </c>
      <c r="E501" s="1039" t="str">
        <f t="shared" si="31"/>
        <v>Net calorific value (NCV)</v>
      </c>
      <c r="F501" s="1039"/>
      <c r="G501" s="1039"/>
      <c r="H501" s="30" t="str">
        <f t="shared" ref="H501:H506" si="32">IF(OR(ISBLANK(I491),I491=EUconst_NA),"",I491)</f>
        <v/>
      </c>
      <c r="I501" s="192"/>
      <c r="J501" s="192"/>
      <c r="K501" s="214"/>
      <c r="L501" s="213"/>
      <c r="M501" s="213"/>
      <c r="N501" s="196"/>
      <c r="P501" s="209"/>
      <c r="Q501" s="23"/>
      <c r="R501" s="23"/>
      <c r="S501" s="63" t="str">
        <f>IF(H501="","",IF(I491=EUconst_NA,"",INDEX(EUwideConstants!$AL:$AR,MATCH(Q491,EUwideConstants!$S:$S,0),MATCH(I491,CNTR_TierList,0))))</f>
        <v/>
      </c>
      <c r="T501" s="23"/>
      <c r="U501" s="23"/>
      <c r="V501" s="23"/>
      <c r="W501" s="32" t="b">
        <f t="shared" ref="W501:W506" si="33">OR(H501="",H501=EUconst_NA,J491=EUconst_NotApplicable)</f>
        <v>1</v>
      </c>
    </row>
    <row r="502" spans="1:23" s="24" customFormat="1" ht="12.75" customHeight="1" outlineLevel="1" x14ac:dyDescent="0.2">
      <c r="A502" s="23"/>
      <c r="D502" s="25" t="s">
        <v>1031</v>
      </c>
      <c r="E502" s="1039" t="str">
        <f t="shared" si="31"/>
        <v>Emission factor (preliminary)</v>
      </c>
      <c r="F502" s="1039"/>
      <c r="G502" s="1039"/>
      <c r="H502" s="30" t="str">
        <f t="shared" si="32"/>
        <v/>
      </c>
      <c r="I502" s="197"/>
      <c r="J502" s="192"/>
      <c r="K502" s="213"/>
      <c r="L502" s="271"/>
      <c r="M502" s="271"/>
      <c r="N502" s="196"/>
      <c r="P502" s="29"/>
      <c r="Q502" s="23"/>
      <c r="R502" s="23"/>
      <c r="S502" s="63" t="str">
        <f>IF(H502="","",IF(I492=EUconst_NA,"",INDEX(EUwideConstants!$AL:$AR,MATCH(Q492,EUwideConstants!$S:$S,0),MATCH(I492,CNTR_TierList,0))))</f>
        <v/>
      </c>
      <c r="T502" s="23"/>
      <c r="U502" s="23"/>
      <c r="V502" s="23"/>
      <c r="W502" s="32" t="b">
        <f t="shared" si="33"/>
        <v>1</v>
      </c>
    </row>
    <row r="503" spans="1:23" s="24" customFormat="1" ht="12.75" customHeight="1" outlineLevel="1" x14ac:dyDescent="0.2">
      <c r="A503" s="23"/>
      <c r="D503" s="25" t="s">
        <v>1468</v>
      </c>
      <c r="E503" s="1039" t="str">
        <f t="shared" si="31"/>
        <v>Oxidation factor</v>
      </c>
      <c r="F503" s="1039"/>
      <c r="G503" s="1039"/>
      <c r="H503" s="30" t="str">
        <f t="shared" si="32"/>
        <v/>
      </c>
      <c r="I503" s="192"/>
      <c r="J503" s="192"/>
      <c r="K503" s="213"/>
      <c r="L503" s="213"/>
      <c r="M503" s="213"/>
      <c r="N503" s="196"/>
      <c r="P503" s="29"/>
      <c r="Q503" s="23"/>
      <c r="R503" s="23"/>
      <c r="S503" s="63" t="str">
        <f>IF(H503="","",IF(I493=EUconst_NA,"",INDEX(EUwideConstants!$AL:$AR,MATCH(Q493,EUwideConstants!$S:$S,0),MATCH(I493,CNTR_TierList,0))))</f>
        <v/>
      </c>
      <c r="T503" s="23"/>
      <c r="U503" s="23"/>
      <c r="V503" s="23"/>
      <c r="W503" s="32" t="b">
        <f t="shared" si="33"/>
        <v>1</v>
      </c>
    </row>
    <row r="504" spans="1:23" s="24" customFormat="1" ht="12.75" customHeight="1" outlineLevel="1" x14ac:dyDescent="0.2">
      <c r="A504" s="23"/>
      <c r="D504" s="25" t="s">
        <v>1469</v>
      </c>
      <c r="E504" s="1039" t="str">
        <f t="shared" si="31"/>
        <v>Conversion factor</v>
      </c>
      <c r="F504" s="1039"/>
      <c r="G504" s="1039"/>
      <c r="H504" s="30" t="str">
        <f t="shared" si="32"/>
        <v/>
      </c>
      <c r="I504" s="192"/>
      <c r="J504" s="192"/>
      <c r="K504" s="213"/>
      <c r="L504" s="271"/>
      <c r="M504" s="213"/>
      <c r="N504" s="196"/>
      <c r="P504" s="29"/>
      <c r="Q504" s="23"/>
      <c r="R504" s="23"/>
      <c r="S504" s="63" t="str">
        <f>IF(H504="","",IF(I494=EUconst_NA,"",INDEX(EUwideConstants!$AL:$AR,MATCH(Q494,EUwideConstants!$S:$S,0),MATCH(I494,CNTR_TierList,0))))</f>
        <v/>
      </c>
      <c r="T504" s="23"/>
      <c r="U504" s="23"/>
      <c r="V504" s="23"/>
      <c r="W504" s="32" t="b">
        <f t="shared" si="33"/>
        <v>1</v>
      </c>
    </row>
    <row r="505" spans="1:23" s="24" customFormat="1" ht="12.75" customHeight="1" outlineLevel="1" x14ac:dyDescent="0.2">
      <c r="A505" s="23"/>
      <c r="D505" s="25" t="s">
        <v>1470</v>
      </c>
      <c r="E505" s="1039" t="str">
        <f t="shared" si="31"/>
        <v>Carbon content</v>
      </c>
      <c r="F505" s="1039"/>
      <c r="G505" s="1039"/>
      <c r="H505" s="30" t="str">
        <f t="shared" si="32"/>
        <v/>
      </c>
      <c r="I505" s="192"/>
      <c r="J505" s="192"/>
      <c r="K505" s="213"/>
      <c r="L505" s="213"/>
      <c r="M505" s="213"/>
      <c r="N505" s="196"/>
      <c r="P505" s="29"/>
      <c r="Q505" s="23"/>
      <c r="R505" s="23"/>
      <c r="S505" s="63" t="str">
        <f>IF(H505="","",IF(I495=EUconst_NA,"",INDEX(EUwideConstants!$AL:$AR,MATCH(Q495,EUwideConstants!$S:$S,0),MATCH(I495,CNTR_TierList,0))))</f>
        <v/>
      </c>
      <c r="T505" s="23"/>
      <c r="U505" s="23"/>
      <c r="V505" s="23"/>
      <c r="W505" s="32" t="b">
        <f t="shared" si="33"/>
        <v>1</v>
      </c>
    </row>
    <row r="506" spans="1:23" s="24" customFormat="1" ht="12.75" customHeight="1" outlineLevel="1" x14ac:dyDescent="0.2">
      <c r="A506" s="23"/>
      <c r="D506" s="25" t="s">
        <v>1471</v>
      </c>
      <c r="E506" s="1039" t="str">
        <f t="shared" si="31"/>
        <v>Biomass fraction (if applicable)</v>
      </c>
      <c r="F506" s="1039"/>
      <c r="G506" s="1039"/>
      <c r="H506" s="30" t="str">
        <f t="shared" si="32"/>
        <v/>
      </c>
      <c r="I506" s="192"/>
      <c r="J506" s="197"/>
      <c r="K506" s="213"/>
      <c r="L506" s="213"/>
      <c r="M506" s="213"/>
      <c r="N506" s="196"/>
      <c r="P506" s="47"/>
      <c r="Q506" s="23"/>
      <c r="R506" s="23"/>
      <c r="S506" s="63" t="str">
        <f>IF(H506="","",IF(I496=EUconst_NA,"",INDEX(EUwideConstants!$AL:$AR,MATCH(Q496,EUwideConstants!$S:$S,0),MATCH(I496,CNTR_TierList,0))))</f>
        <v/>
      </c>
      <c r="T506" s="23"/>
      <c r="U506" s="23"/>
      <c r="V506" s="23"/>
      <c r="W506" s="32" t="b">
        <f t="shared" si="33"/>
        <v>1</v>
      </c>
    </row>
    <row r="507" spans="1:23" s="24" customFormat="1" ht="12.75" customHeight="1" outlineLevel="1" x14ac:dyDescent="0.2">
      <c r="A507" s="23"/>
      <c r="D507" s="13"/>
      <c r="P507" s="29"/>
      <c r="Q507" s="23"/>
      <c r="R507" s="23"/>
      <c r="S507" s="23"/>
      <c r="T507" s="23"/>
      <c r="U507" s="23"/>
      <c r="V507" s="23"/>
      <c r="W507" s="23"/>
    </row>
    <row r="508" spans="1:23" s="24" customFormat="1" ht="15" customHeight="1" outlineLevel="1" x14ac:dyDescent="0.2">
      <c r="A508" s="23"/>
      <c r="D508" s="1040" t="str">
        <f>Translations!$B$545</f>
        <v>Comments and explanations:</v>
      </c>
      <c r="E508" s="1040"/>
      <c r="F508" s="1040"/>
      <c r="G508" s="1040"/>
      <c r="H508" s="1040"/>
      <c r="I508" s="1040"/>
      <c r="J508" s="1040"/>
      <c r="K508" s="1040"/>
      <c r="L508" s="1040"/>
      <c r="M508" s="1040"/>
      <c r="N508" s="1040"/>
      <c r="P508" s="29"/>
      <c r="Q508" s="29"/>
      <c r="R508" s="29"/>
      <c r="S508" s="29"/>
      <c r="T508" s="6"/>
      <c r="U508" s="23"/>
      <c r="V508" s="23"/>
      <c r="W508" s="23"/>
    </row>
    <row r="509" spans="1:23" s="24" customFormat="1" ht="5.0999999999999996" customHeight="1" outlineLevel="1" x14ac:dyDescent="0.2">
      <c r="A509" s="23"/>
      <c r="D509" s="13"/>
      <c r="P509" s="29"/>
      <c r="Q509" s="23"/>
      <c r="R509" s="23"/>
      <c r="S509" s="23"/>
      <c r="T509" s="23"/>
      <c r="U509" s="23"/>
      <c r="V509" s="23"/>
      <c r="W509" s="23"/>
    </row>
    <row r="510" spans="1:23" s="24" customFormat="1" ht="12.75" customHeight="1" outlineLevel="1" x14ac:dyDescent="0.2">
      <c r="A510" s="23"/>
      <c r="D510" s="13" t="s">
        <v>1351</v>
      </c>
      <c r="E510" s="946" t="str">
        <f>Translations!$B$1198</f>
        <v>Comments and justification if required tiers are not applied:</v>
      </c>
      <c r="F510" s="946"/>
      <c r="G510" s="946"/>
      <c r="H510" s="946"/>
      <c r="I510" s="946"/>
      <c r="J510" s="946"/>
      <c r="K510" s="946"/>
      <c r="L510" s="946"/>
      <c r="M510" s="946"/>
      <c r="N510" s="946"/>
      <c r="P510" s="29"/>
      <c r="Q510" s="23"/>
      <c r="R510" s="23"/>
      <c r="S510" s="23"/>
      <c r="T510" s="23"/>
      <c r="U510" s="23"/>
      <c r="V510" s="23"/>
      <c r="W510" s="23"/>
    </row>
    <row r="511" spans="1:23" s="24" customFormat="1" ht="5.0999999999999996" customHeight="1" outlineLevel="1" x14ac:dyDescent="0.2">
      <c r="A511" s="23"/>
      <c r="D511" s="13"/>
      <c r="E511" s="48"/>
      <c r="P511" s="29"/>
      <c r="Q511" s="23"/>
      <c r="R511" s="23"/>
      <c r="S511" s="23"/>
      <c r="T511" s="23"/>
      <c r="U511" s="23"/>
      <c r="V511" s="23"/>
      <c r="W511" s="23"/>
    </row>
    <row r="512" spans="1:23" s="24" customFormat="1" ht="12.75" customHeight="1" outlineLevel="1" x14ac:dyDescent="0.2">
      <c r="A512" s="23"/>
      <c r="D512" s="13"/>
      <c r="E512" s="1045"/>
      <c r="F512" s="955"/>
      <c r="G512" s="955"/>
      <c r="H512" s="955"/>
      <c r="I512" s="955"/>
      <c r="J512" s="955"/>
      <c r="K512" s="955"/>
      <c r="L512" s="955"/>
      <c r="M512" s="955"/>
      <c r="N512" s="956"/>
      <c r="P512" s="29"/>
      <c r="Q512" s="23"/>
      <c r="R512" s="23"/>
      <c r="S512" s="23"/>
      <c r="T512" s="23"/>
      <c r="U512" s="23"/>
      <c r="V512" s="23"/>
      <c r="W512" s="23"/>
    </row>
    <row r="513" spans="1:23" s="24" customFormat="1" ht="12.75" customHeight="1" outlineLevel="1" x14ac:dyDescent="0.2">
      <c r="A513" s="23"/>
      <c r="D513" s="13"/>
      <c r="E513" s="1037"/>
      <c r="F513" s="958"/>
      <c r="G513" s="958"/>
      <c r="H513" s="958"/>
      <c r="I513" s="958"/>
      <c r="J513" s="958"/>
      <c r="K513" s="958"/>
      <c r="L513" s="958"/>
      <c r="M513" s="958"/>
      <c r="N513" s="959"/>
      <c r="P513" s="29"/>
      <c r="Q513" s="23"/>
      <c r="R513" s="23"/>
      <c r="S513" s="23"/>
      <c r="T513" s="23"/>
      <c r="U513" s="23"/>
      <c r="V513" s="23"/>
      <c r="W513" s="23"/>
    </row>
    <row r="514" spans="1:23" s="24" customFormat="1" ht="12.75" customHeight="1" outlineLevel="1" x14ac:dyDescent="0.2">
      <c r="A514" s="23"/>
      <c r="D514" s="13"/>
      <c r="E514" s="1038"/>
      <c r="F514" s="961"/>
      <c r="G514" s="961"/>
      <c r="H514" s="961"/>
      <c r="I514" s="961"/>
      <c r="J514" s="961"/>
      <c r="K514" s="961"/>
      <c r="L514" s="961"/>
      <c r="M514" s="961"/>
      <c r="N514" s="962"/>
      <c r="P514" s="29"/>
      <c r="Q514" s="23"/>
      <c r="R514" s="23"/>
      <c r="S514" s="23"/>
      <c r="T514" s="23"/>
      <c r="U514" s="23"/>
      <c r="V514" s="23"/>
      <c r="W514" s="23"/>
    </row>
    <row r="515" spans="1:23" ht="12.75" customHeight="1" thickBot="1" x14ac:dyDescent="0.25">
      <c r="A515" s="72"/>
      <c r="C515" s="54"/>
      <c r="D515" s="55"/>
      <c r="E515" s="56"/>
      <c r="F515" s="54"/>
      <c r="G515" s="57"/>
      <c r="H515" s="57"/>
      <c r="I515" s="57"/>
      <c r="J515" s="57"/>
      <c r="K515" s="57"/>
      <c r="L515" s="57"/>
      <c r="M515" s="57"/>
      <c r="N515" s="57"/>
      <c r="O515" s="24"/>
      <c r="P515" s="15"/>
      <c r="Q515" s="72"/>
      <c r="R515" s="72"/>
      <c r="S515" s="75"/>
      <c r="T515" s="72"/>
      <c r="U515" s="72"/>
      <c r="V515" s="72"/>
      <c r="W515" s="72"/>
    </row>
    <row r="516" spans="1:23" ht="12.75" customHeight="1" thickBot="1" x14ac:dyDescent="0.25">
      <c r="A516" s="72"/>
      <c r="D516" s="13"/>
      <c r="E516" s="22"/>
      <c r="G516" s="2"/>
      <c r="H516" s="2"/>
      <c r="I516" s="2"/>
      <c r="J516" s="2"/>
      <c r="L516" s="2"/>
      <c r="M516" s="2"/>
      <c r="N516" s="2"/>
      <c r="O516" s="24"/>
      <c r="P516" s="15"/>
      <c r="Q516" s="72"/>
      <c r="R516" s="72"/>
      <c r="S516" s="66" t="s">
        <v>470</v>
      </c>
      <c r="T516" s="107" t="s">
        <v>471</v>
      </c>
      <c r="U516" s="107" t="s">
        <v>472</v>
      </c>
      <c r="V516" s="72"/>
      <c r="W516" s="72"/>
    </row>
    <row r="517" spans="1:23" s="186" customFormat="1" ht="15" customHeight="1" thickBot="1" x14ac:dyDescent="0.25">
      <c r="A517" s="76"/>
      <c r="B517" s="34"/>
      <c r="C517" s="35" t="str">
        <f>"F"&amp;Q517</f>
        <v>F7</v>
      </c>
      <c r="D517" s="1040" t="str">
        <f>CONCATENATE(Euconst_SourceStream," ", Q517,":")</f>
        <v>Source Stream 7:</v>
      </c>
      <c r="E517" s="1040"/>
      <c r="F517" s="1040"/>
      <c r="G517" s="1066"/>
      <c r="H517" s="1067" t="str">
        <f>IF(INDEX(C_InstallationDescription!$F$194:$F$204,MATCH(C517,C_InstallationDescription!$E$194:$E$204,0))&gt;0,INDEX(C_InstallationDescription!$F$194:$F$204,MATCH(C517,C_InstallationDescription!$E$194:$E$204,0)),"")</f>
        <v/>
      </c>
      <c r="I517" s="1067"/>
      <c r="J517" s="1067"/>
      <c r="K517" s="1067"/>
      <c r="L517" s="1068"/>
      <c r="M517" s="1069" t="str">
        <f>IF(S517=TRUE,IF(U517="",T517,U517),"")</f>
        <v/>
      </c>
      <c r="N517" s="1070"/>
      <c r="O517" s="24"/>
      <c r="P517" s="41"/>
      <c r="Q517" s="33">
        <f>Q451+1</f>
        <v>7</v>
      </c>
      <c r="R517" s="37"/>
      <c r="S517" s="40" t="b">
        <f>IF(INDEX(C_InstallationDescription!$M:$M,MATCH(Q519,C_InstallationDescription!$Q:$Q,0))="",FALSE,TRUE)</f>
        <v>0</v>
      </c>
      <c r="T517" s="92" t="str">
        <f>IF(S517=TRUE,INDEX(C_InstallationDescription!$M:$M,MATCH(Q519,C_InstallationDescription!$Q:$Q,0)),"")</f>
        <v/>
      </c>
      <c r="U517" s="40" t="str">
        <f>IF(S517=TRUE,IF(ISBLANK(INDEX(C_InstallationDescription!$N:$N,MATCH(Q519,C_InstallationDescription!$Q:$Q,0))),"",INDEX(C_InstallationDescription!$N:$N,MATCH(Q519,C_InstallationDescription!$Q:$Q,0))),"")</f>
        <v/>
      </c>
      <c r="V517" s="37"/>
      <c r="W517" s="37"/>
    </row>
    <row r="518" spans="1:23" s="24" customFormat="1" ht="5.0999999999999996" customHeight="1" x14ac:dyDescent="0.2">
      <c r="A518" s="72"/>
      <c r="B518" s="8"/>
      <c r="C518" s="8"/>
      <c r="D518" s="8"/>
      <c r="E518" s="8"/>
      <c r="F518" s="8"/>
      <c r="G518" s="8"/>
      <c r="H518" s="8"/>
      <c r="I518" s="8"/>
      <c r="J518" s="8"/>
      <c r="K518" s="8"/>
      <c r="L518" s="8"/>
      <c r="M518" s="7"/>
      <c r="N518" s="7"/>
      <c r="P518" s="17"/>
      <c r="Q518" s="12"/>
      <c r="R518" s="23"/>
      <c r="S518" s="23"/>
      <c r="T518" s="23"/>
      <c r="U518" s="23"/>
      <c r="V518" s="23"/>
      <c r="W518" s="23"/>
    </row>
    <row r="519" spans="1:23" s="24" customFormat="1" ht="12.75" customHeight="1" x14ac:dyDescent="0.2">
      <c r="A519" s="72"/>
      <c r="B519" s="8"/>
      <c r="C519" s="8"/>
      <c r="D519" s="13"/>
      <c r="E519" s="924" t="str">
        <f>Translations!$B$437</f>
        <v>Source stream type:</v>
      </c>
      <c r="F519" s="924"/>
      <c r="G519" s="925"/>
      <c r="H519" s="1071" t="str">
        <f>IF(INDEX(C_InstallationDescription!$I$194:$I$204,MATCH(C517,C_InstallationDescription!$E$194:$E$204,0))&gt;0,INDEX(C_InstallationDescription!$I$194:$I$204,MATCH(C517,C_InstallationDescription!$E$194:$E$204,0)),"")</f>
        <v/>
      </c>
      <c r="I519" s="1072"/>
      <c r="J519" s="1072"/>
      <c r="K519" s="1072"/>
      <c r="L519" s="1073"/>
      <c r="P519" s="17"/>
      <c r="Q519" s="39" t="str">
        <f>EUconst_CNTR_SourceCategory&amp;C517</f>
        <v>SourceCategory_F7</v>
      </c>
      <c r="R519" s="23"/>
      <c r="S519" s="23"/>
      <c r="T519" s="23"/>
      <c r="U519" s="23"/>
      <c r="V519" s="23"/>
      <c r="W519" s="23"/>
    </row>
    <row r="520" spans="1:23" s="24" customFormat="1" ht="12.75" customHeight="1" outlineLevel="1" x14ac:dyDescent="0.2">
      <c r="A520" s="23"/>
      <c r="B520" s="8"/>
      <c r="C520" s="8"/>
      <c r="D520" s="11"/>
      <c r="E520" s="924" t="str">
        <f>Translations!$B$438</f>
        <v>Method applicable according to MRR:</v>
      </c>
      <c r="F520" s="924"/>
      <c r="G520" s="925"/>
      <c r="H520" s="1062" t="str">
        <f>IF(H519="","",INDEX(EUwideConstants!F:F,MATCH(H519,EUwideConstants!Q:Q,0)))</f>
        <v/>
      </c>
      <c r="I520" s="1062"/>
      <c r="J520" s="1062"/>
      <c r="K520" s="1062"/>
      <c r="L520" s="1062"/>
      <c r="M520" s="2"/>
      <c r="N520" s="2"/>
      <c r="P520" s="17"/>
      <c r="Q520" s="12"/>
      <c r="R520" s="23"/>
      <c r="S520" s="23"/>
      <c r="T520" s="23"/>
      <c r="U520" s="23"/>
      <c r="V520" s="23"/>
      <c r="W520" s="23"/>
    </row>
    <row r="521" spans="1:23" s="24" customFormat="1" ht="12.75" customHeight="1" outlineLevel="1" x14ac:dyDescent="0.2">
      <c r="A521" s="23"/>
      <c r="D521" s="38"/>
      <c r="E521" s="924" t="str">
        <f>Translations!$B$439</f>
        <v>Parameter to which uncertainty applies:</v>
      </c>
      <c r="F521" s="924"/>
      <c r="G521" s="925"/>
      <c r="H521" s="1062" t="str">
        <f>IF(H519="","",INDEX(EUwideConstants!E:E,MATCH(H519,EUwideConstants!Q:Q,0)))</f>
        <v/>
      </c>
      <c r="I521" s="1062"/>
      <c r="J521" s="1062"/>
      <c r="K521" s="1062"/>
      <c r="L521" s="1062"/>
      <c r="P521" s="17"/>
      <c r="Q521" s="12"/>
      <c r="R521" s="23"/>
      <c r="S521" s="23"/>
      <c r="T521" s="23"/>
      <c r="U521" s="23"/>
      <c r="V521" s="23"/>
      <c r="W521" s="23"/>
    </row>
    <row r="522" spans="1:23" s="24" customFormat="1" ht="5.0999999999999996" customHeight="1" outlineLevel="1" x14ac:dyDescent="0.2">
      <c r="A522" s="23"/>
      <c r="P522" s="29"/>
      <c r="Q522" s="23"/>
      <c r="R522" s="23"/>
      <c r="S522" s="23"/>
      <c r="T522" s="23"/>
      <c r="U522" s="23"/>
      <c r="V522" s="23"/>
      <c r="W522" s="23"/>
    </row>
    <row r="523" spans="1:23" s="24" customFormat="1" ht="51" customHeight="1" outlineLevel="1" x14ac:dyDescent="0.2">
      <c r="A523" s="23"/>
      <c r="D523" s="13"/>
      <c r="E523" s="1063" t="str">
        <f>IF(H517="","",INDEX(EUconst_SmallEmiSouStreamMsg,MATCH(Q523,EUconst_SmallEmiSouStream,0)))</f>
        <v/>
      </c>
      <c r="F523" s="1064"/>
      <c r="G523" s="1064"/>
      <c r="H523" s="1064"/>
      <c r="I523" s="1064"/>
      <c r="J523" s="1064"/>
      <c r="K523" s="1064"/>
      <c r="L523" s="1064"/>
      <c r="M523" s="1064"/>
      <c r="N523" s="1065"/>
      <c r="P523" s="15"/>
      <c r="Q523" s="43" t="str">
        <f>IF(CNTR_SmallEmitter=TRUE,EUconst_CNTR_SmallEmitter,EUconst_CNTR_NoSmallEmitter) &amp; IF((CNTR_Category)="","C",CNTR_Category) &amp; "_" &amp; IF(M517="",1,MATCH(M517,SourceCategory,0))</f>
        <v>NoSmallEmitter_C_1</v>
      </c>
      <c r="R523" s="23"/>
      <c r="S523" s="23"/>
      <c r="T523" s="23"/>
      <c r="U523" s="23"/>
      <c r="V523" s="23"/>
      <c r="W523" s="23"/>
    </row>
    <row r="524" spans="1:23" s="24" customFormat="1" ht="12.75" customHeight="1" outlineLevel="1" x14ac:dyDescent="0.2">
      <c r="A524" s="23"/>
      <c r="D524" s="13"/>
      <c r="P524" s="29"/>
      <c r="Q524" s="23"/>
      <c r="R524" s="23"/>
      <c r="S524" s="23"/>
      <c r="T524" s="23"/>
      <c r="U524" s="23"/>
      <c r="V524" s="23"/>
      <c r="W524" s="23"/>
    </row>
    <row r="525" spans="1:23" s="24" customFormat="1" ht="15" customHeight="1" outlineLevel="1" x14ac:dyDescent="0.2">
      <c r="A525" s="23"/>
      <c r="D525" s="1040" t="str">
        <f>Translations!$B$454</f>
        <v>Activity Data:</v>
      </c>
      <c r="E525" s="1040"/>
      <c r="F525" s="1040"/>
      <c r="G525" s="1040"/>
      <c r="H525" s="1040"/>
      <c r="I525" s="1040"/>
      <c r="J525" s="1040"/>
      <c r="K525" s="1040"/>
      <c r="L525" s="1040"/>
      <c r="M525" s="1040"/>
      <c r="N525" s="1040"/>
      <c r="P525" s="29"/>
      <c r="Q525" s="23"/>
      <c r="R525" s="23"/>
      <c r="S525" s="23"/>
      <c r="T525" s="23"/>
      <c r="U525" s="23"/>
      <c r="V525" s="23"/>
      <c r="W525" s="23"/>
    </row>
    <row r="526" spans="1:23" s="24" customFormat="1" ht="5.0999999999999996" customHeight="1" outlineLevel="1" x14ac:dyDescent="0.2">
      <c r="A526" s="23"/>
      <c r="D526" s="13"/>
      <c r="P526" s="29"/>
      <c r="Q526" s="23"/>
      <c r="R526" s="23"/>
      <c r="S526" s="23"/>
      <c r="T526" s="23"/>
      <c r="U526" s="23"/>
      <c r="V526" s="23"/>
      <c r="W526" s="23"/>
    </row>
    <row r="527" spans="1:23" s="24" customFormat="1" outlineLevel="1" x14ac:dyDescent="0.2">
      <c r="A527" s="23"/>
      <c r="D527" s="13" t="s">
        <v>1018</v>
      </c>
      <c r="E527" s="825" t="str">
        <f>Translations!$B$455</f>
        <v>Activity data determination method:</v>
      </c>
      <c r="F527" s="825"/>
      <c r="G527" s="825"/>
      <c r="H527" s="825"/>
      <c r="I527" s="825"/>
      <c r="J527" s="825"/>
      <c r="K527" s="825"/>
      <c r="L527" s="825"/>
      <c r="M527" s="825"/>
      <c r="N527" s="825"/>
      <c r="P527" s="29"/>
      <c r="Q527" s="23"/>
      <c r="R527" s="23"/>
      <c r="S527" s="23"/>
      <c r="T527" s="23"/>
      <c r="U527" s="23"/>
      <c r="V527" s="23"/>
      <c r="W527" s="23"/>
    </row>
    <row r="528" spans="1:23" s="24" customFormat="1" ht="5.0999999999999996" customHeight="1" outlineLevel="1" x14ac:dyDescent="0.2">
      <c r="A528" s="23"/>
      <c r="D528" s="13"/>
      <c r="E528" s="14"/>
      <c r="F528" s="14"/>
      <c r="G528" s="14"/>
      <c r="H528" s="14"/>
      <c r="I528" s="14"/>
      <c r="L528" s="22"/>
      <c r="P528" s="29"/>
      <c r="Q528" s="23"/>
      <c r="R528" s="23"/>
      <c r="S528" s="23"/>
      <c r="T528" s="23"/>
      <c r="U528" s="23"/>
      <c r="V528" s="23"/>
      <c r="W528" s="23"/>
    </row>
    <row r="529" spans="1:23" s="24" customFormat="1" ht="12.75" customHeight="1" outlineLevel="1" x14ac:dyDescent="0.2">
      <c r="A529" s="23"/>
      <c r="D529" s="25" t="s">
        <v>1030</v>
      </c>
      <c r="E529" s="11" t="str">
        <f>Translations!$B$456</f>
        <v>Determination method:</v>
      </c>
      <c r="G529" s="14"/>
      <c r="H529" s="1060"/>
      <c r="I529" s="1061"/>
      <c r="P529" s="220"/>
      <c r="Q529" s="23"/>
      <c r="R529" s="23"/>
      <c r="S529" s="23"/>
      <c r="T529" s="23"/>
      <c r="U529" s="23"/>
      <c r="V529" s="23"/>
      <c r="W529" s="63" t="str">
        <f>IF(M517="","",IF(M517=INDEX(SourceCategory,3),1,IF(CNTR_InstHasCalculation=FALSE,0,2)))</f>
        <v/>
      </c>
    </row>
    <row r="530" spans="1:23" s="24" customFormat="1" ht="5.0999999999999996" customHeight="1" outlineLevel="1" x14ac:dyDescent="0.2">
      <c r="A530" s="23"/>
      <c r="D530" s="25"/>
      <c r="G530" s="14"/>
      <c r="H530" s="44"/>
      <c r="I530" s="44"/>
      <c r="P530" s="29"/>
      <c r="Q530" s="23"/>
      <c r="R530" s="23"/>
      <c r="S530" s="23"/>
      <c r="T530" s="23"/>
      <c r="U530" s="23"/>
      <c r="V530" s="23"/>
      <c r="W530" s="23"/>
    </row>
    <row r="531" spans="1:23" s="24" customFormat="1" ht="12.75" customHeight="1" outlineLevel="1" x14ac:dyDescent="0.2">
      <c r="A531" s="23"/>
      <c r="E531" s="46"/>
      <c r="F531" s="1049" t="str">
        <f>Translations!$B$459</f>
        <v>Reference to procedure used for determining stock piles at end of year:</v>
      </c>
      <c r="G531" s="1049"/>
      <c r="H531" s="1049"/>
      <c r="I531" s="1049"/>
      <c r="J531" s="1050"/>
      <c r="K531" s="1060"/>
      <c r="L531" s="1061"/>
      <c r="P531" s="29"/>
      <c r="Q531" s="23"/>
      <c r="R531" s="23"/>
      <c r="S531" s="23"/>
      <c r="T531" s="23"/>
      <c r="U531" s="29"/>
      <c r="V531" s="32" t="b">
        <f>IF(OR(H517="",ISBLANK(H529)),FALSE,IF(MATCH(H529,EUconst_ActivityDeterminationMethod,0)=2,TRUE,FALSE))</f>
        <v>0</v>
      </c>
      <c r="W531" s="63" t="str">
        <f>IF(V531=TRUE,0,W529)</f>
        <v/>
      </c>
    </row>
    <row r="532" spans="1:23" s="24" customFormat="1" ht="5.0999999999999996" customHeight="1" outlineLevel="1" x14ac:dyDescent="0.2">
      <c r="A532" s="23"/>
      <c r="P532" s="29"/>
      <c r="Q532" s="23"/>
      <c r="R532" s="23"/>
      <c r="S532" s="23"/>
      <c r="T532" s="23"/>
      <c r="U532" s="23"/>
      <c r="V532" s="23"/>
      <c r="W532" s="23"/>
    </row>
    <row r="533" spans="1:23" s="24" customFormat="1" ht="12.75" customHeight="1" outlineLevel="1" x14ac:dyDescent="0.2">
      <c r="A533" s="23"/>
      <c r="D533" s="46" t="s">
        <v>1031</v>
      </c>
      <c r="E533" s="11" t="str">
        <f>Translations!$B$462</f>
        <v>Instrument under control of:</v>
      </c>
      <c r="G533" s="14"/>
      <c r="H533" s="1060"/>
      <c r="I533" s="1061"/>
      <c r="J533" s="25"/>
      <c r="P533" s="29"/>
      <c r="Q533" s="23"/>
      <c r="R533" s="23"/>
      <c r="S533" s="23"/>
      <c r="T533" s="23"/>
      <c r="U533" s="23"/>
      <c r="V533" s="23"/>
      <c r="W533" s="63" t="str">
        <f>W529</f>
        <v/>
      </c>
    </row>
    <row r="534" spans="1:23" s="24" customFormat="1" ht="5.0999999999999996" customHeight="1" outlineLevel="1" x14ac:dyDescent="0.2">
      <c r="A534" s="23"/>
      <c r="D534" s="25"/>
      <c r="G534" s="14"/>
      <c r="H534" s="44"/>
      <c r="I534" s="44"/>
      <c r="J534" s="25"/>
      <c r="P534" s="29"/>
      <c r="Q534" s="23"/>
      <c r="R534" s="23"/>
      <c r="S534" s="23"/>
      <c r="T534" s="23"/>
      <c r="U534" s="23"/>
      <c r="V534" s="23"/>
      <c r="W534" s="23"/>
    </row>
    <row r="535" spans="1:23" s="24" customFormat="1" ht="12.75" customHeight="1" outlineLevel="1" x14ac:dyDescent="0.2">
      <c r="A535" s="23"/>
      <c r="D535" s="25"/>
      <c r="E535" s="46" t="s">
        <v>1296</v>
      </c>
      <c r="F535" s="767" t="str">
        <f>Translations!$B$465</f>
        <v>Please confirm that the conditions of Article 29(1) are satisfied:</v>
      </c>
      <c r="G535" s="732"/>
      <c r="H535" s="732"/>
      <c r="I535" s="732"/>
      <c r="J535" s="732"/>
      <c r="K535" s="732"/>
      <c r="L535" s="192"/>
      <c r="P535" s="29"/>
      <c r="Q535" s="23"/>
      <c r="R535" s="23"/>
      <c r="S535" s="23"/>
      <c r="T535" s="23"/>
      <c r="U535" s="23"/>
      <c r="V535" s="32" t="b">
        <f>IF(OR(H517="",ISBLANK(H533)),FALSE,IF(MATCH(H533,EUconst_OwnerInstrument,0)=1,TRUE,FALSE))</f>
        <v>0</v>
      </c>
      <c r="W535" s="63" t="str">
        <f>IF(V535=TRUE,0,W529)</f>
        <v/>
      </c>
    </row>
    <row r="536" spans="1:23" s="24" customFormat="1" ht="5.0999999999999996" customHeight="1" outlineLevel="1" x14ac:dyDescent="0.2">
      <c r="A536" s="23"/>
      <c r="D536" s="25"/>
      <c r="E536" s="25"/>
      <c r="G536" s="14"/>
      <c r="N536" s="44"/>
      <c r="P536" s="29"/>
      <c r="Q536" s="23"/>
      <c r="R536" s="23"/>
      <c r="S536" s="23"/>
      <c r="T536" s="23"/>
      <c r="U536" s="23"/>
      <c r="V536" s="16"/>
      <c r="W536" s="23"/>
    </row>
    <row r="537" spans="1:23" s="24" customFormat="1" ht="12.75" customHeight="1" outlineLevel="1" x14ac:dyDescent="0.2">
      <c r="A537" s="23"/>
      <c r="D537" s="25"/>
      <c r="E537" s="46" t="s">
        <v>1297</v>
      </c>
      <c r="F537" s="1049" t="str">
        <f>Translations!$B$468</f>
        <v>Do you use invoices for determining the amount of this fuel or material?</v>
      </c>
      <c r="G537" s="1049"/>
      <c r="H537" s="1049"/>
      <c r="I537" s="1049"/>
      <c r="J537" s="1049"/>
      <c r="K537" s="1050"/>
      <c r="L537" s="192"/>
      <c r="P537" s="29"/>
      <c r="Q537" s="23"/>
      <c r="R537" s="23"/>
      <c r="S537" s="23"/>
      <c r="T537" s="23"/>
      <c r="U537" s="23"/>
      <c r="V537" s="32" t="b">
        <f>IF(OR(H517="",ISBLANK(H533)),FALSE,IF(MATCH(H533,EUconst_OwnerInstrument,0)=1,TRUE,FALSE))</f>
        <v>0</v>
      </c>
      <c r="W537" s="63" t="str">
        <f>IF(V537=TRUE,0,W529)</f>
        <v/>
      </c>
    </row>
    <row r="538" spans="1:23" s="24" customFormat="1" ht="5.0999999999999996" customHeight="1" outlineLevel="1" x14ac:dyDescent="0.2">
      <c r="A538" s="23"/>
      <c r="D538" s="25"/>
      <c r="E538" s="25"/>
      <c r="G538" s="14"/>
      <c r="J538" s="25"/>
      <c r="L538" s="45"/>
      <c r="P538" s="29"/>
      <c r="Q538" s="23"/>
      <c r="R538" s="23"/>
      <c r="S538" s="23"/>
      <c r="T538" s="23"/>
      <c r="U538" s="23"/>
      <c r="V538" s="23"/>
      <c r="W538" s="23"/>
    </row>
    <row r="539" spans="1:23" s="24" customFormat="1" ht="12.75" customHeight="1" outlineLevel="1" x14ac:dyDescent="0.2">
      <c r="A539" s="23"/>
      <c r="D539" s="25"/>
      <c r="E539" s="46" t="s">
        <v>1298</v>
      </c>
      <c r="F539" s="1049" t="str">
        <f>Translations!$B$469</f>
        <v>Please confirm that the trade partner and the operator are independent:</v>
      </c>
      <c r="G539" s="1049"/>
      <c r="H539" s="1049"/>
      <c r="I539" s="1049"/>
      <c r="J539" s="1049"/>
      <c r="K539" s="1050"/>
      <c r="L539" s="192"/>
      <c r="P539" s="29"/>
      <c r="Q539" s="23"/>
      <c r="R539" s="23"/>
      <c r="S539" s="23"/>
      <c r="T539" s="23"/>
      <c r="U539" s="23"/>
      <c r="V539" s="32" t="b">
        <f>IF(OR(H517="",ISBLANK(H533)),FALSE,IF(MATCH(H533,EUconst_OwnerInstrument,0)=1,TRUE,FALSE))</f>
        <v>0</v>
      </c>
      <c r="W539" s="63" t="str">
        <f>IF(V539=TRUE,0,W529)</f>
        <v/>
      </c>
    </row>
    <row r="540" spans="1:23" s="24" customFormat="1" outlineLevel="1" x14ac:dyDescent="0.2">
      <c r="A540" s="23"/>
      <c r="P540" s="29"/>
      <c r="Q540" s="23"/>
      <c r="R540" s="23"/>
      <c r="S540" s="23"/>
      <c r="T540" s="23"/>
      <c r="U540" s="23"/>
      <c r="V540" s="23"/>
      <c r="W540" s="23"/>
    </row>
    <row r="541" spans="1:23" s="24" customFormat="1" ht="12.75" customHeight="1" outlineLevel="1" x14ac:dyDescent="0.2">
      <c r="A541" s="23"/>
      <c r="D541" s="13" t="s">
        <v>1020</v>
      </c>
      <c r="E541" s="14" t="str">
        <f>Translations!$B$472</f>
        <v>Measurement instruments used:</v>
      </c>
      <c r="H541" s="215"/>
      <c r="I541" s="215"/>
      <c r="J541" s="215"/>
      <c r="K541" s="215"/>
      <c r="L541" s="215"/>
      <c r="P541" s="15"/>
      <c r="Q541" s="23"/>
      <c r="R541" s="23"/>
      <c r="S541" s="23"/>
      <c r="T541" s="23"/>
      <c r="U541" s="23"/>
      <c r="V541" s="23"/>
      <c r="W541" s="23"/>
    </row>
    <row r="542" spans="1:23" s="24" customFormat="1" ht="5.0999999999999996" customHeight="1" outlineLevel="1" x14ac:dyDescent="0.2">
      <c r="A542" s="23"/>
      <c r="D542" s="13"/>
      <c r="E542" s="14"/>
      <c r="P542" s="15"/>
      <c r="Q542" s="23"/>
      <c r="R542" s="23"/>
      <c r="S542" s="23"/>
      <c r="T542" s="23"/>
      <c r="U542" s="23"/>
      <c r="V542" s="23"/>
      <c r="W542" s="23"/>
    </row>
    <row r="543" spans="1:23" s="24" customFormat="1" outlineLevel="1" x14ac:dyDescent="0.2">
      <c r="A543" s="23"/>
      <c r="D543" s="13"/>
      <c r="E543" s="24" t="str">
        <f>Translations!$B$475</f>
        <v>Comment / Description of approach, if several instruments used:</v>
      </c>
      <c r="I543" s="11"/>
      <c r="P543" s="29"/>
      <c r="Q543" s="23"/>
      <c r="R543" s="23"/>
      <c r="S543" s="23"/>
      <c r="T543" s="23"/>
      <c r="U543" s="23"/>
      <c r="V543" s="23"/>
      <c r="W543" s="23"/>
    </row>
    <row r="544" spans="1:23" s="24" customFormat="1" ht="12.75" customHeight="1" outlineLevel="1" x14ac:dyDescent="0.2">
      <c r="A544" s="23"/>
      <c r="D544" s="13"/>
      <c r="E544" s="1051"/>
      <c r="F544" s="1052"/>
      <c r="G544" s="1052"/>
      <c r="H544" s="1052"/>
      <c r="I544" s="1052"/>
      <c r="J544" s="1052"/>
      <c r="K544" s="1052"/>
      <c r="L544" s="1052"/>
      <c r="M544" s="1052"/>
      <c r="N544" s="1053"/>
      <c r="P544" s="29"/>
      <c r="Q544" s="23"/>
      <c r="R544" s="23"/>
      <c r="S544" s="23"/>
      <c r="T544" s="23"/>
      <c r="U544" s="23"/>
      <c r="V544" s="23"/>
      <c r="W544" s="23"/>
    </row>
    <row r="545" spans="1:23" s="24" customFormat="1" outlineLevel="1" x14ac:dyDescent="0.2">
      <c r="A545" s="23"/>
      <c r="D545" s="13"/>
      <c r="E545" s="1054"/>
      <c r="F545" s="1055"/>
      <c r="G545" s="1055"/>
      <c r="H545" s="1055"/>
      <c r="I545" s="1055"/>
      <c r="J545" s="1055"/>
      <c r="K545" s="1055"/>
      <c r="L545" s="1055"/>
      <c r="M545" s="1055"/>
      <c r="N545" s="1056"/>
      <c r="P545" s="29"/>
      <c r="Q545" s="29"/>
      <c r="R545" s="29"/>
      <c r="S545" s="23"/>
      <c r="T545" s="23"/>
      <c r="U545" s="23"/>
      <c r="V545" s="23"/>
      <c r="W545" s="23"/>
    </row>
    <row r="546" spans="1:23" s="24" customFormat="1" outlineLevel="1" x14ac:dyDescent="0.2">
      <c r="A546" s="23"/>
      <c r="D546" s="13"/>
      <c r="E546" s="1057"/>
      <c r="F546" s="1058"/>
      <c r="G546" s="1058"/>
      <c r="H546" s="1058"/>
      <c r="I546" s="1058"/>
      <c r="J546" s="1058"/>
      <c r="K546" s="1058"/>
      <c r="L546" s="1058"/>
      <c r="M546" s="1058"/>
      <c r="N546" s="1059"/>
      <c r="P546" s="29"/>
      <c r="Q546" s="29"/>
      <c r="R546" s="29"/>
      <c r="S546" s="23"/>
      <c r="T546" s="23"/>
      <c r="U546" s="23"/>
      <c r="V546" s="23"/>
      <c r="W546" s="23"/>
    </row>
    <row r="547" spans="1:23" s="24" customFormat="1" outlineLevel="1" x14ac:dyDescent="0.2">
      <c r="A547" s="23"/>
      <c r="D547" s="13"/>
      <c r="P547" s="29"/>
      <c r="Q547" s="29"/>
      <c r="R547" s="29"/>
      <c r="S547" s="23"/>
      <c r="T547" s="23"/>
      <c r="U547" s="23"/>
      <c r="V547" s="23"/>
      <c r="W547" s="23"/>
    </row>
    <row r="548" spans="1:23" s="24" customFormat="1" ht="12.75" customHeight="1" outlineLevel="1" x14ac:dyDescent="0.2">
      <c r="A548" s="23"/>
      <c r="D548" s="13" t="s">
        <v>554</v>
      </c>
      <c r="E548" s="14" t="str">
        <f>Translations!$B$477</f>
        <v>Activity data tier level required:</v>
      </c>
      <c r="H548" s="30" t="str">
        <f>IF(H519="","",IF(CNTR_Category="A",INDEX(EUwideConstants!$G:$G,MATCH(Q548,EUwideConstants!$S:$S,0)),INDEX(EUwideConstants!$P:$P,MATCH(Q548,EUwideConstants!$S:$S,0))))</f>
        <v/>
      </c>
      <c r="I548" s="26" t="str">
        <f>IF(H548="","",IF(S548=0,EUconst_NA,IF(ISERROR(S548),"",EUconst_MsgTierActivityLevel &amp; " " &amp;S548)))</f>
        <v/>
      </c>
      <c r="J548" s="27"/>
      <c r="K548" s="27"/>
      <c r="L548" s="27"/>
      <c r="M548" s="27"/>
      <c r="N548" s="28"/>
      <c r="P548" s="29"/>
      <c r="Q548" s="92" t="str">
        <f>EUconst_CNTR_ActivityData&amp;H519</f>
        <v>ActivityData_</v>
      </c>
      <c r="R548" s="29"/>
      <c r="S548" s="32" t="str">
        <f>IF(H548="","",IF(H548=EUconst_NA,"",INDEX(EUwideConstants!$H:$O,MATCH(Q548,EUwideConstants!$S:$S,0),MATCH(H548,CNTR_TierList,0))))</f>
        <v/>
      </c>
      <c r="T548" s="23"/>
      <c r="U548" s="23"/>
      <c r="V548" s="23"/>
      <c r="W548" s="23"/>
    </row>
    <row r="549" spans="1:23" s="24" customFormat="1" ht="12.75" customHeight="1" outlineLevel="1" x14ac:dyDescent="0.2">
      <c r="A549" s="23"/>
      <c r="D549" s="13" t="s">
        <v>1022</v>
      </c>
      <c r="E549" s="14" t="str">
        <f>Translations!$B$478</f>
        <v>Activity data tier used:</v>
      </c>
      <c r="H549" s="192"/>
      <c r="I549" s="26" t="str">
        <f>IF(OR(ISBLANK(H549),H549=EUconst_NoTier),"",IF(S549=0,EUconst_NA,IF(ISERROR(S549),"",EUconst_MsgTierActivityLevel &amp; " " &amp;S549)))</f>
        <v/>
      </c>
      <c r="J549" s="27"/>
      <c r="K549" s="27"/>
      <c r="L549" s="27"/>
      <c r="M549" s="27"/>
      <c r="N549" s="28"/>
      <c r="P549" s="29"/>
      <c r="Q549" s="92" t="str">
        <f>EUconst_CNTR_ActivityData&amp;H519</f>
        <v>ActivityData_</v>
      </c>
      <c r="R549" s="29"/>
      <c r="S549" s="32" t="str">
        <f>IF(ISBLANK(H549),"",IF(H549=EUconst_NA,"",INDEX(EUwideConstants!$H:$O,MATCH(Q549,EUwideConstants!$S:$S,0),MATCH(H549,CNTR_TierList,0))))</f>
        <v/>
      </c>
      <c r="T549" s="23"/>
      <c r="U549" s="23"/>
      <c r="V549" s="23"/>
      <c r="W549" s="23"/>
    </row>
    <row r="550" spans="1:23" s="24" customFormat="1" ht="12.75" customHeight="1" outlineLevel="1" x14ac:dyDescent="0.2">
      <c r="A550" s="23"/>
      <c r="D550" s="13" t="s">
        <v>1023</v>
      </c>
      <c r="E550" s="14" t="str">
        <f>Translations!$B$479</f>
        <v>Uncertainty achieved:</v>
      </c>
      <c r="H550" s="229"/>
      <c r="I550" s="14" t="str">
        <f>Translations!$B$480</f>
        <v>Comment:</v>
      </c>
      <c r="J550" s="193"/>
      <c r="K550" s="194"/>
      <c r="L550" s="194"/>
      <c r="M550" s="194"/>
      <c r="N550" s="195"/>
      <c r="P550" s="29"/>
      <c r="Q550" s="29"/>
      <c r="R550" s="29"/>
      <c r="S550" s="23"/>
      <c r="T550" s="23"/>
      <c r="U550" s="23"/>
      <c r="V550" s="23"/>
      <c r="W550" s="23"/>
    </row>
    <row r="551" spans="1:23" s="24" customFormat="1" ht="5.0999999999999996" customHeight="1" outlineLevel="1" x14ac:dyDescent="0.2">
      <c r="A551" s="23"/>
      <c r="D551" s="13"/>
      <c r="E551" s="67"/>
      <c r="F551" s="67"/>
      <c r="G551" s="67"/>
      <c r="H551" s="67"/>
      <c r="I551" s="67"/>
      <c r="J551" s="67"/>
      <c r="K551" s="67"/>
      <c r="L551" s="67"/>
      <c r="M551" s="67"/>
      <c r="N551" s="67"/>
      <c r="P551" s="29"/>
      <c r="Q551" s="29"/>
      <c r="R551" s="29"/>
      <c r="S551" s="23"/>
      <c r="T551" s="23"/>
      <c r="U551" s="23"/>
      <c r="V551" s="23"/>
      <c r="W551" s="23"/>
    </row>
    <row r="552" spans="1:23" s="24" customFormat="1" ht="15" customHeight="1" outlineLevel="1" x14ac:dyDescent="0.2">
      <c r="A552" s="23"/>
      <c r="D552" s="1040" t="str">
        <f>Translations!$B$490</f>
        <v>Calculation factors:</v>
      </c>
      <c r="E552" s="1040"/>
      <c r="F552" s="1040"/>
      <c r="G552" s="1040"/>
      <c r="H552" s="1040"/>
      <c r="I552" s="1040"/>
      <c r="J552" s="1040"/>
      <c r="K552" s="1040"/>
      <c r="L552" s="1040"/>
      <c r="M552" s="1040"/>
      <c r="N552" s="1040"/>
      <c r="P552" s="29"/>
      <c r="Q552" s="29"/>
      <c r="R552" s="29"/>
      <c r="S552" s="29"/>
      <c r="T552" s="6"/>
      <c r="U552" s="23"/>
      <c r="V552" s="23"/>
      <c r="W552" s="23"/>
    </row>
    <row r="553" spans="1:23" s="24" customFormat="1" ht="5.0999999999999996" customHeight="1" outlineLevel="1" x14ac:dyDescent="0.2">
      <c r="A553" s="23"/>
      <c r="D553" s="13"/>
      <c r="E553" s="14"/>
      <c r="P553" s="29"/>
      <c r="Q553" s="29"/>
      <c r="R553" s="29"/>
      <c r="S553" s="29"/>
      <c r="T553" s="6"/>
      <c r="U553" s="23"/>
      <c r="V553" s="23"/>
      <c r="W553" s="23"/>
    </row>
    <row r="554" spans="1:23" s="24" customFormat="1" ht="12.75" customHeight="1" outlineLevel="1" x14ac:dyDescent="0.2">
      <c r="A554" s="23"/>
      <c r="D554" s="13" t="s">
        <v>1019</v>
      </c>
      <c r="E554" s="14" t="str">
        <f>Translations!$B$515</f>
        <v>Applied tiers for calculation factors:</v>
      </c>
      <c r="P554" s="29"/>
      <c r="Q554" s="29"/>
      <c r="R554" s="29"/>
      <c r="S554" s="29"/>
      <c r="T554" s="23"/>
      <c r="U554" s="23"/>
      <c r="V554" s="23"/>
      <c r="W554" s="23"/>
    </row>
    <row r="555" spans="1:23" s="24" customFormat="1" ht="5.0999999999999996" customHeight="1" outlineLevel="1" x14ac:dyDescent="0.2">
      <c r="A555" s="23"/>
      <c r="D555" s="13"/>
      <c r="E555" s="14"/>
      <c r="P555" s="29"/>
      <c r="Q555" s="29"/>
      <c r="R555" s="29"/>
      <c r="S555" s="29"/>
      <c r="T555" s="23"/>
      <c r="U555" s="23"/>
      <c r="V555" s="23"/>
      <c r="W555" s="23"/>
    </row>
    <row r="556" spans="1:23" s="24" customFormat="1" ht="25.5" customHeight="1" outlineLevel="1" x14ac:dyDescent="0.2">
      <c r="A556" s="23"/>
      <c r="E556" s="1044" t="str">
        <f>Translations!$B$516</f>
        <v>calculation factor</v>
      </c>
      <c r="F556" s="1044"/>
      <c r="G556" s="1044"/>
      <c r="H556" s="50" t="str">
        <f>Translations!$B$517</f>
        <v>required tier</v>
      </c>
      <c r="I556" s="50" t="str">
        <f>Translations!$B$518</f>
        <v>applied tier</v>
      </c>
      <c r="J556" s="1046" t="str">
        <f>Translations!$B$519</f>
        <v>full text for applied tier</v>
      </c>
      <c r="K556" s="1047"/>
      <c r="L556" s="1047"/>
      <c r="M556" s="1047"/>
      <c r="N556" s="1048"/>
      <c r="P556" s="29"/>
      <c r="Q556" s="29"/>
      <c r="R556" s="29"/>
      <c r="S556" s="15" t="s">
        <v>1038</v>
      </c>
      <c r="T556" s="23"/>
      <c r="U556" s="23"/>
      <c r="V556" s="23"/>
      <c r="W556" s="52" t="s">
        <v>1295</v>
      </c>
    </row>
    <row r="557" spans="1:23" s="24" customFormat="1" ht="12.75" customHeight="1" outlineLevel="1" x14ac:dyDescent="0.2">
      <c r="A557" s="23"/>
      <c r="D557" s="25" t="s">
        <v>1030</v>
      </c>
      <c r="E557" s="1039" t="str">
        <f>Translations!$B$520</f>
        <v>Net calorific value (NCV)</v>
      </c>
      <c r="F557" s="1039"/>
      <c r="G557" s="1039"/>
      <c r="H557" s="30" t="str">
        <f>IF(H519="","",IF(CNTR_Category="A",INDEX(EUwideConstants!$G:$G,MATCH(Q557,EUwideConstants!$S:$S,0)),INDEX(EUwideConstants!$P:$P,MATCH(Q557,EUwideConstants!$S:$S,0))))</f>
        <v/>
      </c>
      <c r="I557" s="192"/>
      <c r="J557" s="1041" t="str">
        <f t="shared" ref="J557:J562" si="34">IF(OR(ISBLANK(I557),I557=EUconst_NoTier),"",IF(S557=0,EUconst_NotApplicable,IF(ISERROR(S557),"",S557)))</f>
        <v/>
      </c>
      <c r="K557" s="1042"/>
      <c r="L557" s="1042"/>
      <c r="M557" s="1042"/>
      <c r="N557" s="1043"/>
      <c r="P557" s="29"/>
      <c r="Q557" s="92" t="str">
        <f>EUconst_CNTR_NCV&amp;H519</f>
        <v>NCV_</v>
      </c>
      <c r="R557" s="29"/>
      <c r="S557" s="31" t="str">
        <f>IF(ISBLANK(I557),"",IF(I557=EUconst_NA,"",INDEX(EUwideConstants!$H:$O,MATCH(Q557,EUwideConstants!$S:$S,0),MATCH(I557,CNTR_TierList,0))))</f>
        <v/>
      </c>
      <c r="T557" s="23"/>
      <c r="U557" s="23"/>
      <c r="V557" s="23"/>
      <c r="W557" s="32" t="b">
        <f t="shared" ref="W557:W562" si="35">(H557=EUconst_NA)</f>
        <v>0</v>
      </c>
    </row>
    <row r="558" spans="1:23" s="24" customFormat="1" ht="12.75" customHeight="1" outlineLevel="1" x14ac:dyDescent="0.2">
      <c r="A558" s="23"/>
      <c r="D558" s="25" t="s">
        <v>1031</v>
      </c>
      <c r="E558" s="1039" t="str">
        <f>Translations!$B$521</f>
        <v>Emission factor (preliminary)</v>
      </c>
      <c r="F558" s="1039"/>
      <c r="G558" s="1039"/>
      <c r="H558" s="30" t="str">
        <f>IF(H519="","",IF(CNTR_Category="A",INDEX(EUwideConstants!$G:$G,MATCH(Q558,EUwideConstants!$S:$S,0)),INDEX(EUwideConstants!$P:$P,MATCH(Q558,EUwideConstants!$S:$S,0))))</f>
        <v/>
      </c>
      <c r="I558" s="192"/>
      <c r="J558" s="1041" t="str">
        <f t="shared" si="34"/>
        <v/>
      </c>
      <c r="K558" s="1042"/>
      <c r="L558" s="1042"/>
      <c r="M558" s="1042"/>
      <c r="N558" s="1043"/>
      <c r="P558" s="29"/>
      <c r="Q558" s="92" t="str">
        <f>EUconst_CNTR_EF&amp;H519</f>
        <v>EF_</v>
      </c>
      <c r="R558" s="29"/>
      <c r="S558" s="31" t="str">
        <f>IF(ISBLANK(I558),"",IF(I558=EUconst_NA,"",INDEX(EUwideConstants!$H:$O,MATCH(Q558,EUwideConstants!$S:$S,0),MATCH(I558,CNTR_TierList,0))))</f>
        <v/>
      </c>
      <c r="T558" s="23"/>
      <c r="U558" s="23"/>
      <c r="V558" s="23"/>
      <c r="W558" s="32" t="b">
        <f t="shared" si="35"/>
        <v>0</v>
      </c>
    </row>
    <row r="559" spans="1:23" s="24" customFormat="1" ht="12.75" customHeight="1" outlineLevel="1" x14ac:dyDescent="0.2">
      <c r="A559" s="23"/>
      <c r="D559" s="25" t="s">
        <v>1468</v>
      </c>
      <c r="E559" s="1039" t="str">
        <f>Translations!$B$522</f>
        <v>Oxidation factor</v>
      </c>
      <c r="F559" s="1039"/>
      <c r="G559" s="1039"/>
      <c r="H559" s="30" t="str">
        <f>IF(H519="","",IF(CNTR_Category="A",INDEX(EUwideConstants!$G:$G,MATCH(Q559,EUwideConstants!$S:$S,0)),INDEX(EUwideConstants!$P:$P,MATCH(Q559,EUwideConstants!$S:$S,0))))</f>
        <v/>
      </c>
      <c r="I559" s="192"/>
      <c r="J559" s="1041" t="str">
        <f t="shared" si="34"/>
        <v/>
      </c>
      <c r="K559" s="1042"/>
      <c r="L559" s="1042"/>
      <c r="M559" s="1042"/>
      <c r="N559" s="1043"/>
      <c r="P559" s="29"/>
      <c r="Q559" s="92" t="str">
        <f>EUconst_CNTR_OxidationFactor&amp;H519</f>
        <v>OxF_</v>
      </c>
      <c r="R559" s="29"/>
      <c r="S559" s="31" t="str">
        <f>IF(ISBLANK(I559),"",IF(I559=EUconst_NA,"",INDEX(EUwideConstants!$H:$O,MATCH(Q559,EUwideConstants!$S:$S,0),MATCH(I559,CNTR_TierList,0))))</f>
        <v/>
      </c>
      <c r="T559" s="23"/>
      <c r="U559" s="23"/>
      <c r="V559" s="23"/>
      <c r="W559" s="32" t="b">
        <f t="shared" si="35"/>
        <v>0</v>
      </c>
    </row>
    <row r="560" spans="1:23" s="24" customFormat="1" ht="12.75" customHeight="1" outlineLevel="1" x14ac:dyDescent="0.2">
      <c r="A560" s="23"/>
      <c r="D560" s="25" t="s">
        <v>1469</v>
      </c>
      <c r="E560" s="1039" t="str">
        <f>Translations!$B$523</f>
        <v>Conversion factor</v>
      </c>
      <c r="F560" s="1039"/>
      <c r="G560" s="1039"/>
      <c r="H560" s="30" t="str">
        <f>IF(H519="","",IF(CNTR_Category="A",INDEX(EUwideConstants!$G:$G,MATCH(Q560,EUwideConstants!$S:$S,0)),INDEX(EUwideConstants!$P:$P,MATCH(Q560,EUwideConstants!$S:$S,0))))</f>
        <v/>
      </c>
      <c r="I560" s="192"/>
      <c r="J560" s="1041" t="str">
        <f t="shared" si="34"/>
        <v/>
      </c>
      <c r="K560" s="1042"/>
      <c r="L560" s="1042"/>
      <c r="M560" s="1042"/>
      <c r="N560" s="1043"/>
      <c r="P560" s="29"/>
      <c r="Q560" s="92" t="str">
        <f>EUconst_CNTR_ConversionFactor&amp;H519</f>
        <v>ConvF_</v>
      </c>
      <c r="R560" s="29"/>
      <c r="S560" s="31" t="str">
        <f>IF(ISBLANK(I560),"",IF(I560=EUconst_NA,"",INDEX(EUwideConstants!$H:$O,MATCH(Q560,EUwideConstants!$S:$S,0),MATCH(I560,CNTR_TierList,0))))</f>
        <v/>
      </c>
      <c r="T560" s="23"/>
      <c r="U560" s="23"/>
      <c r="V560" s="23"/>
      <c r="W560" s="32" t="b">
        <f t="shared" si="35"/>
        <v>0</v>
      </c>
    </row>
    <row r="561" spans="1:23" s="24" customFormat="1" ht="12.75" customHeight="1" outlineLevel="1" x14ac:dyDescent="0.2">
      <c r="A561" s="23"/>
      <c r="D561" s="25" t="s">
        <v>1470</v>
      </c>
      <c r="E561" s="1039" t="str">
        <f>Translations!$B$524</f>
        <v>Carbon content</v>
      </c>
      <c r="F561" s="1039"/>
      <c r="G561" s="1039"/>
      <c r="H561" s="30" t="str">
        <f>IF(H519="","",IF(CNTR_Category="A",INDEX(EUwideConstants!$G:$G,MATCH(Q561,EUwideConstants!$S:$S,0)),INDEX(EUwideConstants!$P:$P,MATCH(Q561,EUwideConstants!$S:$S,0))))</f>
        <v/>
      </c>
      <c r="I561" s="192"/>
      <c r="J561" s="1041" t="str">
        <f t="shared" si="34"/>
        <v/>
      </c>
      <c r="K561" s="1042"/>
      <c r="L561" s="1042"/>
      <c r="M561" s="1042"/>
      <c r="N561" s="1043"/>
      <c r="P561" s="209"/>
      <c r="Q561" s="92" t="str">
        <f>EUconst_CNTR_CarbonContent&amp;H519</f>
        <v>CarbC_</v>
      </c>
      <c r="R561" s="29"/>
      <c r="S561" s="31" t="str">
        <f>IF(ISBLANK(I561),"",IF(I561=EUconst_NA,"",INDEX(EUwideConstants!$H:$O,MATCH(Q561,EUwideConstants!$S:$S,0),MATCH(I561,CNTR_TierList,0))))</f>
        <v/>
      </c>
      <c r="T561" s="23"/>
      <c r="U561" s="23"/>
      <c r="V561" s="23"/>
      <c r="W561" s="32" t="b">
        <f t="shared" si="35"/>
        <v>0</v>
      </c>
    </row>
    <row r="562" spans="1:23" s="24" customFormat="1" ht="12.75" customHeight="1" outlineLevel="1" x14ac:dyDescent="0.2">
      <c r="A562" s="23"/>
      <c r="D562" s="25" t="s">
        <v>1471</v>
      </c>
      <c r="E562" s="1039" t="str">
        <f>Translations!$B$525</f>
        <v>Biomass fraction (if applicable)</v>
      </c>
      <c r="F562" s="1039"/>
      <c r="G562" s="1039"/>
      <c r="H562" s="30" t="str">
        <f>IF(H519="","",IF(CNTR_Category="A",INDEX(EUwideConstants!$G:$G,MATCH(Q562,EUwideConstants!$S:$S,0)),INDEX(EUwideConstants!$P:$P,MATCH(Q562,EUwideConstants!$S:$S,0))))</f>
        <v/>
      </c>
      <c r="I562" s="192"/>
      <c r="J562" s="1041" t="str">
        <f t="shared" si="34"/>
        <v/>
      </c>
      <c r="K562" s="1042"/>
      <c r="L562" s="1042"/>
      <c r="M562" s="1042"/>
      <c r="N562" s="1043"/>
      <c r="P562" s="29"/>
      <c r="Q562" s="92" t="str">
        <f>EUconst_CNTR_BiomassContent&amp;H519</f>
        <v>BioC_</v>
      </c>
      <c r="R562" s="29"/>
      <c r="S562" s="31" t="str">
        <f>IF(ISBLANK(I562),"",IF(I562=EUconst_NA,"",INDEX(EUwideConstants!$H:$O,MATCH(Q562,EUwideConstants!$S:$S,0),MATCH(I562,CNTR_TierList,0))))</f>
        <v/>
      </c>
      <c r="T562" s="23"/>
      <c r="U562" s="23"/>
      <c r="V562" s="23"/>
      <c r="W562" s="32" t="b">
        <f t="shared" si="35"/>
        <v>0</v>
      </c>
    </row>
    <row r="563" spans="1:23" s="24" customFormat="1" outlineLevel="1" x14ac:dyDescent="0.2">
      <c r="A563" s="23"/>
      <c r="D563" s="13"/>
      <c r="E563" s="67"/>
      <c r="F563" s="67"/>
      <c r="G563" s="67"/>
      <c r="H563" s="67"/>
      <c r="I563" s="67"/>
      <c r="J563" s="67"/>
      <c r="K563" s="67"/>
      <c r="L563" s="67"/>
      <c r="M563" s="67"/>
      <c r="N563" s="67"/>
      <c r="P563" s="29"/>
      <c r="Q563" s="23"/>
      <c r="R563" s="23"/>
      <c r="S563" s="23"/>
      <c r="T563" s="23"/>
      <c r="U563" s="23"/>
      <c r="V563" s="23"/>
      <c r="W563" s="23"/>
    </row>
    <row r="564" spans="1:23" s="24" customFormat="1" outlineLevel="1" x14ac:dyDescent="0.2">
      <c r="A564" s="23"/>
      <c r="D564" s="13" t="s">
        <v>1349</v>
      </c>
      <c r="E564" s="14" t="str">
        <f>Translations!$B$534</f>
        <v>Details for calculation factors:</v>
      </c>
      <c r="F564" s="67"/>
      <c r="G564" s="67"/>
      <c r="H564" s="67"/>
      <c r="I564" s="67"/>
      <c r="J564" s="67"/>
      <c r="K564" s="67"/>
      <c r="L564" s="67"/>
      <c r="M564" s="67"/>
      <c r="N564" s="67"/>
      <c r="P564" s="29"/>
      <c r="Q564" s="23"/>
      <c r="R564" s="23"/>
      <c r="S564" s="23"/>
      <c r="T564" s="23"/>
      <c r="U564" s="23"/>
      <c r="V564" s="23"/>
      <c r="W564" s="23"/>
    </row>
    <row r="565" spans="1:23" s="24" customFormat="1" ht="5.0999999999999996" customHeight="1" outlineLevel="1" x14ac:dyDescent="0.2">
      <c r="A565" s="23"/>
      <c r="D565" s="13"/>
      <c r="E565" s="67"/>
      <c r="F565" s="67"/>
      <c r="G565" s="67"/>
      <c r="H565" s="67"/>
      <c r="I565" s="67"/>
      <c r="J565" s="67"/>
      <c r="K565" s="67"/>
      <c r="L565" s="67"/>
      <c r="M565" s="67"/>
      <c r="N565" s="67"/>
      <c r="P565" s="29"/>
      <c r="Q565" s="23"/>
      <c r="R565" s="23"/>
      <c r="S565" s="23"/>
      <c r="T565" s="23"/>
      <c r="U565" s="23"/>
      <c r="V565" s="23"/>
      <c r="W565" s="23"/>
    </row>
    <row r="566" spans="1:23" s="24" customFormat="1" ht="25.5" customHeight="1" outlineLevel="1" x14ac:dyDescent="0.2">
      <c r="A566" s="23"/>
      <c r="E566" s="1044" t="str">
        <f t="shared" ref="E566:E572" si="36">E556</f>
        <v>calculation factor</v>
      </c>
      <c r="F566" s="1044"/>
      <c r="G566" s="1044"/>
      <c r="H566" s="50" t="str">
        <f>I556</f>
        <v>applied tier</v>
      </c>
      <c r="I566" s="51" t="str">
        <f>Translations!$B$535</f>
        <v>default value</v>
      </c>
      <c r="J566" s="51" t="str">
        <f>Translations!$B$536</f>
        <v>Unit</v>
      </c>
      <c r="K566" s="51" t="str">
        <f>Translations!$B$537</f>
        <v>source ref</v>
      </c>
      <c r="L566" s="51" t="str">
        <f>Translations!$B$538</f>
        <v>analysis ref</v>
      </c>
      <c r="M566" s="51" t="str">
        <f>Translations!$B$539</f>
        <v>sampling ref</v>
      </c>
      <c r="N566" s="51" t="str">
        <f>Translations!$B$540</f>
        <v>Analysis frequency</v>
      </c>
      <c r="P566" s="29"/>
      <c r="Q566" s="23"/>
      <c r="R566" s="23"/>
      <c r="S566" s="52" t="s">
        <v>384</v>
      </c>
      <c r="T566" s="23"/>
      <c r="U566" s="23"/>
      <c r="V566" s="23"/>
      <c r="W566" s="52" t="s">
        <v>1295</v>
      </c>
    </row>
    <row r="567" spans="1:23" s="24" customFormat="1" ht="12.75" customHeight="1" outlineLevel="1" x14ac:dyDescent="0.2">
      <c r="A567" s="23"/>
      <c r="D567" s="25" t="s">
        <v>1030</v>
      </c>
      <c r="E567" s="1039" t="str">
        <f t="shared" si="36"/>
        <v>Net calorific value (NCV)</v>
      </c>
      <c r="F567" s="1039"/>
      <c r="G567" s="1039"/>
      <c r="H567" s="30" t="str">
        <f t="shared" ref="H567:H572" si="37">IF(OR(ISBLANK(I557),I557=EUconst_NA),"",I557)</f>
        <v/>
      </c>
      <c r="I567" s="192"/>
      <c r="J567" s="192"/>
      <c r="K567" s="214"/>
      <c r="L567" s="213"/>
      <c r="M567" s="213"/>
      <c r="N567" s="196"/>
      <c r="P567" s="209"/>
      <c r="Q567" s="23"/>
      <c r="R567" s="23"/>
      <c r="S567" s="63" t="str">
        <f>IF(H567="","",IF(I557=EUconst_NA,"",INDEX(EUwideConstants!$AL:$AR,MATCH(Q557,EUwideConstants!$S:$S,0),MATCH(I557,CNTR_TierList,0))))</f>
        <v/>
      </c>
      <c r="T567" s="23"/>
      <c r="U567" s="23"/>
      <c r="V567" s="23"/>
      <c r="W567" s="32" t="b">
        <f t="shared" ref="W567:W572" si="38">OR(H567="",H567=EUconst_NA,J557=EUconst_NotApplicable)</f>
        <v>1</v>
      </c>
    </row>
    <row r="568" spans="1:23" s="24" customFormat="1" ht="12.75" customHeight="1" outlineLevel="1" x14ac:dyDescent="0.2">
      <c r="A568" s="23"/>
      <c r="D568" s="25" t="s">
        <v>1031</v>
      </c>
      <c r="E568" s="1039" t="str">
        <f t="shared" si="36"/>
        <v>Emission factor (preliminary)</v>
      </c>
      <c r="F568" s="1039"/>
      <c r="G568" s="1039"/>
      <c r="H568" s="30" t="str">
        <f t="shared" si="37"/>
        <v/>
      </c>
      <c r="I568" s="197"/>
      <c r="J568" s="192"/>
      <c r="K568" s="213"/>
      <c r="L568" s="271"/>
      <c r="M568" s="271"/>
      <c r="N568" s="196"/>
      <c r="P568" s="29"/>
      <c r="Q568" s="23"/>
      <c r="R568" s="23"/>
      <c r="S568" s="63" t="str">
        <f>IF(H568="","",IF(I558=EUconst_NA,"",INDEX(EUwideConstants!$AL:$AR,MATCH(Q558,EUwideConstants!$S:$S,0),MATCH(I558,CNTR_TierList,0))))</f>
        <v/>
      </c>
      <c r="T568" s="23"/>
      <c r="U568" s="23"/>
      <c r="V568" s="23"/>
      <c r="W568" s="32" t="b">
        <f t="shared" si="38"/>
        <v>1</v>
      </c>
    </row>
    <row r="569" spans="1:23" s="24" customFormat="1" ht="12.75" customHeight="1" outlineLevel="1" x14ac:dyDescent="0.2">
      <c r="A569" s="23"/>
      <c r="D569" s="25" t="s">
        <v>1468</v>
      </c>
      <c r="E569" s="1039" t="str">
        <f t="shared" si="36"/>
        <v>Oxidation factor</v>
      </c>
      <c r="F569" s="1039"/>
      <c r="G569" s="1039"/>
      <c r="H569" s="30" t="str">
        <f t="shared" si="37"/>
        <v/>
      </c>
      <c r="I569" s="192"/>
      <c r="J569" s="192"/>
      <c r="K569" s="213"/>
      <c r="L569" s="213"/>
      <c r="M569" s="213"/>
      <c r="N569" s="196"/>
      <c r="P569" s="29"/>
      <c r="Q569" s="23"/>
      <c r="R569" s="23"/>
      <c r="S569" s="63" t="str">
        <f>IF(H569="","",IF(I559=EUconst_NA,"",INDEX(EUwideConstants!$AL:$AR,MATCH(Q559,EUwideConstants!$S:$S,0),MATCH(I559,CNTR_TierList,0))))</f>
        <v/>
      </c>
      <c r="T569" s="23"/>
      <c r="U569" s="23"/>
      <c r="V569" s="23"/>
      <c r="W569" s="32" t="b">
        <f t="shared" si="38"/>
        <v>1</v>
      </c>
    </row>
    <row r="570" spans="1:23" s="24" customFormat="1" ht="12.75" customHeight="1" outlineLevel="1" x14ac:dyDescent="0.2">
      <c r="A570" s="23"/>
      <c r="D570" s="25" t="s">
        <v>1469</v>
      </c>
      <c r="E570" s="1039" t="str">
        <f t="shared" si="36"/>
        <v>Conversion factor</v>
      </c>
      <c r="F570" s="1039"/>
      <c r="G570" s="1039"/>
      <c r="H570" s="30" t="str">
        <f t="shared" si="37"/>
        <v/>
      </c>
      <c r="I570" s="192"/>
      <c r="J570" s="192"/>
      <c r="K570" s="213"/>
      <c r="L570" s="271"/>
      <c r="M570" s="213"/>
      <c r="N570" s="196"/>
      <c r="P570" s="29"/>
      <c r="Q570" s="23"/>
      <c r="R570" s="23"/>
      <c r="S570" s="63" t="str">
        <f>IF(H570="","",IF(I560=EUconst_NA,"",INDEX(EUwideConstants!$AL:$AR,MATCH(Q560,EUwideConstants!$S:$S,0),MATCH(I560,CNTR_TierList,0))))</f>
        <v/>
      </c>
      <c r="T570" s="23"/>
      <c r="U570" s="23"/>
      <c r="V570" s="23"/>
      <c r="W570" s="32" t="b">
        <f t="shared" si="38"/>
        <v>1</v>
      </c>
    </row>
    <row r="571" spans="1:23" s="24" customFormat="1" ht="12.75" customHeight="1" outlineLevel="1" x14ac:dyDescent="0.2">
      <c r="A571" s="23"/>
      <c r="D571" s="25" t="s">
        <v>1470</v>
      </c>
      <c r="E571" s="1039" t="str">
        <f t="shared" si="36"/>
        <v>Carbon content</v>
      </c>
      <c r="F571" s="1039"/>
      <c r="G571" s="1039"/>
      <c r="H571" s="30" t="str">
        <f t="shared" si="37"/>
        <v/>
      </c>
      <c r="I571" s="192"/>
      <c r="J571" s="192"/>
      <c r="K571" s="213"/>
      <c r="L571" s="213"/>
      <c r="M571" s="213"/>
      <c r="N571" s="196"/>
      <c r="P571" s="29"/>
      <c r="Q571" s="23"/>
      <c r="R571" s="23"/>
      <c r="S571" s="63" t="str">
        <f>IF(H571="","",IF(I561=EUconst_NA,"",INDEX(EUwideConstants!$AL:$AR,MATCH(Q561,EUwideConstants!$S:$S,0),MATCH(I561,CNTR_TierList,0))))</f>
        <v/>
      </c>
      <c r="T571" s="23"/>
      <c r="U571" s="23"/>
      <c r="V571" s="23"/>
      <c r="W571" s="32" t="b">
        <f t="shared" si="38"/>
        <v>1</v>
      </c>
    </row>
    <row r="572" spans="1:23" s="24" customFormat="1" ht="12.75" customHeight="1" outlineLevel="1" x14ac:dyDescent="0.2">
      <c r="A572" s="23"/>
      <c r="D572" s="25" t="s">
        <v>1471</v>
      </c>
      <c r="E572" s="1039" t="str">
        <f t="shared" si="36"/>
        <v>Biomass fraction (if applicable)</v>
      </c>
      <c r="F572" s="1039"/>
      <c r="G572" s="1039"/>
      <c r="H572" s="30" t="str">
        <f t="shared" si="37"/>
        <v/>
      </c>
      <c r="I572" s="192"/>
      <c r="J572" s="197"/>
      <c r="K572" s="213"/>
      <c r="L572" s="213"/>
      <c r="M572" s="213"/>
      <c r="N572" s="196"/>
      <c r="P572" s="47"/>
      <c r="Q572" s="23"/>
      <c r="R572" s="23"/>
      <c r="S572" s="63" t="str">
        <f>IF(H572="","",IF(I562=EUconst_NA,"",INDEX(EUwideConstants!$AL:$AR,MATCH(Q562,EUwideConstants!$S:$S,0),MATCH(I562,CNTR_TierList,0))))</f>
        <v/>
      </c>
      <c r="T572" s="23"/>
      <c r="U572" s="23"/>
      <c r="V572" s="23"/>
      <c r="W572" s="32" t="b">
        <f t="shared" si="38"/>
        <v>1</v>
      </c>
    </row>
    <row r="573" spans="1:23" s="24" customFormat="1" ht="12.75" customHeight="1" outlineLevel="1" x14ac:dyDescent="0.2">
      <c r="A573" s="23"/>
      <c r="D573" s="13"/>
      <c r="P573" s="29"/>
      <c r="Q573" s="23"/>
      <c r="R573" s="23"/>
      <c r="S573" s="23"/>
      <c r="T573" s="23"/>
      <c r="U573" s="23"/>
      <c r="V573" s="23"/>
      <c r="W573" s="23"/>
    </row>
    <row r="574" spans="1:23" s="24" customFormat="1" ht="15" customHeight="1" outlineLevel="1" x14ac:dyDescent="0.2">
      <c r="A574" s="23"/>
      <c r="D574" s="1040" t="str">
        <f>Translations!$B$545</f>
        <v>Comments and explanations:</v>
      </c>
      <c r="E574" s="1040"/>
      <c r="F574" s="1040"/>
      <c r="G574" s="1040"/>
      <c r="H574" s="1040"/>
      <c r="I574" s="1040"/>
      <c r="J574" s="1040"/>
      <c r="K574" s="1040"/>
      <c r="L574" s="1040"/>
      <c r="M574" s="1040"/>
      <c r="N574" s="1040"/>
      <c r="P574" s="29"/>
      <c r="Q574" s="29"/>
      <c r="R574" s="29"/>
      <c r="S574" s="29"/>
      <c r="T574" s="6"/>
      <c r="U574" s="23"/>
      <c r="V574" s="23"/>
      <c r="W574" s="23"/>
    </row>
    <row r="575" spans="1:23" s="24" customFormat="1" ht="5.0999999999999996" customHeight="1" outlineLevel="1" x14ac:dyDescent="0.2">
      <c r="A575" s="23"/>
      <c r="D575" s="13"/>
      <c r="P575" s="29"/>
      <c r="Q575" s="23"/>
      <c r="R575" s="23"/>
      <c r="S575" s="23"/>
      <c r="T575" s="23"/>
      <c r="U575" s="23"/>
      <c r="V575" s="23"/>
      <c r="W575" s="23"/>
    </row>
    <row r="576" spans="1:23" s="24" customFormat="1" ht="12.75" customHeight="1" outlineLevel="1" x14ac:dyDescent="0.2">
      <c r="A576" s="23"/>
      <c r="D576" s="13" t="s">
        <v>1351</v>
      </c>
      <c r="E576" s="946" t="str">
        <f>Translations!$B$1198</f>
        <v>Comments and justification if required tiers are not applied:</v>
      </c>
      <c r="F576" s="946"/>
      <c r="G576" s="946"/>
      <c r="H576" s="946"/>
      <c r="I576" s="946"/>
      <c r="J576" s="946"/>
      <c r="K576" s="946"/>
      <c r="L576" s="946"/>
      <c r="M576" s="946"/>
      <c r="N576" s="946"/>
      <c r="P576" s="29"/>
      <c r="Q576" s="23"/>
      <c r="R576" s="23"/>
      <c r="S576" s="23"/>
      <c r="T576" s="23"/>
      <c r="U576" s="23"/>
      <c r="V576" s="23"/>
      <c r="W576" s="23"/>
    </row>
    <row r="577" spans="1:23" s="24" customFormat="1" ht="5.0999999999999996" customHeight="1" outlineLevel="1" x14ac:dyDescent="0.2">
      <c r="A577" s="23"/>
      <c r="D577" s="13"/>
      <c r="E577" s="48"/>
      <c r="P577" s="29"/>
      <c r="Q577" s="23"/>
      <c r="R577" s="23"/>
      <c r="S577" s="23"/>
      <c r="T577" s="23"/>
      <c r="U577" s="23"/>
      <c r="V577" s="23"/>
      <c r="W577" s="23"/>
    </row>
    <row r="578" spans="1:23" s="24" customFormat="1" ht="12.75" customHeight="1" outlineLevel="1" x14ac:dyDescent="0.2">
      <c r="A578" s="23"/>
      <c r="D578" s="13"/>
      <c r="E578" s="1045"/>
      <c r="F578" s="955"/>
      <c r="G578" s="955"/>
      <c r="H578" s="955"/>
      <c r="I578" s="955"/>
      <c r="J578" s="955"/>
      <c r="K578" s="955"/>
      <c r="L578" s="955"/>
      <c r="M578" s="955"/>
      <c r="N578" s="956"/>
      <c r="P578" s="29"/>
      <c r="Q578" s="23"/>
      <c r="R578" s="23"/>
      <c r="S578" s="23"/>
      <c r="T578" s="23"/>
      <c r="U578" s="23"/>
      <c r="V578" s="23"/>
      <c r="W578" s="23"/>
    </row>
    <row r="579" spans="1:23" s="24" customFormat="1" ht="12.75" customHeight="1" outlineLevel="1" x14ac:dyDescent="0.2">
      <c r="A579" s="23"/>
      <c r="D579" s="13"/>
      <c r="E579" s="1037"/>
      <c r="F579" s="958"/>
      <c r="G579" s="958"/>
      <c r="H579" s="958"/>
      <c r="I579" s="958"/>
      <c r="J579" s="958"/>
      <c r="K579" s="958"/>
      <c r="L579" s="958"/>
      <c r="M579" s="958"/>
      <c r="N579" s="959"/>
      <c r="P579" s="29"/>
      <c r="Q579" s="23"/>
      <c r="R579" s="23"/>
      <c r="S579" s="23"/>
      <c r="T579" s="23"/>
      <c r="U579" s="23"/>
      <c r="V579" s="23"/>
      <c r="W579" s="23"/>
    </row>
    <row r="580" spans="1:23" s="24" customFormat="1" ht="12.75" customHeight="1" outlineLevel="1" x14ac:dyDescent="0.2">
      <c r="A580" s="23"/>
      <c r="D580" s="13"/>
      <c r="E580" s="1038"/>
      <c r="F580" s="961"/>
      <c r="G580" s="961"/>
      <c r="H580" s="961"/>
      <c r="I580" s="961"/>
      <c r="J580" s="961"/>
      <c r="K580" s="961"/>
      <c r="L580" s="961"/>
      <c r="M580" s="961"/>
      <c r="N580" s="962"/>
      <c r="P580" s="29"/>
      <c r="Q580" s="23"/>
      <c r="R580" s="23"/>
      <c r="S580" s="23"/>
      <c r="T580" s="23"/>
      <c r="U580" s="23"/>
      <c r="V580" s="23"/>
      <c r="W580" s="23"/>
    </row>
    <row r="581" spans="1:23" ht="12.75" customHeight="1" thickBot="1" x14ac:dyDescent="0.25">
      <c r="A581" s="72"/>
      <c r="C581" s="54"/>
      <c r="D581" s="55"/>
      <c r="E581" s="56"/>
      <c r="F581" s="54"/>
      <c r="G581" s="57"/>
      <c r="H581" s="57"/>
      <c r="I581" s="57"/>
      <c r="J581" s="57"/>
      <c r="K581" s="57"/>
      <c r="L581" s="57"/>
      <c r="M581" s="57"/>
      <c r="N581" s="57"/>
      <c r="O581" s="24"/>
      <c r="P581" s="15"/>
      <c r="Q581" s="72"/>
      <c r="R581" s="72"/>
      <c r="S581" s="75"/>
      <c r="T581" s="72"/>
      <c r="U581" s="72"/>
      <c r="V581" s="72"/>
      <c r="W581" s="72"/>
    </row>
    <row r="582" spans="1:23" ht="12.75" customHeight="1" thickBot="1" x14ac:dyDescent="0.25">
      <c r="A582" s="72"/>
      <c r="D582" s="13"/>
      <c r="E582" s="22"/>
      <c r="G582" s="2"/>
      <c r="H582" s="2"/>
      <c r="I582" s="2"/>
      <c r="J582" s="2"/>
      <c r="L582" s="2"/>
      <c r="M582" s="2"/>
      <c r="N582" s="2"/>
      <c r="O582" s="24"/>
      <c r="P582" s="15"/>
      <c r="Q582" s="72"/>
      <c r="R582" s="72"/>
      <c r="S582" s="66" t="s">
        <v>470</v>
      </c>
      <c r="T582" s="107" t="s">
        <v>471</v>
      </c>
      <c r="U582" s="107" t="s">
        <v>472</v>
      </c>
      <c r="V582" s="72"/>
      <c r="W582" s="72"/>
    </row>
    <row r="583" spans="1:23" s="186" customFormat="1" ht="15" customHeight="1" thickBot="1" x14ac:dyDescent="0.25">
      <c r="A583" s="76"/>
      <c r="B583" s="34"/>
      <c r="C583" s="35" t="str">
        <f>"F"&amp;Q583</f>
        <v>F8</v>
      </c>
      <c r="D583" s="1040" t="str">
        <f>CONCATENATE(Euconst_SourceStream," ", Q583,":")</f>
        <v>Source Stream 8:</v>
      </c>
      <c r="E583" s="1040"/>
      <c r="F583" s="1040"/>
      <c r="G583" s="1066"/>
      <c r="H583" s="1067" t="str">
        <f>IF(INDEX(C_InstallationDescription!$F$194:$F$204,MATCH(C583,C_InstallationDescription!$E$194:$E$204,0))&gt;0,INDEX(C_InstallationDescription!$F$194:$F$204,MATCH(C583,C_InstallationDescription!$E$194:$E$204,0)),"")</f>
        <v/>
      </c>
      <c r="I583" s="1067"/>
      <c r="J583" s="1067"/>
      <c r="K583" s="1067"/>
      <c r="L583" s="1068"/>
      <c r="M583" s="1069" t="str">
        <f>IF(S583=TRUE,IF(U583="",T583,U583),"")</f>
        <v/>
      </c>
      <c r="N583" s="1070"/>
      <c r="O583" s="24"/>
      <c r="P583" s="41"/>
      <c r="Q583" s="33">
        <f>Q517+1</f>
        <v>8</v>
      </c>
      <c r="R583" s="37"/>
      <c r="S583" s="40" t="b">
        <f>IF(INDEX(C_InstallationDescription!$M:$M,MATCH(Q585,C_InstallationDescription!$Q:$Q,0))="",FALSE,TRUE)</f>
        <v>0</v>
      </c>
      <c r="T583" s="92" t="str">
        <f>IF(S583=TRUE,INDEX(C_InstallationDescription!$M:$M,MATCH(Q585,C_InstallationDescription!$Q:$Q,0)),"")</f>
        <v/>
      </c>
      <c r="U583" s="40" t="str">
        <f>IF(S583=TRUE,IF(ISBLANK(INDEX(C_InstallationDescription!$N:$N,MATCH(Q585,C_InstallationDescription!$Q:$Q,0))),"",INDEX(C_InstallationDescription!$N:$N,MATCH(Q585,C_InstallationDescription!$Q:$Q,0))),"")</f>
        <v/>
      </c>
      <c r="V583" s="37"/>
      <c r="W583" s="37"/>
    </row>
    <row r="584" spans="1:23" s="24" customFormat="1" ht="5.0999999999999996" customHeight="1" x14ac:dyDescent="0.2">
      <c r="A584" s="72"/>
      <c r="B584" s="8"/>
      <c r="C584" s="8"/>
      <c r="D584" s="8"/>
      <c r="E584" s="8"/>
      <c r="F584" s="8"/>
      <c r="G584" s="8"/>
      <c r="H584" s="8"/>
      <c r="I584" s="8"/>
      <c r="J584" s="8"/>
      <c r="K584" s="8"/>
      <c r="L584" s="8"/>
      <c r="M584" s="7"/>
      <c r="N584" s="7"/>
      <c r="P584" s="17"/>
      <c r="Q584" s="12"/>
      <c r="R584" s="23"/>
      <c r="S584" s="23"/>
      <c r="T584" s="23"/>
      <c r="U584" s="23"/>
      <c r="V584" s="23"/>
      <c r="W584" s="23"/>
    </row>
    <row r="585" spans="1:23" s="24" customFormat="1" ht="12.75" customHeight="1" x14ac:dyDescent="0.2">
      <c r="A585" s="72"/>
      <c r="B585" s="8"/>
      <c r="C585" s="8"/>
      <c r="D585" s="13"/>
      <c r="E585" s="924" t="str">
        <f>Translations!$B$437</f>
        <v>Source stream type:</v>
      </c>
      <c r="F585" s="924"/>
      <c r="G585" s="925"/>
      <c r="H585" s="1071" t="str">
        <f>IF(INDEX(C_InstallationDescription!$I$194:$I$204,MATCH(C583,C_InstallationDescription!$E$194:$E$204,0))&gt;0,INDEX(C_InstallationDescription!$I$194:$I$204,MATCH(C583,C_InstallationDescription!$E$194:$E$204,0)),"")</f>
        <v/>
      </c>
      <c r="I585" s="1072"/>
      <c r="J585" s="1072"/>
      <c r="K585" s="1072"/>
      <c r="L585" s="1073"/>
      <c r="P585" s="17"/>
      <c r="Q585" s="39" t="str">
        <f>EUconst_CNTR_SourceCategory&amp;C583</f>
        <v>SourceCategory_F8</v>
      </c>
      <c r="R585" s="23"/>
      <c r="S585" s="23"/>
      <c r="T585" s="23"/>
      <c r="U585" s="23"/>
      <c r="V585" s="23"/>
      <c r="W585" s="23"/>
    </row>
    <row r="586" spans="1:23" s="24" customFormat="1" ht="12.75" customHeight="1" outlineLevel="1" x14ac:dyDescent="0.2">
      <c r="A586" s="23"/>
      <c r="B586" s="8"/>
      <c r="C586" s="8"/>
      <c r="D586" s="11"/>
      <c r="E586" s="924" t="str">
        <f>Translations!$B$438</f>
        <v>Method applicable according to MRR:</v>
      </c>
      <c r="F586" s="924"/>
      <c r="G586" s="925"/>
      <c r="H586" s="1062" t="str">
        <f>IF(H585="","",INDEX(EUwideConstants!F:F,MATCH(H585,EUwideConstants!Q:Q,0)))</f>
        <v/>
      </c>
      <c r="I586" s="1062"/>
      <c r="J586" s="1062"/>
      <c r="K586" s="1062"/>
      <c r="L586" s="1062"/>
      <c r="M586" s="2"/>
      <c r="N586" s="2"/>
      <c r="P586" s="17"/>
      <c r="Q586" s="12"/>
      <c r="R586" s="23"/>
      <c r="S586" s="23"/>
      <c r="T586" s="23"/>
      <c r="U586" s="23"/>
      <c r="V586" s="23"/>
      <c r="W586" s="23"/>
    </row>
    <row r="587" spans="1:23" s="24" customFormat="1" ht="12.75" customHeight="1" outlineLevel="1" x14ac:dyDescent="0.2">
      <c r="A587" s="23"/>
      <c r="D587" s="38"/>
      <c r="E587" s="924" t="str">
        <f>Translations!$B$439</f>
        <v>Parameter to which uncertainty applies:</v>
      </c>
      <c r="F587" s="924"/>
      <c r="G587" s="925"/>
      <c r="H587" s="1062" t="str">
        <f>IF(H585="","",INDEX(EUwideConstants!E:E,MATCH(H585,EUwideConstants!Q:Q,0)))</f>
        <v/>
      </c>
      <c r="I587" s="1062"/>
      <c r="J587" s="1062"/>
      <c r="K587" s="1062"/>
      <c r="L587" s="1062"/>
      <c r="P587" s="17"/>
      <c r="Q587" s="12"/>
      <c r="R587" s="23"/>
      <c r="S587" s="23"/>
      <c r="T587" s="23"/>
      <c r="U587" s="23"/>
      <c r="V587" s="23"/>
      <c r="W587" s="23"/>
    </row>
    <row r="588" spans="1:23" s="24" customFormat="1" ht="5.0999999999999996" customHeight="1" outlineLevel="1" x14ac:dyDescent="0.2">
      <c r="A588" s="23"/>
      <c r="P588" s="29"/>
      <c r="Q588" s="23"/>
      <c r="R588" s="23"/>
      <c r="S588" s="23"/>
      <c r="T588" s="23"/>
      <c r="U588" s="23"/>
      <c r="V588" s="23"/>
      <c r="W588" s="23"/>
    </row>
    <row r="589" spans="1:23" s="24" customFormat="1" ht="51" customHeight="1" outlineLevel="1" x14ac:dyDescent="0.2">
      <c r="A589" s="23"/>
      <c r="D589" s="13"/>
      <c r="E589" s="1063" t="str">
        <f>IF(H583="","",INDEX(EUconst_SmallEmiSouStreamMsg,MATCH(Q589,EUconst_SmallEmiSouStream,0)))</f>
        <v/>
      </c>
      <c r="F589" s="1064"/>
      <c r="G589" s="1064"/>
      <c r="H589" s="1064"/>
      <c r="I589" s="1064"/>
      <c r="J589" s="1064"/>
      <c r="K589" s="1064"/>
      <c r="L589" s="1064"/>
      <c r="M589" s="1064"/>
      <c r="N589" s="1065"/>
      <c r="P589" s="15"/>
      <c r="Q589" s="43" t="str">
        <f>IF(CNTR_SmallEmitter=TRUE,EUconst_CNTR_SmallEmitter,EUconst_CNTR_NoSmallEmitter) &amp; IF((CNTR_Category)="","C",CNTR_Category) &amp; "_" &amp; IF(M583="",1,MATCH(M583,SourceCategory,0))</f>
        <v>NoSmallEmitter_C_1</v>
      </c>
      <c r="R589" s="23"/>
      <c r="S589" s="23"/>
      <c r="T589" s="23"/>
      <c r="U589" s="23"/>
      <c r="V589" s="23"/>
      <c r="W589" s="23"/>
    </row>
    <row r="590" spans="1:23" s="24" customFormat="1" ht="12.75" customHeight="1" outlineLevel="1" x14ac:dyDescent="0.2">
      <c r="A590" s="23"/>
      <c r="D590" s="13"/>
      <c r="P590" s="29"/>
      <c r="Q590" s="23"/>
      <c r="R590" s="23"/>
      <c r="S590" s="23"/>
      <c r="T590" s="23"/>
      <c r="U590" s="23"/>
      <c r="V590" s="23"/>
      <c r="W590" s="23"/>
    </row>
    <row r="591" spans="1:23" s="24" customFormat="1" ht="15" customHeight="1" outlineLevel="1" x14ac:dyDescent="0.2">
      <c r="A591" s="23"/>
      <c r="D591" s="1040" t="str">
        <f>Translations!$B$454</f>
        <v>Activity Data:</v>
      </c>
      <c r="E591" s="1040"/>
      <c r="F591" s="1040"/>
      <c r="G591" s="1040"/>
      <c r="H591" s="1040"/>
      <c r="I591" s="1040"/>
      <c r="J591" s="1040"/>
      <c r="K591" s="1040"/>
      <c r="L591" s="1040"/>
      <c r="M591" s="1040"/>
      <c r="N591" s="1040"/>
      <c r="P591" s="29"/>
      <c r="Q591" s="23"/>
      <c r="R591" s="23"/>
      <c r="S591" s="23"/>
      <c r="T591" s="23"/>
      <c r="U591" s="23"/>
      <c r="V591" s="23"/>
      <c r="W591" s="23"/>
    </row>
    <row r="592" spans="1:23" s="24" customFormat="1" ht="5.0999999999999996" customHeight="1" outlineLevel="1" x14ac:dyDescent="0.2">
      <c r="A592" s="23"/>
      <c r="D592" s="13"/>
      <c r="P592" s="29"/>
      <c r="Q592" s="23"/>
      <c r="R592" s="23"/>
      <c r="S592" s="23"/>
      <c r="T592" s="23"/>
      <c r="U592" s="23"/>
      <c r="V592" s="23"/>
      <c r="W592" s="23"/>
    </row>
    <row r="593" spans="1:23" s="24" customFormat="1" outlineLevel="1" x14ac:dyDescent="0.2">
      <c r="A593" s="23"/>
      <c r="D593" s="13" t="s">
        <v>1018</v>
      </c>
      <c r="E593" s="825" t="str">
        <f>Translations!$B$455</f>
        <v>Activity data determination method:</v>
      </c>
      <c r="F593" s="825"/>
      <c r="G593" s="825"/>
      <c r="H593" s="825"/>
      <c r="I593" s="825"/>
      <c r="J593" s="825"/>
      <c r="K593" s="825"/>
      <c r="L593" s="825"/>
      <c r="M593" s="825"/>
      <c r="N593" s="825"/>
      <c r="P593" s="29"/>
      <c r="Q593" s="23"/>
      <c r="R593" s="23"/>
      <c r="S593" s="23"/>
      <c r="T593" s="23"/>
      <c r="U593" s="23"/>
      <c r="V593" s="23"/>
      <c r="W593" s="23"/>
    </row>
    <row r="594" spans="1:23" s="24" customFormat="1" ht="5.0999999999999996" customHeight="1" outlineLevel="1" x14ac:dyDescent="0.2">
      <c r="A594" s="23"/>
      <c r="D594" s="13"/>
      <c r="E594" s="14"/>
      <c r="F594" s="14"/>
      <c r="G594" s="14"/>
      <c r="H594" s="14"/>
      <c r="I594" s="14"/>
      <c r="L594" s="22"/>
      <c r="P594" s="29"/>
      <c r="Q594" s="23"/>
      <c r="R594" s="23"/>
      <c r="S594" s="23"/>
      <c r="T594" s="23"/>
      <c r="U594" s="23"/>
      <c r="V594" s="23"/>
      <c r="W594" s="23"/>
    </row>
    <row r="595" spans="1:23" s="24" customFormat="1" ht="12.75" customHeight="1" outlineLevel="1" x14ac:dyDescent="0.2">
      <c r="A595" s="23"/>
      <c r="D595" s="25" t="s">
        <v>1030</v>
      </c>
      <c r="E595" s="11" t="str">
        <f>Translations!$B$456</f>
        <v>Determination method:</v>
      </c>
      <c r="G595" s="14"/>
      <c r="H595" s="1060"/>
      <c r="I595" s="1061"/>
      <c r="P595" s="220"/>
      <c r="Q595" s="23"/>
      <c r="R595" s="23"/>
      <c r="S595" s="23"/>
      <c r="T595" s="23"/>
      <c r="U595" s="23"/>
      <c r="V595" s="23"/>
      <c r="W595" s="63" t="str">
        <f>IF(M583="","",IF(M583=INDEX(SourceCategory,3),1,IF(CNTR_InstHasCalculation=FALSE,0,2)))</f>
        <v/>
      </c>
    </row>
    <row r="596" spans="1:23" s="24" customFormat="1" ht="5.0999999999999996" customHeight="1" outlineLevel="1" x14ac:dyDescent="0.2">
      <c r="A596" s="23"/>
      <c r="D596" s="25"/>
      <c r="G596" s="14"/>
      <c r="H596" s="44"/>
      <c r="I596" s="44"/>
      <c r="P596" s="29"/>
      <c r="Q596" s="23"/>
      <c r="R596" s="23"/>
      <c r="S596" s="23"/>
      <c r="T596" s="23"/>
      <c r="U596" s="23"/>
      <c r="V596" s="23"/>
      <c r="W596" s="23"/>
    </row>
    <row r="597" spans="1:23" s="24" customFormat="1" ht="12.75" customHeight="1" outlineLevel="1" x14ac:dyDescent="0.2">
      <c r="A597" s="23"/>
      <c r="E597" s="46"/>
      <c r="F597" s="1049" t="str">
        <f>Translations!$B$459</f>
        <v>Reference to procedure used for determining stock piles at end of year:</v>
      </c>
      <c r="G597" s="1049"/>
      <c r="H597" s="1049"/>
      <c r="I597" s="1049"/>
      <c r="J597" s="1050"/>
      <c r="K597" s="1060"/>
      <c r="L597" s="1061"/>
      <c r="P597" s="29"/>
      <c r="Q597" s="23"/>
      <c r="R597" s="23"/>
      <c r="S597" s="23"/>
      <c r="T597" s="23"/>
      <c r="U597" s="29"/>
      <c r="V597" s="32" t="b">
        <f>IF(OR(H583="",ISBLANK(H595)),FALSE,IF(MATCH(H595,EUconst_ActivityDeterminationMethod,0)=2,TRUE,FALSE))</f>
        <v>0</v>
      </c>
      <c r="W597" s="63" t="str">
        <f>IF(V597=TRUE,0,W595)</f>
        <v/>
      </c>
    </row>
    <row r="598" spans="1:23" s="24" customFormat="1" ht="5.0999999999999996" customHeight="1" outlineLevel="1" x14ac:dyDescent="0.2">
      <c r="A598" s="23"/>
      <c r="P598" s="29"/>
      <c r="Q598" s="23"/>
      <c r="R598" s="23"/>
      <c r="S598" s="23"/>
      <c r="T598" s="23"/>
      <c r="U598" s="23"/>
      <c r="V598" s="23"/>
      <c r="W598" s="23"/>
    </row>
    <row r="599" spans="1:23" s="24" customFormat="1" ht="12.75" customHeight="1" outlineLevel="1" x14ac:dyDescent="0.2">
      <c r="A599" s="23"/>
      <c r="D599" s="46" t="s">
        <v>1031</v>
      </c>
      <c r="E599" s="11" t="str">
        <f>Translations!$B$462</f>
        <v>Instrument under control of:</v>
      </c>
      <c r="G599" s="14"/>
      <c r="H599" s="1060"/>
      <c r="I599" s="1061"/>
      <c r="J599" s="25"/>
      <c r="P599" s="29"/>
      <c r="Q599" s="23"/>
      <c r="R599" s="23"/>
      <c r="S599" s="23"/>
      <c r="T599" s="23"/>
      <c r="U599" s="23"/>
      <c r="V599" s="23"/>
      <c r="W599" s="63" t="str">
        <f>W595</f>
        <v/>
      </c>
    </row>
    <row r="600" spans="1:23" s="24" customFormat="1" ht="5.0999999999999996" customHeight="1" outlineLevel="1" x14ac:dyDescent="0.2">
      <c r="A600" s="23"/>
      <c r="D600" s="25"/>
      <c r="G600" s="14"/>
      <c r="H600" s="44"/>
      <c r="I600" s="44"/>
      <c r="J600" s="25"/>
      <c r="P600" s="29"/>
      <c r="Q600" s="23"/>
      <c r="R600" s="23"/>
      <c r="S600" s="23"/>
      <c r="T600" s="23"/>
      <c r="U600" s="23"/>
      <c r="V600" s="23"/>
      <c r="W600" s="23"/>
    </row>
    <row r="601" spans="1:23" s="24" customFormat="1" ht="12.75" customHeight="1" outlineLevel="1" x14ac:dyDescent="0.2">
      <c r="A601" s="23"/>
      <c r="D601" s="25"/>
      <c r="E601" s="46" t="s">
        <v>1296</v>
      </c>
      <c r="F601" s="767" t="str">
        <f>Translations!$B$465</f>
        <v>Please confirm that the conditions of Article 29(1) are satisfied:</v>
      </c>
      <c r="G601" s="732"/>
      <c r="H601" s="732"/>
      <c r="I601" s="732"/>
      <c r="J601" s="732"/>
      <c r="K601" s="732"/>
      <c r="L601" s="192"/>
      <c r="P601" s="29"/>
      <c r="Q601" s="23"/>
      <c r="R601" s="23"/>
      <c r="S601" s="23"/>
      <c r="T601" s="23"/>
      <c r="U601" s="23"/>
      <c r="V601" s="32" t="b">
        <f>IF(OR(H583="",ISBLANK(H599)),FALSE,IF(MATCH(H599,EUconst_OwnerInstrument,0)=1,TRUE,FALSE))</f>
        <v>0</v>
      </c>
      <c r="W601" s="63" t="str">
        <f>IF(V601=TRUE,0,W595)</f>
        <v/>
      </c>
    </row>
    <row r="602" spans="1:23" s="24" customFormat="1" ht="5.0999999999999996" customHeight="1" outlineLevel="1" x14ac:dyDescent="0.2">
      <c r="A602" s="23"/>
      <c r="D602" s="25"/>
      <c r="E602" s="25"/>
      <c r="G602" s="14"/>
      <c r="N602" s="44"/>
      <c r="P602" s="29"/>
      <c r="Q602" s="23"/>
      <c r="R602" s="23"/>
      <c r="S602" s="23"/>
      <c r="T602" s="23"/>
      <c r="U602" s="23"/>
      <c r="V602" s="16"/>
      <c r="W602" s="23"/>
    </row>
    <row r="603" spans="1:23" s="24" customFormat="1" ht="12.75" customHeight="1" outlineLevel="1" x14ac:dyDescent="0.2">
      <c r="A603" s="23"/>
      <c r="D603" s="25"/>
      <c r="E603" s="46" t="s">
        <v>1297</v>
      </c>
      <c r="F603" s="1049" t="str">
        <f>Translations!$B$468</f>
        <v>Do you use invoices for determining the amount of this fuel or material?</v>
      </c>
      <c r="G603" s="1049"/>
      <c r="H603" s="1049"/>
      <c r="I603" s="1049"/>
      <c r="J603" s="1049"/>
      <c r="K603" s="1050"/>
      <c r="L603" s="192"/>
      <c r="P603" s="29"/>
      <c r="Q603" s="23"/>
      <c r="R603" s="23"/>
      <c r="S603" s="23"/>
      <c r="T603" s="23"/>
      <c r="U603" s="23"/>
      <c r="V603" s="32" t="b">
        <f>IF(OR(H583="",ISBLANK(H599)),FALSE,IF(MATCH(H599,EUconst_OwnerInstrument,0)=1,TRUE,FALSE))</f>
        <v>0</v>
      </c>
      <c r="W603" s="63" t="str">
        <f>IF(V603=TRUE,0,W595)</f>
        <v/>
      </c>
    </row>
    <row r="604" spans="1:23" s="24" customFormat="1" ht="5.0999999999999996" customHeight="1" outlineLevel="1" x14ac:dyDescent="0.2">
      <c r="A604" s="23"/>
      <c r="D604" s="25"/>
      <c r="E604" s="25"/>
      <c r="G604" s="14"/>
      <c r="J604" s="25"/>
      <c r="L604" s="45"/>
      <c r="P604" s="29"/>
      <c r="Q604" s="23"/>
      <c r="R604" s="23"/>
      <c r="S604" s="23"/>
      <c r="T604" s="23"/>
      <c r="U604" s="23"/>
      <c r="V604" s="23"/>
      <c r="W604" s="23"/>
    </row>
    <row r="605" spans="1:23" s="24" customFormat="1" ht="12.75" customHeight="1" outlineLevel="1" x14ac:dyDescent="0.2">
      <c r="A605" s="23"/>
      <c r="D605" s="25"/>
      <c r="E605" s="46" t="s">
        <v>1298</v>
      </c>
      <c r="F605" s="1049" t="str">
        <f>Translations!$B$469</f>
        <v>Please confirm that the trade partner and the operator are independent:</v>
      </c>
      <c r="G605" s="1049"/>
      <c r="H605" s="1049"/>
      <c r="I605" s="1049"/>
      <c r="J605" s="1049"/>
      <c r="K605" s="1050"/>
      <c r="L605" s="192"/>
      <c r="P605" s="29"/>
      <c r="Q605" s="23"/>
      <c r="R605" s="23"/>
      <c r="S605" s="23"/>
      <c r="T605" s="23"/>
      <c r="U605" s="23"/>
      <c r="V605" s="32" t="b">
        <f>IF(OR(H583="",ISBLANK(H599)),FALSE,IF(MATCH(H599,EUconst_OwnerInstrument,0)=1,TRUE,FALSE))</f>
        <v>0</v>
      </c>
      <c r="W605" s="63" t="str">
        <f>IF(V605=TRUE,0,W595)</f>
        <v/>
      </c>
    </row>
    <row r="606" spans="1:23" s="24" customFormat="1" outlineLevel="1" x14ac:dyDescent="0.2">
      <c r="A606" s="23"/>
      <c r="P606" s="29"/>
      <c r="Q606" s="23"/>
      <c r="R606" s="23"/>
      <c r="S606" s="23"/>
      <c r="T606" s="23"/>
      <c r="U606" s="23"/>
      <c r="V606" s="23"/>
      <c r="W606" s="23"/>
    </row>
    <row r="607" spans="1:23" s="24" customFormat="1" ht="12.75" customHeight="1" outlineLevel="1" x14ac:dyDescent="0.2">
      <c r="A607" s="23"/>
      <c r="D607" s="13" t="s">
        <v>1020</v>
      </c>
      <c r="E607" s="14" t="str">
        <f>Translations!$B$472</f>
        <v>Measurement instruments used:</v>
      </c>
      <c r="H607" s="215"/>
      <c r="I607" s="215"/>
      <c r="J607" s="215"/>
      <c r="K607" s="215"/>
      <c r="L607" s="215"/>
      <c r="P607" s="15"/>
      <c r="Q607" s="23"/>
      <c r="R607" s="23"/>
      <c r="S607" s="23"/>
      <c r="T607" s="23"/>
      <c r="U607" s="23"/>
      <c r="V607" s="23"/>
      <c r="W607" s="23"/>
    </row>
    <row r="608" spans="1:23" s="24" customFormat="1" ht="5.0999999999999996" customHeight="1" outlineLevel="1" x14ac:dyDescent="0.2">
      <c r="A608" s="23"/>
      <c r="D608" s="13"/>
      <c r="E608" s="14"/>
      <c r="P608" s="15"/>
      <c r="Q608" s="23"/>
      <c r="R608" s="23"/>
      <c r="S608" s="23"/>
      <c r="T608" s="23"/>
      <c r="U608" s="23"/>
      <c r="V608" s="23"/>
      <c r="W608" s="23"/>
    </row>
    <row r="609" spans="1:23" s="24" customFormat="1" outlineLevel="1" x14ac:dyDescent="0.2">
      <c r="A609" s="23"/>
      <c r="D609" s="13"/>
      <c r="E609" s="24" t="str">
        <f>Translations!$B$475</f>
        <v>Comment / Description of approach, if several instruments used:</v>
      </c>
      <c r="I609" s="11"/>
      <c r="P609" s="29"/>
      <c r="Q609" s="23"/>
      <c r="R609" s="23"/>
      <c r="S609" s="23"/>
      <c r="T609" s="23"/>
      <c r="U609" s="23"/>
      <c r="V609" s="23"/>
      <c r="W609" s="23"/>
    </row>
    <row r="610" spans="1:23" s="24" customFormat="1" ht="12.75" customHeight="1" outlineLevel="1" x14ac:dyDescent="0.2">
      <c r="A610" s="23"/>
      <c r="D610" s="13"/>
      <c r="E610" s="1051"/>
      <c r="F610" s="1052"/>
      <c r="G610" s="1052"/>
      <c r="H610" s="1052"/>
      <c r="I610" s="1052"/>
      <c r="J610" s="1052"/>
      <c r="K610" s="1052"/>
      <c r="L610" s="1052"/>
      <c r="M610" s="1052"/>
      <c r="N610" s="1053"/>
      <c r="P610" s="29"/>
      <c r="Q610" s="23"/>
      <c r="R610" s="23"/>
      <c r="S610" s="23"/>
      <c r="T610" s="23"/>
      <c r="U610" s="23"/>
      <c r="V610" s="23"/>
      <c r="W610" s="23"/>
    </row>
    <row r="611" spans="1:23" s="24" customFormat="1" outlineLevel="1" x14ac:dyDescent="0.2">
      <c r="A611" s="23"/>
      <c r="D611" s="13"/>
      <c r="E611" s="1054"/>
      <c r="F611" s="1055"/>
      <c r="G611" s="1055"/>
      <c r="H611" s="1055"/>
      <c r="I611" s="1055"/>
      <c r="J611" s="1055"/>
      <c r="K611" s="1055"/>
      <c r="L611" s="1055"/>
      <c r="M611" s="1055"/>
      <c r="N611" s="1056"/>
      <c r="P611" s="29"/>
      <c r="Q611" s="29"/>
      <c r="R611" s="29"/>
      <c r="S611" s="23"/>
      <c r="T611" s="23"/>
      <c r="U611" s="23"/>
      <c r="V611" s="23"/>
      <c r="W611" s="23"/>
    </row>
    <row r="612" spans="1:23" s="24" customFormat="1" outlineLevel="1" x14ac:dyDescent="0.2">
      <c r="A612" s="23"/>
      <c r="D612" s="13"/>
      <c r="E612" s="1057"/>
      <c r="F612" s="1058"/>
      <c r="G612" s="1058"/>
      <c r="H612" s="1058"/>
      <c r="I612" s="1058"/>
      <c r="J612" s="1058"/>
      <c r="K612" s="1058"/>
      <c r="L612" s="1058"/>
      <c r="M612" s="1058"/>
      <c r="N612" s="1059"/>
      <c r="P612" s="29"/>
      <c r="Q612" s="29"/>
      <c r="R612" s="29"/>
      <c r="S612" s="23"/>
      <c r="T612" s="23"/>
      <c r="U612" s="23"/>
      <c r="V612" s="23"/>
      <c r="W612" s="23"/>
    </row>
    <row r="613" spans="1:23" s="24" customFormat="1" outlineLevel="1" x14ac:dyDescent="0.2">
      <c r="A613" s="23"/>
      <c r="D613" s="13"/>
      <c r="P613" s="29"/>
      <c r="Q613" s="29"/>
      <c r="R613" s="29"/>
      <c r="S613" s="23"/>
      <c r="T613" s="23"/>
      <c r="U613" s="23"/>
      <c r="V613" s="23"/>
      <c r="W613" s="23"/>
    </row>
    <row r="614" spans="1:23" s="24" customFormat="1" ht="12.75" customHeight="1" outlineLevel="1" x14ac:dyDescent="0.2">
      <c r="A614" s="23"/>
      <c r="D614" s="13" t="s">
        <v>554</v>
      </c>
      <c r="E614" s="14" t="str">
        <f>Translations!$B$477</f>
        <v>Activity data tier level required:</v>
      </c>
      <c r="H614" s="30" t="str">
        <f>IF(H585="","",IF(CNTR_Category="A",INDEX(EUwideConstants!$G:$G,MATCH(Q614,EUwideConstants!$S:$S,0)),INDEX(EUwideConstants!$P:$P,MATCH(Q614,EUwideConstants!$S:$S,0))))</f>
        <v/>
      </c>
      <c r="I614" s="26" t="str">
        <f>IF(H614="","",IF(S614=0,EUconst_NA,IF(ISERROR(S614),"",EUconst_MsgTierActivityLevel &amp; " " &amp;S614)))</f>
        <v/>
      </c>
      <c r="J614" s="27"/>
      <c r="K614" s="27"/>
      <c r="L614" s="27"/>
      <c r="M614" s="27"/>
      <c r="N614" s="28"/>
      <c r="P614" s="29"/>
      <c r="Q614" s="92" t="str">
        <f>EUconst_CNTR_ActivityData&amp;H585</f>
        <v>ActivityData_</v>
      </c>
      <c r="R614" s="29"/>
      <c r="S614" s="32" t="str">
        <f>IF(H614="","",IF(H614=EUconst_NA,"",INDEX(EUwideConstants!$H:$O,MATCH(Q614,EUwideConstants!$S:$S,0),MATCH(H614,CNTR_TierList,0))))</f>
        <v/>
      </c>
      <c r="T614" s="23"/>
      <c r="U614" s="23"/>
      <c r="V614" s="23"/>
      <c r="W614" s="23"/>
    </row>
    <row r="615" spans="1:23" s="24" customFormat="1" ht="12.75" customHeight="1" outlineLevel="1" x14ac:dyDescent="0.2">
      <c r="A615" s="23"/>
      <c r="D615" s="13" t="s">
        <v>1022</v>
      </c>
      <c r="E615" s="14" t="str">
        <f>Translations!$B$478</f>
        <v>Activity data tier used:</v>
      </c>
      <c r="H615" s="192"/>
      <c r="I615" s="26" t="str">
        <f>IF(OR(ISBLANK(H615),H615=EUconst_NoTier),"",IF(S615=0,EUconst_NA,IF(ISERROR(S615),"",EUconst_MsgTierActivityLevel &amp; " " &amp;S615)))</f>
        <v/>
      </c>
      <c r="J615" s="27"/>
      <c r="K615" s="27"/>
      <c r="L615" s="27"/>
      <c r="M615" s="27"/>
      <c r="N615" s="28"/>
      <c r="P615" s="29"/>
      <c r="Q615" s="92" t="str">
        <f>EUconst_CNTR_ActivityData&amp;H585</f>
        <v>ActivityData_</v>
      </c>
      <c r="R615" s="29"/>
      <c r="S615" s="32" t="str">
        <f>IF(ISBLANK(H615),"",IF(H615=EUconst_NA,"",INDEX(EUwideConstants!$H:$O,MATCH(Q615,EUwideConstants!$S:$S,0),MATCH(H615,CNTR_TierList,0))))</f>
        <v/>
      </c>
      <c r="T615" s="23"/>
      <c r="U615" s="23"/>
      <c r="V615" s="23"/>
      <c r="W615" s="23"/>
    </row>
    <row r="616" spans="1:23" s="24" customFormat="1" ht="12.75" customHeight="1" outlineLevel="1" x14ac:dyDescent="0.2">
      <c r="A616" s="23"/>
      <c r="D616" s="13" t="s">
        <v>1023</v>
      </c>
      <c r="E616" s="14" t="str">
        <f>Translations!$B$479</f>
        <v>Uncertainty achieved:</v>
      </c>
      <c r="H616" s="229"/>
      <c r="I616" s="14" t="str">
        <f>Translations!$B$480</f>
        <v>Comment:</v>
      </c>
      <c r="J616" s="193"/>
      <c r="K616" s="194"/>
      <c r="L616" s="194"/>
      <c r="M616" s="194"/>
      <c r="N616" s="195"/>
      <c r="P616" s="29"/>
      <c r="Q616" s="29"/>
      <c r="R616" s="29"/>
      <c r="S616" s="23"/>
      <c r="T616" s="23"/>
      <c r="U616" s="23"/>
      <c r="V616" s="23"/>
      <c r="W616" s="23"/>
    </row>
    <row r="617" spans="1:23" s="24" customFormat="1" ht="5.0999999999999996" customHeight="1" outlineLevel="1" x14ac:dyDescent="0.2">
      <c r="A617" s="23"/>
      <c r="D617" s="13"/>
      <c r="E617" s="67"/>
      <c r="F617" s="67"/>
      <c r="G617" s="67"/>
      <c r="H617" s="67"/>
      <c r="I617" s="67"/>
      <c r="J617" s="67"/>
      <c r="K617" s="67"/>
      <c r="L617" s="67"/>
      <c r="M617" s="67"/>
      <c r="N617" s="67"/>
      <c r="P617" s="29"/>
      <c r="Q617" s="29"/>
      <c r="R617" s="29"/>
      <c r="S617" s="23"/>
      <c r="T617" s="23"/>
      <c r="U617" s="23"/>
      <c r="V617" s="23"/>
      <c r="W617" s="23"/>
    </row>
    <row r="618" spans="1:23" s="24" customFormat="1" ht="15" customHeight="1" outlineLevel="1" x14ac:dyDescent="0.2">
      <c r="A618" s="23"/>
      <c r="D618" s="1040" t="str">
        <f>Translations!$B$490</f>
        <v>Calculation factors:</v>
      </c>
      <c r="E618" s="1040"/>
      <c r="F618" s="1040"/>
      <c r="G618" s="1040"/>
      <c r="H618" s="1040"/>
      <c r="I618" s="1040"/>
      <c r="J618" s="1040"/>
      <c r="K618" s="1040"/>
      <c r="L618" s="1040"/>
      <c r="M618" s="1040"/>
      <c r="N618" s="1040"/>
      <c r="P618" s="29"/>
      <c r="Q618" s="29"/>
      <c r="R618" s="29"/>
      <c r="S618" s="29"/>
      <c r="T618" s="6"/>
      <c r="U618" s="23"/>
      <c r="V618" s="23"/>
      <c r="W618" s="23"/>
    </row>
    <row r="619" spans="1:23" s="24" customFormat="1" ht="5.0999999999999996" customHeight="1" outlineLevel="1" x14ac:dyDescent="0.2">
      <c r="A619" s="23"/>
      <c r="D619" s="13"/>
      <c r="E619" s="14"/>
      <c r="P619" s="29"/>
      <c r="Q619" s="29"/>
      <c r="R619" s="29"/>
      <c r="S619" s="29"/>
      <c r="T619" s="6"/>
      <c r="U619" s="23"/>
      <c r="V619" s="23"/>
      <c r="W619" s="23"/>
    </row>
    <row r="620" spans="1:23" s="24" customFormat="1" ht="12.75" customHeight="1" outlineLevel="1" x14ac:dyDescent="0.2">
      <c r="A620" s="23"/>
      <c r="D620" s="13" t="s">
        <v>1019</v>
      </c>
      <c r="E620" s="14" t="str">
        <f>Translations!$B$515</f>
        <v>Applied tiers for calculation factors:</v>
      </c>
      <c r="P620" s="29"/>
      <c r="Q620" s="29"/>
      <c r="R620" s="29"/>
      <c r="S620" s="29"/>
      <c r="T620" s="23"/>
      <c r="U620" s="23"/>
      <c r="V620" s="23"/>
      <c r="W620" s="23"/>
    </row>
    <row r="621" spans="1:23" s="24" customFormat="1" ht="5.0999999999999996" customHeight="1" outlineLevel="1" x14ac:dyDescent="0.2">
      <c r="A621" s="23"/>
      <c r="D621" s="13"/>
      <c r="E621" s="14"/>
      <c r="P621" s="29"/>
      <c r="Q621" s="29"/>
      <c r="R621" s="29"/>
      <c r="S621" s="29"/>
      <c r="T621" s="23"/>
      <c r="U621" s="23"/>
      <c r="V621" s="23"/>
      <c r="W621" s="23"/>
    </row>
    <row r="622" spans="1:23" s="24" customFormat="1" ht="25.5" customHeight="1" outlineLevel="1" x14ac:dyDescent="0.2">
      <c r="A622" s="23"/>
      <c r="E622" s="1044" t="str">
        <f>Translations!$B$516</f>
        <v>calculation factor</v>
      </c>
      <c r="F622" s="1044"/>
      <c r="G622" s="1044"/>
      <c r="H622" s="50" t="str">
        <f>Translations!$B$517</f>
        <v>required tier</v>
      </c>
      <c r="I622" s="50" t="str">
        <f>Translations!$B$518</f>
        <v>applied tier</v>
      </c>
      <c r="J622" s="1046" t="str">
        <f>Translations!$B$519</f>
        <v>full text for applied tier</v>
      </c>
      <c r="K622" s="1047"/>
      <c r="L622" s="1047"/>
      <c r="M622" s="1047"/>
      <c r="N622" s="1048"/>
      <c r="P622" s="29"/>
      <c r="Q622" s="29"/>
      <c r="R622" s="29"/>
      <c r="S622" s="15" t="s">
        <v>1038</v>
      </c>
      <c r="T622" s="23"/>
      <c r="U622" s="23"/>
      <c r="V622" s="23"/>
      <c r="W622" s="52" t="s">
        <v>1295</v>
      </c>
    </row>
    <row r="623" spans="1:23" s="24" customFormat="1" ht="12.75" customHeight="1" outlineLevel="1" x14ac:dyDescent="0.2">
      <c r="A623" s="23"/>
      <c r="D623" s="25" t="s">
        <v>1030</v>
      </c>
      <c r="E623" s="1039" t="str">
        <f>Translations!$B$520</f>
        <v>Net calorific value (NCV)</v>
      </c>
      <c r="F623" s="1039"/>
      <c r="G623" s="1039"/>
      <c r="H623" s="30" t="str">
        <f>IF(H585="","",IF(CNTR_Category="A",INDEX(EUwideConstants!$G:$G,MATCH(Q623,EUwideConstants!$S:$S,0)),INDEX(EUwideConstants!$P:$P,MATCH(Q623,EUwideConstants!$S:$S,0))))</f>
        <v/>
      </c>
      <c r="I623" s="192"/>
      <c r="J623" s="1041" t="str">
        <f t="shared" ref="J623:J628" si="39">IF(OR(ISBLANK(I623),I623=EUconst_NoTier),"",IF(S623=0,EUconst_NotApplicable,IF(ISERROR(S623),"",S623)))</f>
        <v/>
      </c>
      <c r="K623" s="1042"/>
      <c r="L623" s="1042"/>
      <c r="M623" s="1042"/>
      <c r="N623" s="1043"/>
      <c r="P623" s="29"/>
      <c r="Q623" s="92" t="str">
        <f>EUconst_CNTR_NCV&amp;H585</f>
        <v>NCV_</v>
      </c>
      <c r="R623" s="29"/>
      <c r="S623" s="31" t="str">
        <f>IF(ISBLANK(I623),"",IF(I623=EUconst_NA,"",INDEX(EUwideConstants!$H:$O,MATCH(Q623,EUwideConstants!$S:$S,0),MATCH(I623,CNTR_TierList,0))))</f>
        <v/>
      </c>
      <c r="T623" s="23"/>
      <c r="U623" s="23"/>
      <c r="V623" s="23"/>
      <c r="W623" s="32" t="b">
        <f t="shared" ref="W623:W628" si="40">(H623=EUconst_NA)</f>
        <v>0</v>
      </c>
    </row>
    <row r="624" spans="1:23" s="24" customFormat="1" ht="12.75" customHeight="1" outlineLevel="1" x14ac:dyDescent="0.2">
      <c r="A624" s="23"/>
      <c r="D624" s="25" t="s">
        <v>1031</v>
      </c>
      <c r="E624" s="1039" t="str">
        <f>Translations!$B$521</f>
        <v>Emission factor (preliminary)</v>
      </c>
      <c r="F624" s="1039"/>
      <c r="G624" s="1039"/>
      <c r="H624" s="30" t="str">
        <f>IF(H585="","",IF(CNTR_Category="A",INDEX(EUwideConstants!$G:$G,MATCH(Q624,EUwideConstants!$S:$S,0)),INDEX(EUwideConstants!$P:$P,MATCH(Q624,EUwideConstants!$S:$S,0))))</f>
        <v/>
      </c>
      <c r="I624" s="192"/>
      <c r="J624" s="1041" t="str">
        <f t="shared" si="39"/>
        <v/>
      </c>
      <c r="K624" s="1042"/>
      <c r="L624" s="1042"/>
      <c r="M624" s="1042"/>
      <c r="N624" s="1043"/>
      <c r="P624" s="29"/>
      <c r="Q624" s="92" t="str">
        <f>EUconst_CNTR_EF&amp;H585</f>
        <v>EF_</v>
      </c>
      <c r="R624" s="29"/>
      <c r="S624" s="31" t="str">
        <f>IF(ISBLANK(I624),"",IF(I624=EUconst_NA,"",INDEX(EUwideConstants!$H:$O,MATCH(Q624,EUwideConstants!$S:$S,0),MATCH(I624,CNTR_TierList,0))))</f>
        <v/>
      </c>
      <c r="T624" s="23"/>
      <c r="U624" s="23"/>
      <c r="V624" s="23"/>
      <c r="W624" s="32" t="b">
        <f t="shared" si="40"/>
        <v>0</v>
      </c>
    </row>
    <row r="625" spans="1:23" s="24" customFormat="1" ht="12.75" customHeight="1" outlineLevel="1" x14ac:dyDescent="0.2">
      <c r="A625" s="23"/>
      <c r="D625" s="25" t="s">
        <v>1468</v>
      </c>
      <c r="E625" s="1039" t="str">
        <f>Translations!$B$522</f>
        <v>Oxidation factor</v>
      </c>
      <c r="F625" s="1039"/>
      <c r="G625" s="1039"/>
      <c r="H625" s="30" t="str">
        <f>IF(H585="","",IF(CNTR_Category="A",INDEX(EUwideConstants!$G:$G,MATCH(Q625,EUwideConstants!$S:$S,0)),INDEX(EUwideConstants!$P:$P,MATCH(Q625,EUwideConstants!$S:$S,0))))</f>
        <v/>
      </c>
      <c r="I625" s="192"/>
      <c r="J625" s="1041" t="str">
        <f t="shared" si="39"/>
        <v/>
      </c>
      <c r="K625" s="1042"/>
      <c r="L625" s="1042"/>
      <c r="M625" s="1042"/>
      <c r="N625" s="1043"/>
      <c r="P625" s="29"/>
      <c r="Q625" s="92" t="str">
        <f>EUconst_CNTR_OxidationFactor&amp;H585</f>
        <v>OxF_</v>
      </c>
      <c r="R625" s="29"/>
      <c r="S625" s="31" t="str">
        <f>IF(ISBLANK(I625),"",IF(I625=EUconst_NA,"",INDEX(EUwideConstants!$H:$O,MATCH(Q625,EUwideConstants!$S:$S,0),MATCH(I625,CNTR_TierList,0))))</f>
        <v/>
      </c>
      <c r="T625" s="23"/>
      <c r="U625" s="23"/>
      <c r="V625" s="23"/>
      <c r="W625" s="32" t="b">
        <f t="shared" si="40"/>
        <v>0</v>
      </c>
    </row>
    <row r="626" spans="1:23" s="24" customFormat="1" ht="12.75" customHeight="1" outlineLevel="1" x14ac:dyDescent="0.2">
      <c r="A626" s="23"/>
      <c r="D626" s="25" t="s">
        <v>1469</v>
      </c>
      <c r="E626" s="1039" t="str">
        <f>Translations!$B$523</f>
        <v>Conversion factor</v>
      </c>
      <c r="F626" s="1039"/>
      <c r="G626" s="1039"/>
      <c r="H626" s="30" t="str">
        <f>IF(H585="","",IF(CNTR_Category="A",INDEX(EUwideConstants!$G:$G,MATCH(Q626,EUwideConstants!$S:$S,0)),INDEX(EUwideConstants!$P:$P,MATCH(Q626,EUwideConstants!$S:$S,0))))</f>
        <v/>
      </c>
      <c r="I626" s="192"/>
      <c r="J626" s="1041" t="str">
        <f t="shared" si="39"/>
        <v/>
      </c>
      <c r="K626" s="1042"/>
      <c r="L626" s="1042"/>
      <c r="M626" s="1042"/>
      <c r="N626" s="1043"/>
      <c r="P626" s="29"/>
      <c r="Q626" s="92" t="str">
        <f>EUconst_CNTR_ConversionFactor&amp;H585</f>
        <v>ConvF_</v>
      </c>
      <c r="R626" s="29"/>
      <c r="S626" s="31" t="str">
        <f>IF(ISBLANK(I626),"",IF(I626=EUconst_NA,"",INDEX(EUwideConstants!$H:$O,MATCH(Q626,EUwideConstants!$S:$S,0),MATCH(I626,CNTR_TierList,0))))</f>
        <v/>
      </c>
      <c r="T626" s="23"/>
      <c r="U626" s="23"/>
      <c r="V626" s="23"/>
      <c r="W626" s="32" t="b">
        <f t="shared" si="40"/>
        <v>0</v>
      </c>
    </row>
    <row r="627" spans="1:23" s="24" customFormat="1" ht="12.75" customHeight="1" outlineLevel="1" x14ac:dyDescent="0.2">
      <c r="A627" s="23"/>
      <c r="D627" s="25" t="s">
        <v>1470</v>
      </c>
      <c r="E627" s="1039" t="str">
        <f>Translations!$B$524</f>
        <v>Carbon content</v>
      </c>
      <c r="F627" s="1039"/>
      <c r="G627" s="1039"/>
      <c r="H627" s="30" t="str">
        <f>IF(H585="","",IF(CNTR_Category="A",INDEX(EUwideConstants!$G:$G,MATCH(Q627,EUwideConstants!$S:$S,0)),INDEX(EUwideConstants!$P:$P,MATCH(Q627,EUwideConstants!$S:$S,0))))</f>
        <v/>
      </c>
      <c r="I627" s="192"/>
      <c r="J627" s="1041" t="str">
        <f t="shared" si="39"/>
        <v/>
      </c>
      <c r="K627" s="1042"/>
      <c r="L627" s="1042"/>
      <c r="M627" s="1042"/>
      <c r="N627" s="1043"/>
      <c r="P627" s="209"/>
      <c r="Q627" s="92" t="str">
        <f>EUconst_CNTR_CarbonContent&amp;H585</f>
        <v>CarbC_</v>
      </c>
      <c r="R627" s="29"/>
      <c r="S627" s="31" t="str">
        <f>IF(ISBLANK(I627),"",IF(I627=EUconst_NA,"",INDEX(EUwideConstants!$H:$O,MATCH(Q627,EUwideConstants!$S:$S,0),MATCH(I627,CNTR_TierList,0))))</f>
        <v/>
      </c>
      <c r="T627" s="23"/>
      <c r="U627" s="23"/>
      <c r="V627" s="23"/>
      <c r="W627" s="32" t="b">
        <f t="shared" si="40"/>
        <v>0</v>
      </c>
    </row>
    <row r="628" spans="1:23" s="24" customFormat="1" ht="12.75" customHeight="1" outlineLevel="1" x14ac:dyDescent="0.2">
      <c r="A628" s="23"/>
      <c r="D628" s="25" t="s">
        <v>1471</v>
      </c>
      <c r="E628" s="1039" t="str">
        <f>Translations!$B$525</f>
        <v>Biomass fraction (if applicable)</v>
      </c>
      <c r="F628" s="1039"/>
      <c r="G628" s="1039"/>
      <c r="H628" s="30" t="str">
        <f>IF(H585="","",IF(CNTR_Category="A",INDEX(EUwideConstants!$G:$G,MATCH(Q628,EUwideConstants!$S:$S,0)),INDEX(EUwideConstants!$P:$P,MATCH(Q628,EUwideConstants!$S:$S,0))))</f>
        <v/>
      </c>
      <c r="I628" s="192"/>
      <c r="J628" s="1041" t="str">
        <f t="shared" si="39"/>
        <v/>
      </c>
      <c r="K628" s="1042"/>
      <c r="L628" s="1042"/>
      <c r="M628" s="1042"/>
      <c r="N628" s="1043"/>
      <c r="P628" s="29"/>
      <c r="Q628" s="92" t="str">
        <f>EUconst_CNTR_BiomassContent&amp;H585</f>
        <v>BioC_</v>
      </c>
      <c r="R628" s="29"/>
      <c r="S628" s="31" t="str">
        <f>IF(ISBLANK(I628),"",IF(I628=EUconst_NA,"",INDEX(EUwideConstants!$H:$O,MATCH(Q628,EUwideConstants!$S:$S,0),MATCH(I628,CNTR_TierList,0))))</f>
        <v/>
      </c>
      <c r="T628" s="23"/>
      <c r="U628" s="23"/>
      <c r="V628" s="23"/>
      <c r="W628" s="32" t="b">
        <f t="shared" si="40"/>
        <v>0</v>
      </c>
    </row>
    <row r="629" spans="1:23" s="24" customFormat="1" outlineLevel="1" x14ac:dyDescent="0.2">
      <c r="A629" s="23"/>
      <c r="D629" s="13"/>
      <c r="E629" s="67"/>
      <c r="F629" s="67"/>
      <c r="G629" s="67"/>
      <c r="H629" s="67"/>
      <c r="I629" s="67"/>
      <c r="J629" s="67"/>
      <c r="K629" s="67"/>
      <c r="L629" s="67"/>
      <c r="M629" s="67"/>
      <c r="N629" s="67"/>
      <c r="P629" s="29"/>
      <c r="Q629" s="23"/>
      <c r="R629" s="23"/>
      <c r="S629" s="23"/>
      <c r="T629" s="23"/>
      <c r="U629" s="23"/>
      <c r="V629" s="23"/>
      <c r="W629" s="23"/>
    </row>
    <row r="630" spans="1:23" s="24" customFormat="1" outlineLevel="1" x14ac:dyDescent="0.2">
      <c r="A630" s="23"/>
      <c r="D630" s="13" t="s">
        <v>1349</v>
      </c>
      <c r="E630" s="14" t="str">
        <f>Translations!$B$534</f>
        <v>Details for calculation factors:</v>
      </c>
      <c r="F630" s="67"/>
      <c r="G630" s="67"/>
      <c r="H630" s="67"/>
      <c r="I630" s="67"/>
      <c r="J630" s="67"/>
      <c r="K630" s="67"/>
      <c r="L630" s="67"/>
      <c r="M630" s="67"/>
      <c r="N630" s="67"/>
      <c r="P630" s="29"/>
      <c r="Q630" s="23"/>
      <c r="R630" s="23"/>
      <c r="S630" s="23"/>
      <c r="T630" s="23"/>
      <c r="U630" s="23"/>
      <c r="V630" s="23"/>
      <c r="W630" s="23"/>
    </row>
    <row r="631" spans="1:23" s="24" customFormat="1" ht="5.0999999999999996" customHeight="1" outlineLevel="1" x14ac:dyDescent="0.2">
      <c r="A631" s="23"/>
      <c r="D631" s="13"/>
      <c r="E631" s="67"/>
      <c r="F631" s="67"/>
      <c r="G631" s="67"/>
      <c r="H631" s="67"/>
      <c r="I631" s="67"/>
      <c r="J631" s="67"/>
      <c r="K631" s="67"/>
      <c r="L631" s="67"/>
      <c r="M631" s="67"/>
      <c r="N631" s="67"/>
      <c r="P631" s="29"/>
      <c r="Q631" s="23"/>
      <c r="R631" s="23"/>
      <c r="S631" s="23"/>
      <c r="T631" s="23"/>
      <c r="U631" s="23"/>
      <c r="V631" s="23"/>
      <c r="W631" s="23"/>
    </row>
    <row r="632" spans="1:23" s="24" customFormat="1" ht="25.5" customHeight="1" outlineLevel="1" x14ac:dyDescent="0.2">
      <c r="A632" s="23"/>
      <c r="E632" s="1044" t="str">
        <f t="shared" ref="E632:E638" si="41">E622</f>
        <v>calculation factor</v>
      </c>
      <c r="F632" s="1044"/>
      <c r="G632" s="1044"/>
      <c r="H632" s="50" t="str">
        <f>I622</f>
        <v>applied tier</v>
      </c>
      <c r="I632" s="51" t="str">
        <f>Translations!$B$535</f>
        <v>default value</v>
      </c>
      <c r="J632" s="51" t="str">
        <f>Translations!$B$536</f>
        <v>Unit</v>
      </c>
      <c r="K632" s="51" t="str">
        <f>Translations!$B$537</f>
        <v>source ref</v>
      </c>
      <c r="L632" s="51" t="str">
        <f>Translations!$B$538</f>
        <v>analysis ref</v>
      </c>
      <c r="M632" s="51" t="str">
        <f>Translations!$B$539</f>
        <v>sampling ref</v>
      </c>
      <c r="N632" s="51" t="str">
        <f>Translations!$B$540</f>
        <v>Analysis frequency</v>
      </c>
      <c r="P632" s="29"/>
      <c r="Q632" s="23"/>
      <c r="R632" s="23"/>
      <c r="S632" s="52" t="s">
        <v>384</v>
      </c>
      <c r="T632" s="23"/>
      <c r="U632" s="23"/>
      <c r="V632" s="23"/>
      <c r="W632" s="52" t="s">
        <v>1295</v>
      </c>
    </row>
    <row r="633" spans="1:23" s="24" customFormat="1" ht="12.75" customHeight="1" outlineLevel="1" x14ac:dyDescent="0.2">
      <c r="A633" s="23"/>
      <c r="D633" s="25" t="s">
        <v>1030</v>
      </c>
      <c r="E633" s="1039" t="str">
        <f t="shared" si="41"/>
        <v>Net calorific value (NCV)</v>
      </c>
      <c r="F633" s="1039"/>
      <c r="G633" s="1039"/>
      <c r="H633" s="30" t="str">
        <f t="shared" ref="H633:H638" si="42">IF(OR(ISBLANK(I623),I623=EUconst_NA),"",I623)</f>
        <v/>
      </c>
      <c r="I633" s="192"/>
      <c r="J633" s="192"/>
      <c r="K633" s="214"/>
      <c r="L633" s="213"/>
      <c r="M633" s="213"/>
      <c r="N633" s="196"/>
      <c r="P633" s="209"/>
      <c r="Q633" s="23"/>
      <c r="R633" s="23"/>
      <c r="S633" s="63" t="str">
        <f>IF(H633="","",IF(I623=EUconst_NA,"",INDEX(EUwideConstants!$AL:$AR,MATCH(Q623,EUwideConstants!$S:$S,0),MATCH(I623,CNTR_TierList,0))))</f>
        <v/>
      </c>
      <c r="T633" s="23"/>
      <c r="U633" s="23"/>
      <c r="V633" s="23"/>
      <c r="W633" s="32" t="b">
        <f t="shared" ref="W633:W638" si="43">OR(H633="",H633=EUconst_NA,J623=EUconst_NotApplicable)</f>
        <v>1</v>
      </c>
    </row>
    <row r="634" spans="1:23" s="24" customFormat="1" ht="12.75" customHeight="1" outlineLevel="1" x14ac:dyDescent="0.2">
      <c r="A634" s="23"/>
      <c r="D634" s="25" t="s">
        <v>1031</v>
      </c>
      <c r="E634" s="1039" t="str">
        <f t="shared" si="41"/>
        <v>Emission factor (preliminary)</v>
      </c>
      <c r="F634" s="1039"/>
      <c r="G634" s="1039"/>
      <c r="H634" s="30" t="str">
        <f t="shared" si="42"/>
        <v/>
      </c>
      <c r="I634" s="197"/>
      <c r="J634" s="192"/>
      <c r="K634" s="213"/>
      <c r="L634" s="271"/>
      <c r="M634" s="271"/>
      <c r="N634" s="196"/>
      <c r="P634" s="29"/>
      <c r="Q634" s="23"/>
      <c r="R634" s="23"/>
      <c r="S634" s="63" t="str">
        <f>IF(H634="","",IF(I624=EUconst_NA,"",INDEX(EUwideConstants!$AL:$AR,MATCH(Q624,EUwideConstants!$S:$S,0),MATCH(I624,CNTR_TierList,0))))</f>
        <v/>
      </c>
      <c r="T634" s="23"/>
      <c r="U634" s="23"/>
      <c r="V634" s="23"/>
      <c r="W634" s="32" t="b">
        <f t="shared" si="43"/>
        <v>1</v>
      </c>
    </row>
    <row r="635" spans="1:23" s="24" customFormat="1" ht="12.75" customHeight="1" outlineLevel="1" x14ac:dyDescent="0.2">
      <c r="A635" s="23"/>
      <c r="D635" s="25" t="s">
        <v>1468</v>
      </c>
      <c r="E635" s="1039" t="str">
        <f t="shared" si="41"/>
        <v>Oxidation factor</v>
      </c>
      <c r="F635" s="1039"/>
      <c r="G635" s="1039"/>
      <c r="H635" s="30" t="str">
        <f t="shared" si="42"/>
        <v/>
      </c>
      <c r="I635" s="192"/>
      <c r="J635" s="192"/>
      <c r="K635" s="213"/>
      <c r="L635" s="213"/>
      <c r="M635" s="213"/>
      <c r="N635" s="196"/>
      <c r="P635" s="29"/>
      <c r="Q635" s="23"/>
      <c r="R635" s="23"/>
      <c r="S635" s="63" t="str">
        <f>IF(H635="","",IF(I625=EUconst_NA,"",INDEX(EUwideConstants!$AL:$AR,MATCH(Q625,EUwideConstants!$S:$S,0),MATCH(I625,CNTR_TierList,0))))</f>
        <v/>
      </c>
      <c r="T635" s="23"/>
      <c r="U635" s="23"/>
      <c r="V635" s="23"/>
      <c r="W635" s="32" t="b">
        <f t="shared" si="43"/>
        <v>1</v>
      </c>
    </row>
    <row r="636" spans="1:23" s="24" customFormat="1" ht="12.75" customHeight="1" outlineLevel="1" x14ac:dyDescent="0.2">
      <c r="A636" s="23"/>
      <c r="D636" s="25" t="s">
        <v>1469</v>
      </c>
      <c r="E636" s="1039" t="str">
        <f t="shared" si="41"/>
        <v>Conversion factor</v>
      </c>
      <c r="F636" s="1039"/>
      <c r="G636" s="1039"/>
      <c r="H636" s="30" t="str">
        <f t="shared" si="42"/>
        <v/>
      </c>
      <c r="I636" s="192"/>
      <c r="J636" s="192"/>
      <c r="K636" s="213"/>
      <c r="L636" s="271"/>
      <c r="M636" s="213"/>
      <c r="N636" s="196"/>
      <c r="P636" s="29"/>
      <c r="Q636" s="23"/>
      <c r="R636" s="23"/>
      <c r="S636" s="63" t="str">
        <f>IF(H636="","",IF(I626=EUconst_NA,"",INDEX(EUwideConstants!$AL:$AR,MATCH(Q626,EUwideConstants!$S:$S,0),MATCH(I626,CNTR_TierList,0))))</f>
        <v/>
      </c>
      <c r="T636" s="23"/>
      <c r="U636" s="23"/>
      <c r="V636" s="23"/>
      <c r="W636" s="32" t="b">
        <f t="shared" si="43"/>
        <v>1</v>
      </c>
    </row>
    <row r="637" spans="1:23" s="24" customFormat="1" ht="12.75" customHeight="1" outlineLevel="1" x14ac:dyDescent="0.2">
      <c r="A637" s="23"/>
      <c r="D637" s="25" t="s">
        <v>1470</v>
      </c>
      <c r="E637" s="1039" t="str">
        <f t="shared" si="41"/>
        <v>Carbon content</v>
      </c>
      <c r="F637" s="1039"/>
      <c r="G637" s="1039"/>
      <c r="H637" s="30" t="str">
        <f t="shared" si="42"/>
        <v/>
      </c>
      <c r="I637" s="192"/>
      <c r="J637" s="192"/>
      <c r="K637" s="213"/>
      <c r="L637" s="213"/>
      <c r="M637" s="213"/>
      <c r="N637" s="196"/>
      <c r="P637" s="29"/>
      <c r="Q637" s="23"/>
      <c r="R637" s="23"/>
      <c r="S637" s="63" t="str">
        <f>IF(H637="","",IF(I627=EUconst_NA,"",INDEX(EUwideConstants!$AL:$AR,MATCH(Q627,EUwideConstants!$S:$S,0),MATCH(I627,CNTR_TierList,0))))</f>
        <v/>
      </c>
      <c r="T637" s="23"/>
      <c r="U637" s="23"/>
      <c r="V637" s="23"/>
      <c r="W637" s="32" t="b">
        <f t="shared" si="43"/>
        <v>1</v>
      </c>
    </row>
    <row r="638" spans="1:23" s="24" customFormat="1" ht="12.75" customHeight="1" outlineLevel="1" x14ac:dyDescent="0.2">
      <c r="A638" s="23"/>
      <c r="D638" s="25" t="s">
        <v>1471</v>
      </c>
      <c r="E638" s="1039" t="str">
        <f t="shared" si="41"/>
        <v>Biomass fraction (if applicable)</v>
      </c>
      <c r="F638" s="1039"/>
      <c r="G638" s="1039"/>
      <c r="H638" s="30" t="str">
        <f t="shared" si="42"/>
        <v/>
      </c>
      <c r="I638" s="192"/>
      <c r="J638" s="197"/>
      <c r="K638" s="213"/>
      <c r="L638" s="213"/>
      <c r="M638" s="213"/>
      <c r="N638" s="196"/>
      <c r="P638" s="47"/>
      <c r="Q638" s="23"/>
      <c r="R638" s="23"/>
      <c r="S638" s="63" t="str">
        <f>IF(H638="","",IF(I628=EUconst_NA,"",INDEX(EUwideConstants!$AL:$AR,MATCH(Q628,EUwideConstants!$S:$S,0),MATCH(I628,CNTR_TierList,0))))</f>
        <v/>
      </c>
      <c r="T638" s="23"/>
      <c r="U638" s="23"/>
      <c r="V638" s="23"/>
      <c r="W638" s="32" t="b">
        <f t="shared" si="43"/>
        <v>1</v>
      </c>
    </row>
    <row r="639" spans="1:23" s="24" customFormat="1" ht="12.75" customHeight="1" outlineLevel="1" x14ac:dyDescent="0.2">
      <c r="A639" s="23"/>
      <c r="D639" s="13"/>
      <c r="P639" s="29"/>
      <c r="Q639" s="23"/>
      <c r="R639" s="23"/>
      <c r="S639" s="23"/>
      <c r="T639" s="23"/>
      <c r="U639" s="23"/>
      <c r="V639" s="23"/>
      <c r="W639" s="23"/>
    </row>
    <row r="640" spans="1:23" s="24" customFormat="1" ht="15" customHeight="1" outlineLevel="1" x14ac:dyDescent="0.2">
      <c r="A640" s="23"/>
      <c r="D640" s="1040" t="str">
        <f>Translations!$B$545</f>
        <v>Comments and explanations:</v>
      </c>
      <c r="E640" s="1040"/>
      <c r="F640" s="1040"/>
      <c r="G640" s="1040"/>
      <c r="H640" s="1040"/>
      <c r="I640" s="1040"/>
      <c r="J640" s="1040"/>
      <c r="K640" s="1040"/>
      <c r="L640" s="1040"/>
      <c r="M640" s="1040"/>
      <c r="N640" s="1040"/>
      <c r="P640" s="29"/>
      <c r="Q640" s="29"/>
      <c r="R640" s="29"/>
      <c r="S640" s="29"/>
      <c r="T640" s="6"/>
      <c r="U640" s="23"/>
      <c r="V640" s="23"/>
      <c r="W640" s="23"/>
    </row>
    <row r="641" spans="1:23" s="24" customFormat="1" ht="5.0999999999999996" customHeight="1" outlineLevel="1" x14ac:dyDescent="0.2">
      <c r="A641" s="23"/>
      <c r="D641" s="13"/>
      <c r="P641" s="29"/>
      <c r="Q641" s="23"/>
      <c r="R641" s="23"/>
      <c r="S641" s="23"/>
      <c r="T641" s="23"/>
      <c r="U641" s="23"/>
      <c r="V641" s="23"/>
      <c r="W641" s="23"/>
    </row>
    <row r="642" spans="1:23" s="24" customFormat="1" ht="12.75" customHeight="1" outlineLevel="1" x14ac:dyDescent="0.2">
      <c r="A642" s="23"/>
      <c r="D642" s="13" t="s">
        <v>1351</v>
      </c>
      <c r="E642" s="946" t="str">
        <f>Translations!$B$1198</f>
        <v>Comments and justification if required tiers are not applied:</v>
      </c>
      <c r="F642" s="946"/>
      <c r="G642" s="946"/>
      <c r="H642" s="946"/>
      <c r="I642" s="946"/>
      <c r="J642" s="946"/>
      <c r="K642" s="946"/>
      <c r="L642" s="946"/>
      <c r="M642" s="946"/>
      <c r="N642" s="946"/>
      <c r="P642" s="29"/>
      <c r="Q642" s="23"/>
      <c r="R642" s="23"/>
      <c r="S642" s="23"/>
      <c r="T642" s="23"/>
      <c r="U642" s="23"/>
      <c r="V642" s="23"/>
      <c r="W642" s="23"/>
    </row>
    <row r="643" spans="1:23" s="24" customFormat="1" ht="5.0999999999999996" customHeight="1" outlineLevel="1" x14ac:dyDescent="0.2">
      <c r="A643" s="23"/>
      <c r="D643" s="13"/>
      <c r="E643" s="48"/>
      <c r="P643" s="29"/>
      <c r="Q643" s="23"/>
      <c r="R643" s="23"/>
      <c r="S643" s="23"/>
      <c r="T643" s="23"/>
      <c r="U643" s="23"/>
      <c r="V643" s="23"/>
      <c r="W643" s="23"/>
    </row>
    <row r="644" spans="1:23" s="24" customFormat="1" ht="12.75" customHeight="1" outlineLevel="1" x14ac:dyDescent="0.2">
      <c r="A644" s="23"/>
      <c r="D644" s="13"/>
      <c r="E644" s="1045"/>
      <c r="F644" s="955"/>
      <c r="G644" s="955"/>
      <c r="H644" s="955"/>
      <c r="I644" s="955"/>
      <c r="J644" s="955"/>
      <c r="K644" s="955"/>
      <c r="L644" s="955"/>
      <c r="M644" s="955"/>
      <c r="N644" s="956"/>
      <c r="P644" s="29"/>
      <c r="Q644" s="23"/>
      <c r="R644" s="23"/>
      <c r="S644" s="23"/>
      <c r="T644" s="23"/>
      <c r="U644" s="23"/>
      <c r="V644" s="23"/>
      <c r="W644" s="23"/>
    </row>
    <row r="645" spans="1:23" s="24" customFormat="1" ht="12.75" customHeight="1" outlineLevel="1" x14ac:dyDescent="0.2">
      <c r="A645" s="23"/>
      <c r="D645" s="13"/>
      <c r="E645" s="1037"/>
      <c r="F645" s="958"/>
      <c r="G645" s="958"/>
      <c r="H645" s="958"/>
      <c r="I645" s="958"/>
      <c r="J645" s="958"/>
      <c r="K645" s="958"/>
      <c r="L645" s="958"/>
      <c r="M645" s="958"/>
      <c r="N645" s="959"/>
      <c r="P645" s="29"/>
      <c r="Q645" s="23"/>
      <c r="R645" s="23"/>
      <c r="S645" s="23"/>
      <c r="T645" s="23"/>
      <c r="U645" s="23"/>
      <c r="V645" s="23"/>
      <c r="W645" s="23"/>
    </row>
    <row r="646" spans="1:23" s="24" customFormat="1" ht="12.75" customHeight="1" outlineLevel="1" x14ac:dyDescent="0.2">
      <c r="A646" s="23"/>
      <c r="D646" s="13"/>
      <c r="E646" s="1038"/>
      <c r="F646" s="961"/>
      <c r="G646" s="961"/>
      <c r="H646" s="961"/>
      <c r="I646" s="961"/>
      <c r="J646" s="961"/>
      <c r="K646" s="961"/>
      <c r="L646" s="961"/>
      <c r="M646" s="961"/>
      <c r="N646" s="962"/>
      <c r="P646" s="29"/>
      <c r="Q646" s="23"/>
      <c r="R646" s="23"/>
      <c r="S646" s="23"/>
      <c r="T646" s="23"/>
      <c r="U646" s="23"/>
      <c r="V646" s="23"/>
      <c r="W646" s="23"/>
    </row>
    <row r="647" spans="1:23" ht="12.75" customHeight="1" thickBot="1" x14ac:dyDescent="0.25">
      <c r="A647" s="72"/>
      <c r="C647" s="54"/>
      <c r="D647" s="55"/>
      <c r="E647" s="56"/>
      <c r="F647" s="54"/>
      <c r="G647" s="57"/>
      <c r="H647" s="57"/>
      <c r="I647" s="57"/>
      <c r="J647" s="57"/>
      <c r="K647" s="57"/>
      <c r="L647" s="57"/>
      <c r="M647" s="57"/>
      <c r="N647" s="57"/>
      <c r="O647" s="24"/>
      <c r="P647" s="15"/>
      <c r="Q647" s="72"/>
      <c r="R647" s="72"/>
      <c r="S647" s="75"/>
      <c r="T647" s="72"/>
      <c r="U647" s="72"/>
      <c r="V647" s="72"/>
      <c r="W647" s="72"/>
    </row>
    <row r="648" spans="1:23" ht="12.75" customHeight="1" thickBot="1" x14ac:dyDescent="0.25">
      <c r="A648" s="72"/>
      <c r="D648" s="13"/>
      <c r="E648" s="22"/>
      <c r="G648" s="2"/>
      <c r="H648" s="2"/>
      <c r="I648" s="2"/>
      <c r="J648" s="2"/>
      <c r="L648" s="2"/>
      <c r="M648" s="2"/>
      <c r="N648" s="2"/>
      <c r="O648" s="24"/>
      <c r="P648" s="15"/>
      <c r="Q648" s="72"/>
      <c r="R648" s="72"/>
      <c r="S648" s="66" t="s">
        <v>470</v>
      </c>
      <c r="T648" s="107" t="s">
        <v>471</v>
      </c>
      <c r="U648" s="107" t="s">
        <v>472</v>
      </c>
      <c r="V648" s="72"/>
      <c r="W648" s="72"/>
    </row>
    <row r="649" spans="1:23" s="186" customFormat="1" ht="15" customHeight="1" thickBot="1" x14ac:dyDescent="0.25">
      <c r="A649" s="76"/>
      <c r="B649" s="34"/>
      <c r="C649" s="35" t="str">
        <f>"F"&amp;Q649</f>
        <v>F9</v>
      </c>
      <c r="D649" s="1040" t="str">
        <f>CONCATENATE(Euconst_SourceStream," ", Q649,":")</f>
        <v>Source Stream 9:</v>
      </c>
      <c r="E649" s="1040"/>
      <c r="F649" s="1040"/>
      <c r="G649" s="1066"/>
      <c r="H649" s="1067" t="str">
        <f>IF(INDEX(C_InstallationDescription!$F$194:$F$204,MATCH(C649,C_InstallationDescription!$E$194:$E$204,0))&gt;0,INDEX(C_InstallationDescription!$F$194:$F$204,MATCH(C649,C_InstallationDescription!$E$194:$E$204,0)),"")</f>
        <v/>
      </c>
      <c r="I649" s="1067"/>
      <c r="J649" s="1067"/>
      <c r="K649" s="1067"/>
      <c r="L649" s="1068"/>
      <c r="M649" s="1069" t="str">
        <f>IF(S649=TRUE,IF(U649="",T649,U649),"")</f>
        <v/>
      </c>
      <c r="N649" s="1070"/>
      <c r="O649" s="24"/>
      <c r="P649" s="41"/>
      <c r="Q649" s="33">
        <f>Q583+1</f>
        <v>9</v>
      </c>
      <c r="R649" s="37"/>
      <c r="S649" s="40" t="b">
        <f>IF(INDEX(C_InstallationDescription!$M:$M,MATCH(Q651,C_InstallationDescription!$Q:$Q,0))="",FALSE,TRUE)</f>
        <v>0</v>
      </c>
      <c r="T649" s="92" t="str">
        <f>IF(S649=TRUE,INDEX(C_InstallationDescription!$M:$M,MATCH(Q651,C_InstallationDescription!$Q:$Q,0)),"")</f>
        <v/>
      </c>
      <c r="U649" s="40" t="str">
        <f>IF(S649=TRUE,IF(ISBLANK(INDEX(C_InstallationDescription!$N:$N,MATCH(Q651,C_InstallationDescription!$Q:$Q,0))),"",INDEX(C_InstallationDescription!$N:$N,MATCH(Q651,C_InstallationDescription!$Q:$Q,0))),"")</f>
        <v/>
      </c>
      <c r="V649" s="37"/>
      <c r="W649" s="37"/>
    </row>
    <row r="650" spans="1:23" s="24" customFormat="1" ht="5.0999999999999996" customHeight="1" x14ac:dyDescent="0.2">
      <c r="A650" s="72"/>
      <c r="B650" s="8"/>
      <c r="C650" s="8"/>
      <c r="D650" s="8"/>
      <c r="E650" s="8"/>
      <c r="F650" s="8"/>
      <c r="G650" s="8"/>
      <c r="H650" s="8"/>
      <c r="I650" s="8"/>
      <c r="J650" s="8"/>
      <c r="K650" s="8"/>
      <c r="L650" s="8"/>
      <c r="M650" s="7"/>
      <c r="N650" s="7"/>
      <c r="P650" s="17"/>
      <c r="Q650" s="12"/>
      <c r="R650" s="23"/>
      <c r="S650" s="23"/>
      <c r="T650" s="23"/>
      <c r="U650" s="23"/>
      <c r="V650" s="23"/>
      <c r="W650" s="23"/>
    </row>
    <row r="651" spans="1:23" s="24" customFormat="1" ht="12.75" customHeight="1" x14ac:dyDescent="0.2">
      <c r="A651" s="72"/>
      <c r="B651" s="8"/>
      <c r="C651" s="8"/>
      <c r="D651" s="13"/>
      <c r="E651" s="924" t="str">
        <f>Translations!$B$437</f>
        <v>Source stream type:</v>
      </c>
      <c r="F651" s="924"/>
      <c r="G651" s="925"/>
      <c r="H651" s="1071" t="str">
        <f>IF(INDEX(C_InstallationDescription!$I$194:$I$204,MATCH(C649,C_InstallationDescription!$E$194:$E$204,0))&gt;0,INDEX(C_InstallationDescription!$I$194:$I$204,MATCH(C649,C_InstallationDescription!$E$194:$E$204,0)),"")</f>
        <v/>
      </c>
      <c r="I651" s="1072"/>
      <c r="J651" s="1072"/>
      <c r="K651" s="1072"/>
      <c r="L651" s="1073"/>
      <c r="P651" s="17"/>
      <c r="Q651" s="39" t="str">
        <f>EUconst_CNTR_SourceCategory&amp;C649</f>
        <v>SourceCategory_F9</v>
      </c>
      <c r="R651" s="23"/>
      <c r="S651" s="23"/>
      <c r="T651" s="23"/>
      <c r="U651" s="23"/>
      <c r="V651" s="23"/>
      <c r="W651" s="23"/>
    </row>
    <row r="652" spans="1:23" s="24" customFormat="1" ht="12.75" customHeight="1" outlineLevel="1" x14ac:dyDescent="0.2">
      <c r="A652" s="23"/>
      <c r="B652" s="8"/>
      <c r="C652" s="8"/>
      <c r="D652" s="11"/>
      <c r="E652" s="924" t="str">
        <f>Translations!$B$438</f>
        <v>Method applicable according to MRR:</v>
      </c>
      <c r="F652" s="924"/>
      <c r="G652" s="925"/>
      <c r="H652" s="1062" t="str">
        <f>IF(H651="","",INDEX(EUwideConstants!F:F,MATCH(H651,EUwideConstants!Q:Q,0)))</f>
        <v/>
      </c>
      <c r="I652" s="1062"/>
      <c r="J652" s="1062"/>
      <c r="K652" s="1062"/>
      <c r="L652" s="1062"/>
      <c r="M652" s="2"/>
      <c r="N652" s="2"/>
      <c r="P652" s="17"/>
      <c r="Q652" s="12"/>
      <c r="R652" s="23"/>
      <c r="S652" s="23"/>
      <c r="T652" s="23"/>
      <c r="U652" s="23"/>
      <c r="V652" s="23"/>
      <c r="W652" s="23"/>
    </row>
    <row r="653" spans="1:23" s="24" customFormat="1" ht="12.75" customHeight="1" outlineLevel="1" x14ac:dyDescent="0.2">
      <c r="A653" s="23"/>
      <c r="D653" s="38"/>
      <c r="E653" s="924" t="str">
        <f>Translations!$B$439</f>
        <v>Parameter to which uncertainty applies:</v>
      </c>
      <c r="F653" s="924"/>
      <c r="G653" s="925"/>
      <c r="H653" s="1062" t="str">
        <f>IF(H651="","",INDEX(EUwideConstants!E:E,MATCH(H651,EUwideConstants!Q:Q,0)))</f>
        <v/>
      </c>
      <c r="I653" s="1062"/>
      <c r="J653" s="1062"/>
      <c r="K653" s="1062"/>
      <c r="L653" s="1062"/>
      <c r="P653" s="17"/>
      <c r="Q653" s="12"/>
      <c r="R653" s="23"/>
      <c r="S653" s="23"/>
      <c r="T653" s="23"/>
      <c r="U653" s="23"/>
      <c r="V653" s="23"/>
      <c r="W653" s="23"/>
    </row>
    <row r="654" spans="1:23" s="24" customFormat="1" ht="5.0999999999999996" customHeight="1" outlineLevel="1" x14ac:dyDescent="0.2">
      <c r="A654" s="23"/>
      <c r="P654" s="29"/>
      <c r="Q654" s="23"/>
      <c r="R654" s="23"/>
      <c r="S654" s="23"/>
      <c r="T654" s="23"/>
      <c r="U654" s="23"/>
      <c r="V654" s="23"/>
      <c r="W654" s="23"/>
    </row>
    <row r="655" spans="1:23" s="24" customFormat="1" ht="51" customHeight="1" outlineLevel="1" x14ac:dyDescent="0.2">
      <c r="A655" s="23"/>
      <c r="D655" s="13"/>
      <c r="E655" s="1063" t="str">
        <f>IF(H649="","",INDEX(EUconst_SmallEmiSouStreamMsg,MATCH(Q655,EUconst_SmallEmiSouStream,0)))</f>
        <v/>
      </c>
      <c r="F655" s="1064"/>
      <c r="G655" s="1064"/>
      <c r="H655" s="1064"/>
      <c r="I655" s="1064"/>
      <c r="J655" s="1064"/>
      <c r="K655" s="1064"/>
      <c r="L655" s="1064"/>
      <c r="M655" s="1064"/>
      <c r="N655" s="1065"/>
      <c r="P655" s="15"/>
      <c r="Q655" s="43" t="str">
        <f>IF(CNTR_SmallEmitter=TRUE,EUconst_CNTR_SmallEmitter,EUconst_CNTR_NoSmallEmitter) &amp; IF((CNTR_Category)="","C",CNTR_Category) &amp; "_" &amp; IF(M649="",1,MATCH(M649,SourceCategory,0))</f>
        <v>NoSmallEmitter_C_1</v>
      </c>
      <c r="R655" s="23"/>
      <c r="S655" s="23"/>
      <c r="T655" s="23"/>
      <c r="U655" s="23"/>
      <c r="V655" s="23"/>
      <c r="W655" s="23"/>
    </row>
    <row r="656" spans="1:23" s="24" customFormat="1" ht="12.75" customHeight="1" outlineLevel="1" x14ac:dyDescent="0.2">
      <c r="A656" s="23"/>
      <c r="D656" s="13"/>
      <c r="P656" s="29"/>
      <c r="Q656" s="23"/>
      <c r="R656" s="23"/>
      <c r="S656" s="23"/>
      <c r="T656" s="23"/>
      <c r="U656" s="23"/>
      <c r="V656" s="23"/>
      <c r="W656" s="23"/>
    </row>
    <row r="657" spans="1:23" s="24" customFormat="1" ht="15" customHeight="1" outlineLevel="1" x14ac:dyDescent="0.2">
      <c r="A657" s="23"/>
      <c r="D657" s="1040" t="str">
        <f>Translations!$B$454</f>
        <v>Activity Data:</v>
      </c>
      <c r="E657" s="1040"/>
      <c r="F657" s="1040"/>
      <c r="G657" s="1040"/>
      <c r="H657" s="1040"/>
      <c r="I657" s="1040"/>
      <c r="J657" s="1040"/>
      <c r="K657" s="1040"/>
      <c r="L657" s="1040"/>
      <c r="M657" s="1040"/>
      <c r="N657" s="1040"/>
      <c r="P657" s="29"/>
      <c r="Q657" s="23"/>
      <c r="R657" s="23"/>
      <c r="S657" s="23"/>
      <c r="T657" s="23"/>
      <c r="U657" s="23"/>
      <c r="V657" s="23"/>
      <c r="W657" s="23"/>
    </row>
    <row r="658" spans="1:23" s="24" customFormat="1" ht="5.0999999999999996" customHeight="1" outlineLevel="1" x14ac:dyDescent="0.2">
      <c r="A658" s="23"/>
      <c r="D658" s="13"/>
      <c r="P658" s="29"/>
      <c r="Q658" s="23"/>
      <c r="R658" s="23"/>
      <c r="S658" s="23"/>
      <c r="T658" s="23"/>
      <c r="U658" s="23"/>
      <c r="V658" s="23"/>
      <c r="W658" s="23"/>
    </row>
    <row r="659" spans="1:23" s="24" customFormat="1" outlineLevel="1" x14ac:dyDescent="0.2">
      <c r="A659" s="23"/>
      <c r="D659" s="13" t="s">
        <v>1018</v>
      </c>
      <c r="E659" s="825" t="str">
        <f>Translations!$B$455</f>
        <v>Activity data determination method:</v>
      </c>
      <c r="F659" s="825"/>
      <c r="G659" s="825"/>
      <c r="H659" s="825"/>
      <c r="I659" s="825"/>
      <c r="J659" s="825"/>
      <c r="K659" s="825"/>
      <c r="L659" s="825"/>
      <c r="M659" s="825"/>
      <c r="N659" s="825"/>
      <c r="P659" s="29"/>
      <c r="Q659" s="23"/>
      <c r="R659" s="23"/>
      <c r="S659" s="23"/>
      <c r="T659" s="23"/>
      <c r="U659" s="23"/>
      <c r="V659" s="23"/>
      <c r="W659" s="23"/>
    </row>
    <row r="660" spans="1:23" s="24" customFormat="1" ht="5.0999999999999996" customHeight="1" outlineLevel="1" x14ac:dyDescent="0.2">
      <c r="A660" s="23"/>
      <c r="D660" s="13"/>
      <c r="E660" s="14"/>
      <c r="F660" s="14"/>
      <c r="G660" s="14"/>
      <c r="H660" s="14"/>
      <c r="I660" s="14"/>
      <c r="L660" s="22"/>
      <c r="P660" s="29"/>
      <c r="Q660" s="23"/>
      <c r="R660" s="23"/>
      <c r="S660" s="23"/>
      <c r="T660" s="23"/>
      <c r="U660" s="23"/>
      <c r="V660" s="23"/>
      <c r="W660" s="23"/>
    </row>
    <row r="661" spans="1:23" s="24" customFormat="1" ht="12.75" customHeight="1" outlineLevel="1" x14ac:dyDescent="0.2">
      <c r="A661" s="23"/>
      <c r="D661" s="25" t="s">
        <v>1030</v>
      </c>
      <c r="E661" s="11" t="str">
        <f>Translations!$B$456</f>
        <v>Determination method:</v>
      </c>
      <c r="G661" s="14"/>
      <c r="H661" s="1060"/>
      <c r="I661" s="1061"/>
      <c r="P661" s="220"/>
      <c r="Q661" s="23"/>
      <c r="R661" s="23"/>
      <c r="S661" s="23"/>
      <c r="T661" s="23"/>
      <c r="U661" s="23"/>
      <c r="V661" s="23"/>
      <c r="W661" s="63" t="str">
        <f>IF(M649="","",IF(M649=INDEX(SourceCategory,3),1,IF(CNTR_InstHasCalculation=FALSE,0,2)))</f>
        <v/>
      </c>
    </row>
    <row r="662" spans="1:23" s="24" customFormat="1" ht="5.0999999999999996" customHeight="1" outlineLevel="1" x14ac:dyDescent="0.2">
      <c r="A662" s="23"/>
      <c r="D662" s="25"/>
      <c r="G662" s="14"/>
      <c r="H662" s="44"/>
      <c r="I662" s="44"/>
      <c r="P662" s="29"/>
      <c r="Q662" s="23"/>
      <c r="R662" s="23"/>
      <c r="S662" s="23"/>
      <c r="T662" s="23"/>
      <c r="U662" s="23"/>
      <c r="V662" s="23"/>
      <c r="W662" s="23"/>
    </row>
    <row r="663" spans="1:23" s="24" customFormat="1" ht="12.75" customHeight="1" outlineLevel="1" x14ac:dyDescent="0.2">
      <c r="A663" s="23"/>
      <c r="E663" s="46"/>
      <c r="F663" s="1049" t="str">
        <f>Translations!$B$459</f>
        <v>Reference to procedure used for determining stock piles at end of year:</v>
      </c>
      <c r="G663" s="1049"/>
      <c r="H663" s="1049"/>
      <c r="I663" s="1049"/>
      <c r="J663" s="1050"/>
      <c r="K663" s="1060"/>
      <c r="L663" s="1061"/>
      <c r="P663" s="29"/>
      <c r="Q663" s="23"/>
      <c r="R663" s="23"/>
      <c r="S663" s="23"/>
      <c r="T663" s="23"/>
      <c r="U663" s="29"/>
      <c r="V663" s="32" t="b">
        <f>IF(OR(H649="",ISBLANK(H661)),FALSE,IF(MATCH(H661,EUconst_ActivityDeterminationMethod,0)=2,TRUE,FALSE))</f>
        <v>0</v>
      </c>
      <c r="W663" s="63" t="str">
        <f>IF(V663=TRUE,0,W661)</f>
        <v/>
      </c>
    </row>
    <row r="664" spans="1:23" s="24" customFormat="1" ht="5.0999999999999996" customHeight="1" outlineLevel="1" x14ac:dyDescent="0.2">
      <c r="A664" s="23"/>
      <c r="P664" s="29"/>
      <c r="Q664" s="23"/>
      <c r="R664" s="23"/>
      <c r="S664" s="23"/>
      <c r="T664" s="23"/>
      <c r="U664" s="23"/>
      <c r="V664" s="23"/>
      <c r="W664" s="23"/>
    </row>
    <row r="665" spans="1:23" s="24" customFormat="1" ht="12.75" customHeight="1" outlineLevel="1" x14ac:dyDescent="0.2">
      <c r="A665" s="23"/>
      <c r="D665" s="46" t="s">
        <v>1031</v>
      </c>
      <c r="E665" s="11" t="str">
        <f>Translations!$B$462</f>
        <v>Instrument under control of:</v>
      </c>
      <c r="G665" s="14"/>
      <c r="H665" s="1060"/>
      <c r="I665" s="1061"/>
      <c r="J665" s="25"/>
      <c r="P665" s="29"/>
      <c r="Q665" s="23"/>
      <c r="R665" s="23"/>
      <c r="S665" s="23"/>
      <c r="T665" s="23"/>
      <c r="U665" s="23"/>
      <c r="V665" s="23"/>
      <c r="W665" s="63" t="str">
        <f>W661</f>
        <v/>
      </c>
    </row>
    <row r="666" spans="1:23" s="24" customFormat="1" ht="5.0999999999999996" customHeight="1" outlineLevel="1" x14ac:dyDescent="0.2">
      <c r="A666" s="23"/>
      <c r="D666" s="25"/>
      <c r="G666" s="14"/>
      <c r="H666" s="44"/>
      <c r="I666" s="44"/>
      <c r="J666" s="25"/>
      <c r="P666" s="29"/>
      <c r="Q666" s="23"/>
      <c r="R666" s="23"/>
      <c r="S666" s="23"/>
      <c r="T666" s="23"/>
      <c r="U666" s="23"/>
      <c r="V666" s="23"/>
      <c r="W666" s="23"/>
    </row>
    <row r="667" spans="1:23" s="24" customFormat="1" ht="12.75" customHeight="1" outlineLevel="1" x14ac:dyDescent="0.2">
      <c r="A667" s="23"/>
      <c r="D667" s="25"/>
      <c r="E667" s="46" t="s">
        <v>1296</v>
      </c>
      <c r="F667" s="767" t="str">
        <f>Translations!$B$465</f>
        <v>Please confirm that the conditions of Article 29(1) are satisfied:</v>
      </c>
      <c r="G667" s="732"/>
      <c r="H667" s="732"/>
      <c r="I667" s="732"/>
      <c r="J667" s="732"/>
      <c r="K667" s="732"/>
      <c r="L667" s="192"/>
      <c r="P667" s="29"/>
      <c r="Q667" s="23"/>
      <c r="R667" s="23"/>
      <c r="S667" s="23"/>
      <c r="T667" s="23"/>
      <c r="U667" s="23"/>
      <c r="V667" s="32" t="b">
        <f>IF(OR(H649="",ISBLANK(H665)),FALSE,IF(MATCH(H665,EUconst_OwnerInstrument,0)=1,TRUE,FALSE))</f>
        <v>0</v>
      </c>
      <c r="W667" s="63" t="str">
        <f>IF(V667=TRUE,0,W661)</f>
        <v/>
      </c>
    </row>
    <row r="668" spans="1:23" s="24" customFormat="1" ht="5.0999999999999996" customHeight="1" outlineLevel="1" x14ac:dyDescent="0.2">
      <c r="A668" s="23"/>
      <c r="D668" s="25"/>
      <c r="E668" s="25"/>
      <c r="G668" s="14"/>
      <c r="N668" s="44"/>
      <c r="P668" s="29"/>
      <c r="Q668" s="23"/>
      <c r="R668" s="23"/>
      <c r="S668" s="23"/>
      <c r="T668" s="23"/>
      <c r="U668" s="23"/>
      <c r="V668" s="16"/>
      <c r="W668" s="23"/>
    </row>
    <row r="669" spans="1:23" s="24" customFormat="1" ht="12.75" customHeight="1" outlineLevel="1" x14ac:dyDescent="0.2">
      <c r="A669" s="23"/>
      <c r="D669" s="25"/>
      <c r="E669" s="46" t="s">
        <v>1297</v>
      </c>
      <c r="F669" s="1049" t="str">
        <f>Translations!$B$468</f>
        <v>Do you use invoices for determining the amount of this fuel or material?</v>
      </c>
      <c r="G669" s="1049"/>
      <c r="H669" s="1049"/>
      <c r="I669" s="1049"/>
      <c r="J669" s="1049"/>
      <c r="K669" s="1050"/>
      <c r="L669" s="192"/>
      <c r="P669" s="29"/>
      <c r="Q669" s="23"/>
      <c r="R669" s="23"/>
      <c r="S669" s="23"/>
      <c r="T669" s="23"/>
      <c r="U669" s="23"/>
      <c r="V669" s="32" t="b">
        <f>IF(OR(H649="",ISBLANK(H665)),FALSE,IF(MATCH(H665,EUconst_OwnerInstrument,0)=1,TRUE,FALSE))</f>
        <v>0</v>
      </c>
      <c r="W669" s="63" t="str">
        <f>IF(V669=TRUE,0,W661)</f>
        <v/>
      </c>
    </row>
    <row r="670" spans="1:23" s="24" customFormat="1" ht="5.0999999999999996" customHeight="1" outlineLevel="1" x14ac:dyDescent="0.2">
      <c r="A670" s="23"/>
      <c r="D670" s="25"/>
      <c r="E670" s="25"/>
      <c r="G670" s="14"/>
      <c r="J670" s="25"/>
      <c r="L670" s="45"/>
      <c r="P670" s="29"/>
      <c r="Q670" s="23"/>
      <c r="R670" s="23"/>
      <c r="S670" s="23"/>
      <c r="T670" s="23"/>
      <c r="U670" s="23"/>
      <c r="V670" s="23"/>
      <c r="W670" s="23"/>
    </row>
    <row r="671" spans="1:23" s="24" customFormat="1" ht="12.75" customHeight="1" outlineLevel="1" x14ac:dyDescent="0.2">
      <c r="A671" s="23"/>
      <c r="D671" s="25"/>
      <c r="E671" s="46" t="s">
        <v>1298</v>
      </c>
      <c r="F671" s="1049" t="str">
        <f>Translations!$B$469</f>
        <v>Please confirm that the trade partner and the operator are independent:</v>
      </c>
      <c r="G671" s="1049"/>
      <c r="H671" s="1049"/>
      <c r="I671" s="1049"/>
      <c r="J671" s="1049"/>
      <c r="K671" s="1050"/>
      <c r="L671" s="192"/>
      <c r="P671" s="29"/>
      <c r="Q671" s="23"/>
      <c r="R671" s="23"/>
      <c r="S671" s="23"/>
      <c r="T671" s="23"/>
      <c r="U671" s="23"/>
      <c r="V671" s="32" t="b">
        <f>IF(OR(H649="",ISBLANK(H665)),FALSE,IF(MATCH(H665,EUconst_OwnerInstrument,0)=1,TRUE,FALSE))</f>
        <v>0</v>
      </c>
      <c r="W671" s="63" t="str">
        <f>IF(V671=TRUE,0,W661)</f>
        <v/>
      </c>
    </row>
    <row r="672" spans="1:23" s="24" customFormat="1" outlineLevel="1" x14ac:dyDescent="0.2">
      <c r="A672" s="23"/>
      <c r="P672" s="29"/>
      <c r="Q672" s="23"/>
      <c r="R672" s="23"/>
      <c r="S672" s="23"/>
      <c r="T672" s="23"/>
      <c r="U672" s="23"/>
      <c r="V672" s="23"/>
      <c r="W672" s="23"/>
    </row>
    <row r="673" spans="1:23" s="24" customFormat="1" ht="12.75" customHeight="1" outlineLevel="1" x14ac:dyDescent="0.2">
      <c r="A673" s="23"/>
      <c r="D673" s="13" t="s">
        <v>1020</v>
      </c>
      <c r="E673" s="14" t="str">
        <f>Translations!$B$472</f>
        <v>Measurement instruments used:</v>
      </c>
      <c r="H673" s="215"/>
      <c r="I673" s="215"/>
      <c r="J673" s="215"/>
      <c r="K673" s="215"/>
      <c r="L673" s="215"/>
      <c r="P673" s="15"/>
      <c r="Q673" s="23"/>
      <c r="R673" s="23"/>
      <c r="S673" s="23"/>
      <c r="T673" s="23"/>
      <c r="U673" s="23"/>
      <c r="V673" s="23"/>
      <c r="W673" s="23"/>
    </row>
    <row r="674" spans="1:23" s="24" customFormat="1" ht="5.0999999999999996" customHeight="1" outlineLevel="1" x14ac:dyDescent="0.2">
      <c r="A674" s="23"/>
      <c r="D674" s="13"/>
      <c r="E674" s="14"/>
      <c r="P674" s="15"/>
      <c r="Q674" s="23"/>
      <c r="R674" s="23"/>
      <c r="S674" s="23"/>
      <c r="T674" s="23"/>
      <c r="U674" s="23"/>
      <c r="V674" s="23"/>
      <c r="W674" s="23"/>
    </row>
    <row r="675" spans="1:23" s="24" customFormat="1" outlineLevel="1" x14ac:dyDescent="0.2">
      <c r="A675" s="23"/>
      <c r="D675" s="13"/>
      <c r="E675" s="24" t="str">
        <f>Translations!$B$475</f>
        <v>Comment / Description of approach, if several instruments used:</v>
      </c>
      <c r="I675" s="11"/>
      <c r="P675" s="29"/>
      <c r="Q675" s="23"/>
      <c r="R675" s="23"/>
      <c r="S675" s="23"/>
      <c r="T675" s="23"/>
      <c r="U675" s="23"/>
      <c r="V675" s="23"/>
      <c r="W675" s="23"/>
    </row>
    <row r="676" spans="1:23" s="24" customFormat="1" ht="12.75" customHeight="1" outlineLevel="1" x14ac:dyDescent="0.2">
      <c r="A676" s="23"/>
      <c r="D676" s="13"/>
      <c r="E676" s="1051"/>
      <c r="F676" s="1052"/>
      <c r="G676" s="1052"/>
      <c r="H676" s="1052"/>
      <c r="I676" s="1052"/>
      <c r="J676" s="1052"/>
      <c r="K676" s="1052"/>
      <c r="L676" s="1052"/>
      <c r="M676" s="1052"/>
      <c r="N676" s="1053"/>
      <c r="P676" s="29"/>
      <c r="Q676" s="23"/>
      <c r="R676" s="23"/>
      <c r="S676" s="23"/>
      <c r="T676" s="23"/>
      <c r="U676" s="23"/>
      <c r="V676" s="23"/>
      <c r="W676" s="23"/>
    </row>
    <row r="677" spans="1:23" s="24" customFormat="1" outlineLevel="1" x14ac:dyDescent="0.2">
      <c r="A677" s="23"/>
      <c r="D677" s="13"/>
      <c r="E677" s="1054"/>
      <c r="F677" s="1055"/>
      <c r="G677" s="1055"/>
      <c r="H677" s="1055"/>
      <c r="I677" s="1055"/>
      <c r="J677" s="1055"/>
      <c r="K677" s="1055"/>
      <c r="L677" s="1055"/>
      <c r="M677" s="1055"/>
      <c r="N677" s="1056"/>
      <c r="P677" s="29"/>
      <c r="Q677" s="29"/>
      <c r="R677" s="29"/>
      <c r="S677" s="23"/>
      <c r="T677" s="23"/>
      <c r="U677" s="23"/>
      <c r="V677" s="23"/>
      <c r="W677" s="23"/>
    </row>
    <row r="678" spans="1:23" s="24" customFormat="1" outlineLevel="1" x14ac:dyDescent="0.2">
      <c r="A678" s="23"/>
      <c r="D678" s="13"/>
      <c r="E678" s="1057"/>
      <c r="F678" s="1058"/>
      <c r="G678" s="1058"/>
      <c r="H678" s="1058"/>
      <c r="I678" s="1058"/>
      <c r="J678" s="1058"/>
      <c r="K678" s="1058"/>
      <c r="L678" s="1058"/>
      <c r="M678" s="1058"/>
      <c r="N678" s="1059"/>
      <c r="P678" s="29"/>
      <c r="Q678" s="29"/>
      <c r="R678" s="29"/>
      <c r="S678" s="23"/>
      <c r="T678" s="23"/>
      <c r="U678" s="23"/>
      <c r="V678" s="23"/>
      <c r="W678" s="23"/>
    </row>
    <row r="679" spans="1:23" s="24" customFormat="1" outlineLevel="1" x14ac:dyDescent="0.2">
      <c r="A679" s="23"/>
      <c r="D679" s="13"/>
      <c r="P679" s="29"/>
      <c r="Q679" s="29"/>
      <c r="R679" s="29"/>
      <c r="S679" s="23"/>
      <c r="T679" s="23"/>
      <c r="U679" s="23"/>
      <c r="V679" s="23"/>
      <c r="W679" s="23"/>
    </row>
    <row r="680" spans="1:23" s="24" customFormat="1" ht="12.75" customHeight="1" outlineLevel="1" x14ac:dyDescent="0.2">
      <c r="A680" s="23"/>
      <c r="D680" s="13" t="s">
        <v>554</v>
      </c>
      <c r="E680" s="14" t="str">
        <f>Translations!$B$477</f>
        <v>Activity data tier level required:</v>
      </c>
      <c r="H680" s="30" t="str">
        <f>IF(H651="","",IF(CNTR_Category="A",INDEX(EUwideConstants!$G:$G,MATCH(Q680,EUwideConstants!$S:$S,0)),INDEX(EUwideConstants!$P:$P,MATCH(Q680,EUwideConstants!$S:$S,0))))</f>
        <v/>
      </c>
      <c r="I680" s="26" t="str">
        <f>IF(H680="","",IF(S680=0,EUconst_NA,IF(ISERROR(S680),"",EUconst_MsgTierActivityLevel &amp; " " &amp;S680)))</f>
        <v/>
      </c>
      <c r="J680" s="27"/>
      <c r="K680" s="27"/>
      <c r="L680" s="27"/>
      <c r="M680" s="27"/>
      <c r="N680" s="28"/>
      <c r="P680" s="29"/>
      <c r="Q680" s="92" t="str">
        <f>EUconst_CNTR_ActivityData&amp;H651</f>
        <v>ActivityData_</v>
      </c>
      <c r="R680" s="29"/>
      <c r="S680" s="32" t="str">
        <f>IF(H680="","",IF(H680=EUconst_NA,"",INDEX(EUwideConstants!$H:$O,MATCH(Q680,EUwideConstants!$S:$S,0),MATCH(H680,CNTR_TierList,0))))</f>
        <v/>
      </c>
      <c r="T680" s="23"/>
      <c r="U680" s="23"/>
      <c r="V680" s="23"/>
      <c r="W680" s="23"/>
    </row>
    <row r="681" spans="1:23" s="24" customFormat="1" ht="12.75" customHeight="1" outlineLevel="1" x14ac:dyDescent="0.2">
      <c r="A681" s="23"/>
      <c r="D681" s="13" t="s">
        <v>1022</v>
      </c>
      <c r="E681" s="14" t="str">
        <f>Translations!$B$478</f>
        <v>Activity data tier used:</v>
      </c>
      <c r="H681" s="192"/>
      <c r="I681" s="26" t="str">
        <f>IF(OR(ISBLANK(H681),H681=EUconst_NoTier),"",IF(S681=0,EUconst_NA,IF(ISERROR(S681),"",EUconst_MsgTierActivityLevel &amp; " " &amp;S681)))</f>
        <v/>
      </c>
      <c r="J681" s="27"/>
      <c r="K681" s="27"/>
      <c r="L681" s="27"/>
      <c r="M681" s="27"/>
      <c r="N681" s="28"/>
      <c r="P681" s="29"/>
      <c r="Q681" s="92" t="str">
        <f>EUconst_CNTR_ActivityData&amp;H651</f>
        <v>ActivityData_</v>
      </c>
      <c r="R681" s="29"/>
      <c r="S681" s="32" t="str">
        <f>IF(ISBLANK(H681),"",IF(H681=EUconst_NA,"",INDEX(EUwideConstants!$H:$O,MATCH(Q681,EUwideConstants!$S:$S,0),MATCH(H681,CNTR_TierList,0))))</f>
        <v/>
      </c>
      <c r="T681" s="23"/>
      <c r="U681" s="23"/>
      <c r="V681" s="23"/>
      <c r="W681" s="23"/>
    </row>
    <row r="682" spans="1:23" s="24" customFormat="1" ht="12.75" customHeight="1" outlineLevel="1" x14ac:dyDescent="0.2">
      <c r="A682" s="23"/>
      <c r="D682" s="13" t="s">
        <v>1023</v>
      </c>
      <c r="E682" s="14" t="str">
        <f>Translations!$B$479</f>
        <v>Uncertainty achieved:</v>
      </c>
      <c r="H682" s="229"/>
      <c r="I682" s="14" t="str">
        <f>Translations!$B$480</f>
        <v>Comment:</v>
      </c>
      <c r="J682" s="193"/>
      <c r="K682" s="194"/>
      <c r="L682" s="194"/>
      <c r="M682" s="194"/>
      <c r="N682" s="195"/>
      <c r="P682" s="29"/>
      <c r="Q682" s="29"/>
      <c r="R682" s="29"/>
      <c r="S682" s="23"/>
      <c r="T682" s="23"/>
      <c r="U682" s="23"/>
      <c r="V682" s="23"/>
      <c r="W682" s="23"/>
    </row>
    <row r="683" spans="1:23" s="24" customFormat="1" ht="5.0999999999999996" customHeight="1" outlineLevel="1" x14ac:dyDescent="0.2">
      <c r="A683" s="23"/>
      <c r="D683" s="13"/>
      <c r="E683" s="67"/>
      <c r="F683" s="67"/>
      <c r="G683" s="67"/>
      <c r="H683" s="67"/>
      <c r="I683" s="67"/>
      <c r="J683" s="67"/>
      <c r="K683" s="67"/>
      <c r="L683" s="67"/>
      <c r="M683" s="67"/>
      <c r="N683" s="67"/>
      <c r="P683" s="29"/>
      <c r="Q683" s="29"/>
      <c r="R683" s="29"/>
      <c r="S683" s="23"/>
      <c r="T683" s="23"/>
      <c r="U683" s="23"/>
      <c r="V683" s="23"/>
      <c r="W683" s="23"/>
    </row>
    <row r="684" spans="1:23" s="24" customFormat="1" ht="15" customHeight="1" outlineLevel="1" x14ac:dyDescent="0.2">
      <c r="A684" s="23"/>
      <c r="D684" s="1040" t="str">
        <f>Translations!$B$490</f>
        <v>Calculation factors:</v>
      </c>
      <c r="E684" s="1040"/>
      <c r="F684" s="1040"/>
      <c r="G684" s="1040"/>
      <c r="H684" s="1040"/>
      <c r="I684" s="1040"/>
      <c r="J684" s="1040"/>
      <c r="K684" s="1040"/>
      <c r="L684" s="1040"/>
      <c r="M684" s="1040"/>
      <c r="N684" s="1040"/>
      <c r="P684" s="29"/>
      <c r="Q684" s="29"/>
      <c r="R684" s="29"/>
      <c r="S684" s="29"/>
      <c r="T684" s="6"/>
      <c r="U684" s="23"/>
      <c r="V684" s="23"/>
      <c r="W684" s="23"/>
    </row>
    <row r="685" spans="1:23" s="24" customFormat="1" ht="5.0999999999999996" customHeight="1" outlineLevel="1" x14ac:dyDescent="0.2">
      <c r="A685" s="23"/>
      <c r="D685" s="13"/>
      <c r="E685" s="14"/>
      <c r="P685" s="29"/>
      <c r="Q685" s="29"/>
      <c r="R685" s="29"/>
      <c r="S685" s="29"/>
      <c r="T685" s="6"/>
      <c r="U685" s="23"/>
      <c r="V685" s="23"/>
      <c r="W685" s="23"/>
    </row>
    <row r="686" spans="1:23" s="24" customFormat="1" ht="12.75" customHeight="1" outlineLevel="1" x14ac:dyDescent="0.2">
      <c r="A686" s="23"/>
      <c r="D686" s="13" t="s">
        <v>1019</v>
      </c>
      <c r="E686" s="14" t="str">
        <f>Translations!$B$515</f>
        <v>Applied tiers for calculation factors:</v>
      </c>
      <c r="P686" s="29"/>
      <c r="Q686" s="29"/>
      <c r="R686" s="29"/>
      <c r="S686" s="29"/>
      <c r="T686" s="23"/>
      <c r="U686" s="23"/>
      <c r="V686" s="23"/>
      <c r="W686" s="23"/>
    </row>
    <row r="687" spans="1:23" s="24" customFormat="1" ht="5.0999999999999996" customHeight="1" outlineLevel="1" x14ac:dyDescent="0.2">
      <c r="A687" s="23"/>
      <c r="D687" s="13"/>
      <c r="E687" s="14"/>
      <c r="P687" s="29"/>
      <c r="Q687" s="29"/>
      <c r="R687" s="29"/>
      <c r="S687" s="29"/>
      <c r="T687" s="23"/>
      <c r="U687" s="23"/>
      <c r="V687" s="23"/>
      <c r="W687" s="23"/>
    </row>
    <row r="688" spans="1:23" s="24" customFormat="1" ht="25.5" customHeight="1" outlineLevel="1" x14ac:dyDescent="0.2">
      <c r="A688" s="23"/>
      <c r="E688" s="1044" t="str">
        <f>Translations!$B$516</f>
        <v>calculation factor</v>
      </c>
      <c r="F688" s="1044"/>
      <c r="G688" s="1044"/>
      <c r="H688" s="50" t="str">
        <f>Translations!$B$517</f>
        <v>required tier</v>
      </c>
      <c r="I688" s="50" t="str">
        <f>Translations!$B$518</f>
        <v>applied tier</v>
      </c>
      <c r="J688" s="1046" t="str">
        <f>Translations!$B$519</f>
        <v>full text for applied tier</v>
      </c>
      <c r="K688" s="1047"/>
      <c r="L688" s="1047"/>
      <c r="M688" s="1047"/>
      <c r="N688" s="1048"/>
      <c r="P688" s="29"/>
      <c r="Q688" s="29"/>
      <c r="R688" s="29"/>
      <c r="S688" s="15" t="s">
        <v>1038</v>
      </c>
      <c r="T688" s="23"/>
      <c r="U688" s="23"/>
      <c r="V688" s="23"/>
      <c r="W688" s="52" t="s">
        <v>1295</v>
      </c>
    </row>
    <row r="689" spans="1:23" s="24" customFormat="1" ht="12.75" customHeight="1" outlineLevel="1" x14ac:dyDescent="0.2">
      <c r="A689" s="23"/>
      <c r="D689" s="25" t="s">
        <v>1030</v>
      </c>
      <c r="E689" s="1039" t="str">
        <f>Translations!$B$520</f>
        <v>Net calorific value (NCV)</v>
      </c>
      <c r="F689" s="1039"/>
      <c r="G689" s="1039"/>
      <c r="H689" s="30" t="str">
        <f>IF(H651="","",IF(CNTR_Category="A",INDEX(EUwideConstants!$G:$G,MATCH(Q689,EUwideConstants!$S:$S,0)),INDEX(EUwideConstants!$P:$P,MATCH(Q689,EUwideConstants!$S:$S,0))))</f>
        <v/>
      </c>
      <c r="I689" s="192"/>
      <c r="J689" s="1041" t="str">
        <f t="shared" ref="J689:J694" si="44">IF(OR(ISBLANK(I689),I689=EUconst_NoTier),"",IF(S689=0,EUconst_NotApplicable,IF(ISERROR(S689),"",S689)))</f>
        <v/>
      </c>
      <c r="K689" s="1042"/>
      <c r="L689" s="1042"/>
      <c r="M689" s="1042"/>
      <c r="N689" s="1043"/>
      <c r="P689" s="29"/>
      <c r="Q689" s="92" t="str">
        <f>EUconst_CNTR_NCV&amp;H651</f>
        <v>NCV_</v>
      </c>
      <c r="R689" s="29"/>
      <c r="S689" s="31" t="str">
        <f>IF(ISBLANK(I689),"",IF(I689=EUconst_NA,"",INDEX(EUwideConstants!$H:$O,MATCH(Q689,EUwideConstants!$S:$S,0),MATCH(I689,CNTR_TierList,0))))</f>
        <v/>
      </c>
      <c r="T689" s="23"/>
      <c r="U689" s="23"/>
      <c r="V689" s="23"/>
      <c r="W689" s="32" t="b">
        <f t="shared" ref="W689:W694" si="45">(H689=EUconst_NA)</f>
        <v>0</v>
      </c>
    </row>
    <row r="690" spans="1:23" s="24" customFormat="1" ht="12.75" customHeight="1" outlineLevel="1" x14ac:dyDescent="0.2">
      <c r="A690" s="23"/>
      <c r="D690" s="25" t="s">
        <v>1031</v>
      </c>
      <c r="E690" s="1039" t="str">
        <f>Translations!$B$521</f>
        <v>Emission factor (preliminary)</v>
      </c>
      <c r="F690" s="1039"/>
      <c r="G690" s="1039"/>
      <c r="H690" s="30" t="str">
        <f>IF(H651="","",IF(CNTR_Category="A",INDEX(EUwideConstants!$G:$G,MATCH(Q690,EUwideConstants!$S:$S,0)),INDEX(EUwideConstants!$P:$P,MATCH(Q690,EUwideConstants!$S:$S,0))))</f>
        <v/>
      </c>
      <c r="I690" s="192"/>
      <c r="J690" s="1041" t="str">
        <f t="shared" si="44"/>
        <v/>
      </c>
      <c r="K690" s="1042"/>
      <c r="L690" s="1042"/>
      <c r="M690" s="1042"/>
      <c r="N690" s="1043"/>
      <c r="P690" s="29"/>
      <c r="Q690" s="92" t="str">
        <f>EUconst_CNTR_EF&amp;H651</f>
        <v>EF_</v>
      </c>
      <c r="R690" s="29"/>
      <c r="S690" s="31" t="str">
        <f>IF(ISBLANK(I690),"",IF(I690=EUconst_NA,"",INDEX(EUwideConstants!$H:$O,MATCH(Q690,EUwideConstants!$S:$S,0),MATCH(I690,CNTR_TierList,0))))</f>
        <v/>
      </c>
      <c r="T690" s="23"/>
      <c r="U690" s="23"/>
      <c r="V690" s="23"/>
      <c r="W690" s="32" t="b">
        <f t="shared" si="45"/>
        <v>0</v>
      </c>
    </row>
    <row r="691" spans="1:23" s="24" customFormat="1" ht="12.75" customHeight="1" outlineLevel="1" x14ac:dyDescent="0.2">
      <c r="A691" s="23"/>
      <c r="D691" s="25" t="s">
        <v>1468</v>
      </c>
      <c r="E691" s="1039" t="str">
        <f>Translations!$B$522</f>
        <v>Oxidation factor</v>
      </c>
      <c r="F691" s="1039"/>
      <c r="G691" s="1039"/>
      <c r="H691" s="30" t="str">
        <f>IF(H651="","",IF(CNTR_Category="A",INDEX(EUwideConstants!$G:$G,MATCH(Q691,EUwideConstants!$S:$S,0)),INDEX(EUwideConstants!$P:$P,MATCH(Q691,EUwideConstants!$S:$S,0))))</f>
        <v/>
      </c>
      <c r="I691" s="192"/>
      <c r="J691" s="1041" t="str">
        <f t="shared" si="44"/>
        <v/>
      </c>
      <c r="K691" s="1042"/>
      <c r="L691" s="1042"/>
      <c r="M691" s="1042"/>
      <c r="N691" s="1043"/>
      <c r="P691" s="29"/>
      <c r="Q691" s="92" t="str">
        <f>EUconst_CNTR_OxidationFactor&amp;H651</f>
        <v>OxF_</v>
      </c>
      <c r="R691" s="29"/>
      <c r="S691" s="31" t="str">
        <f>IF(ISBLANK(I691),"",IF(I691=EUconst_NA,"",INDEX(EUwideConstants!$H:$O,MATCH(Q691,EUwideConstants!$S:$S,0),MATCH(I691,CNTR_TierList,0))))</f>
        <v/>
      </c>
      <c r="T691" s="23"/>
      <c r="U691" s="23"/>
      <c r="V691" s="23"/>
      <c r="W691" s="32" t="b">
        <f t="shared" si="45"/>
        <v>0</v>
      </c>
    </row>
    <row r="692" spans="1:23" s="24" customFormat="1" ht="12.75" customHeight="1" outlineLevel="1" x14ac:dyDescent="0.2">
      <c r="A692" s="23"/>
      <c r="D692" s="25" t="s">
        <v>1469</v>
      </c>
      <c r="E692" s="1039" t="str">
        <f>Translations!$B$523</f>
        <v>Conversion factor</v>
      </c>
      <c r="F692" s="1039"/>
      <c r="G692" s="1039"/>
      <c r="H692" s="30" t="str">
        <f>IF(H651="","",IF(CNTR_Category="A",INDEX(EUwideConstants!$G:$G,MATCH(Q692,EUwideConstants!$S:$S,0)),INDEX(EUwideConstants!$P:$P,MATCH(Q692,EUwideConstants!$S:$S,0))))</f>
        <v/>
      </c>
      <c r="I692" s="192"/>
      <c r="J692" s="1041" t="str">
        <f t="shared" si="44"/>
        <v/>
      </c>
      <c r="K692" s="1042"/>
      <c r="L692" s="1042"/>
      <c r="M692" s="1042"/>
      <c r="N692" s="1043"/>
      <c r="P692" s="29"/>
      <c r="Q692" s="92" t="str">
        <f>EUconst_CNTR_ConversionFactor&amp;H651</f>
        <v>ConvF_</v>
      </c>
      <c r="R692" s="29"/>
      <c r="S692" s="31" t="str">
        <f>IF(ISBLANK(I692),"",IF(I692=EUconst_NA,"",INDEX(EUwideConstants!$H:$O,MATCH(Q692,EUwideConstants!$S:$S,0),MATCH(I692,CNTR_TierList,0))))</f>
        <v/>
      </c>
      <c r="T692" s="23"/>
      <c r="U692" s="23"/>
      <c r="V692" s="23"/>
      <c r="W692" s="32" t="b">
        <f t="shared" si="45"/>
        <v>0</v>
      </c>
    </row>
    <row r="693" spans="1:23" s="24" customFormat="1" ht="12.75" customHeight="1" outlineLevel="1" x14ac:dyDescent="0.2">
      <c r="A693" s="23"/>
      <c r="D693" s="25" t="s">
        <v>1470</v>
      </c>
      <c r="E693" s="1039" t="str">
        <f>Translations!$B$524</f>
        <v>Carbon content</v>
      </c>
      <c r="F693" s="1039"/>
      <c r="G693" s="1039"/>
      <c r="H693" s="30" t="str">
        <f>IF(H651="","",IF(CNTR_Category="A",INDEX(EUwideConstants!$G:$G,MATCH(Q693,EUwideConstants!$S:$S,0)),INDEX(EUwideConstants!$P:$P,MATCH(Q693,EUwideConstants!$S:$S,0))))</f>
        <v/>
      </c>
      <c r="I693" s="192"/>
      <c r="J693" s="1041" t="str">
        <f t="shared" si="44"/>
        <v/>
      </c>
      <c r="K693" s="1042"/>
      <c r="L693" s="1042"/>
      <c r="M693" s="1042"/>
      <c r="N693" s="1043"/>
      <c r="P693" s="209"/>
      <c r="Q693" s="92" t="str">
        <f>EUconst_CNTR_CarbonContent&amp;H651</f>
        <v>CarbC_</v>
      </c>
      <c r="R693" s="29"/>
      <c r="S693" s="31" t="str">
        <f>IF(ISBLANK(I693),"",IF(I693=EUconst_NA,"",INDEX(EUwideConstants!$H:$O,MATCH(Q693,EUwideConstants!$S:$S,0),MATCH(I693,CNTR_TierList,0))))</f>
        <v/>
      </c>
      <c r="T693" s="23"/>
      <c r="U693" s="23"/>
      <c r="V693" s="23"/>
      <c r="W693" s="32" t="b">
        <f t="shared" si="45"/>
        <v>0</v>
      </c>
    </row>
    <row r="694" spans="1:23" s="24" customFormat="1" ht="12.75" customHeight="1" outlineLevel="1" x14ac:dyDescent="0.2">
      <c r="A694" s="23"/>
      <c r="D694" s="25" t="s">
        <v>1471</v>
      </c>
      <c r="E694" s="1039" t="str">
        <f>Translations!$B$525</f>
        <v>Biomass fraction (if applicable)</v>
      </c>
      <c r="F694" s="1039"/>
      <c r="G694" s="1039"/>
      <c r="H694" s="30" t="str">
        <f>IF(H651="","",IF(CNTR_Category="A",INDEX(EUwideConstants!$G:$G,MATCH(Q694,EUwideConstants!$S:$S,0)),INDEX(EUwideConstants!$P:$P,MATCH(Q694,EUwideConstants!$S:$S,0))))</f>
        <v/>
      </c>
      <c r="I694" s="192"/>
      <c r="J694" s="1041" t="str">
        <f t="shared" si="44"/>
        <v/>
      </c>
      <c r="K694" s="1042"/>
      <c r="L694" s="1042"/>
      <c r="M694" s="1042"/>
      <c r="N694" s="1043"/>
      <c r="P694" s="29"/>
      <c r="Q694" s="92" t="str">
        <f>EUconst_CNTR_BiomassContent&amp;H651</f>
        <v>BioC_</v>
      </c>
      <c r="R694" s="29"/>
      <c r="S694" s="31" t="str">
        <f>IF(ISBLANK(I694),"",IF(I694=EUconst_NA,"",INDEX(EUwideConstants!$H:$O,MATCH(Q694,EUwideConstants!$S:$S,0),MATCH(I694,CNTR_TierList,0))))</f>
        <v/>
      </c>
      <c r="T694" s="23"/>
      <c r="U694" s="23"/>
      <c r="V694" s="23"/>
      <c r="W694" s="32" t="b">
        <f t="shared" si="45"/>
        <v>0</v>
      </c>
    </row>
    <row r="695" spans="1:23" s="24" customFormat="1" outlineLevel="1" x14ac:dyDescent="0.2">
      <c r="A695" s="23"/>
      <c r="D695" s="13"/>
      <c r="E695" s="67"/>
      <c r="F695" s="67"/>
      <c r="G695" s="67"/>
      <c r="H695" s="67"/>
      <c r="I695" s="67"/>
      <c r="J695" s="67"/>
      <c r="K695" s="67"/>
      <c r="L695" s="67"/>
      <c r="M695" s="67"/>
      <c r="N695" s="67"/>
      <c r="P695" s="29"/>
      <c r="Q695" s="23"/>
      <c r="R695" s="23"/>
      <c r="S695" s="23"/>
      <c r="T695" s="23"/>
      <c r="U695" s="23"/>
      <c r="V695" s="23"/>
      <c r="W695" s="23"/>
    </row>
    <row r="696" spans="1:23" s="24" customFormat="1" outlineLevel="1" x14ac:dyDescent="0.2">
      <c r="A696" s="23"/>
      <c r="D696" s="13" t="s">
        <v>1349</v>
      </c>
      <c r="E696" s="14" t="str">
        <f>Translations!$B$534</f>
        <v>Details for calculation factors:</v>
      </c>
      <c r="F696" s="67"/>
      <c r="G696" s="67"/>
      <c r="H696" s="67"/>
      <c r="I696" s="67"/>
      <c r="J696" s="67"/>
      <c r="K696" s="67"/>
      <c r="L696" s="67"/>
      <c r="M696" s="67"/>
      <c r="N696" s="67"/>
      <c r="P696" s="29"/>
      <c r="Q696" s="23"/>
      <c r="R696" s="23"/>
      <c r="S696" s="23"/>
      <c r="T696" s="23"/>
      <c r="U696" s="23"/>
      <c r="V696" s="23"/>
      <c r="W696" s="23"/>
    </row>
    <row r="697" spans="1:23" s="24" customFormat="1" ht="5.0999999999999996" customHeight="1" outlineLevel="1" x14ac:dyDescent="0.2">
      <c r="A697" s="23"/>
      <c r="D697" s="13"/>
      <c r="E697" s="67"/>
      <c r="F697" s="67"/>
      <c r="G697" s="67"/>
      <c r="H697" s="67"/>
      <c r="I697" s="67"/>
      <c r="J697" s="67"/>
      <c r="K697" s="67"/>
      <c r="L697" s="67"/>
      <c r="M697" s="67"/>
      <c r="N697" s="67"/>
      <c r="P697" s="29"/>
      <c r="Q697" s="23"/>
      <c r="R697" s="23"/>
      <c r="S697" s="23"/>
      <c r="T697" s="23"/>
      <c r="U697" s="23"/>
      <c r="V697" s="23"/>
      <c r="W697" s="23"/>
    </row>
    <row r="698" spans="1:23" s="24" customFormat="1" ht="25.5" customHeight="1" outlineLevel="1" x14ac:dyDescent="0.2">
      <c r="A698" s="23"/>
      <c r="E698" s="1044" t="str">
        <f t="shared" ref="E698:E704" si="46">E688</f>
        <v>calculation factor</v>
      </c>
      <c r="F698" s="1044"/>
      <c r="G698" s="1044"/>
      <c r="H698" s="50" t="str">
        <f>I688</f>
        <v>applied tier</v>
      </c>
      <c r="I698" s="51" t="str">
        <f>Translations!$B$535</f>
        <v>default value</v>
      </c>
      <c r="J698" s="51" t="str">
        <f>Translations!$B$536</f>
        <v>Unit</v>
      </c>
      <c r="K698" s="51" t="str">
        <f>Translations!$B$537</f>
        <v>source ref</v>
      </c>
      <c r="L698" s="51" t="str">
        <f>Translations!$B$538</f>
        <v>analysis ref</v>
      </c>
      <c r="M698" s="51" t="str">
        <f>Translations!$B$539</f>
        <v>sampling ref</v>
      </c>
      <c r="N698" s="51" t="str">
        <f>Translations!$B$540</f>
        <v>Analysis frequency</v>
      </c>
      <c r="P698" s="29"/>
      <c r="Q698" s="23"/>
      <c r="R698" s="23"/>
      <c r="S698" s="52" t="s">
        <v>384</v>
      </c>
      <c r="T698" s="23"/>
      <c r="U698" s="23"/>
      <c r="V698" s="23"/>
      <c r="W698" s="52" t="s">
        <v>1295</v>
      </c>
    </row>
    <row r="699" spans="1:23" s="24" customFormat="1" ht="12.75" customHeight="1" outlineLevel="1" x14ac:dyDescent="0.2">
      <c r="A699" s="23"/>
      <c r="D699" s="25" t="s">
        <v>1030</v>
      </c>
      <c r="E699" s="1039" t="str">
        <f t="shared" si="46"/>
        <v>Net calorific value (NCV)</v>
      </c>
      <c r="F699" s="1039"/>
      <c r="G699" s="1039"/>
      <c r="H699" s="30" t="str">
        <f t="shared" ref="H699:H704" si="47">IF(OR(ISBLANK(I689),I689=EUconst_NA),"",I689)</f>
        <v/>
      </c>
      <c r="I699" s="192"/>
      <c r="J699" s="192"/>
      <c r="K699" s="214"/>
      <c r="L699" s="213"/>
      <c r="M699" s="213"/>
      <c r="N699" s="196"/>
      <c r="P699" s="209"/>
      <c r="Q699" s="23"/>
      <c r="R699" s="23"/>
      <c r="S699" s="63" t="str">
        <f>IF(H699="","",IF(I689=EUconst_NA,"",INDEX(EUwideConstants!$AL:$AR,MATCH(Q689,EUwideConstants!$S:$S,0),MATCH(I689,CNTR_TierList,0))))</f>
        <v/>
      </c>
      <c r="T699" s="23"/>
      <c r="U699" s="23"/>
      <c r="V699" s="23"/>
      <c r="W699" s="32" t="b">
        <f t="shared" ref="W699:W704" si="48">OR(H699="",H699=EUconst_NA,J689=EUconst_NotApplicable)</f>
        <v>1</v>
      </c>
    </row>
    <row r="700" spans="1:23" s="24" customFormat="1" ht="12.75" customHeight="1" outlineLevel="1" x14ac:dyDescent="0.2">
      <c r="A700" s="23"/>
      <c r="D700" s="25" t="s">
        <v>1031</v>
      </c>
      <c r="E700" s="1039" t="str">
        <f t="shared" si="46"/>
        <v>Emission factor (preliminary)</v>
      </c>
      <c r="F700" s="1039"/>
      <c r="G700" s="1039"/>
      <c r="H700" s="30" t="str">
        <f t="shared" si="47"/>
        <v/>
      </c>
      <c r="I700" s="197"/>
      <c r="J700" s="192"/>
      <c r="K700" s="213"/>
      <c r="L700" s="271"/>
      <c r="M700" s="271"/>
      <c r="N700" s="196"/>
      <c r="P700" s="29"/>
      <c r="Q700" s="23"/>
      <c r="R700" s="23"/>
      <c r="S700" s="63" t="str">
        <f>IF(H700="","",IF(I690=EUconst_NA,"",INDEX(EUwideConstants!$AL:$AR,MATCH(Q690,EUwideConstants!$S:$S,0),MATCH(I690,CNTR_TierList,0))))</f>
        <v/>
      </c>
      <c r="T700" s="23"/>
      <c r="U700" s="23"/>
      <c r="V700" s="23"/>
      <c r="W700" s="32" t="b">
        <f t="shared" si="48"/>
        <v>1</v>
      </c>
    </row>
    <row r="701" spans="1:23" s="24" customFormat="1" ht="12.75" customHeight="1" outlineLevel="1" x14ac:dyDescent="0.2">
      <c r="A701" s="23"/>
      <c r="D701" s="25" t="s">
        <v>1468</v>
      </c>
      <c r="E701" s="1039" t="str">
        <f t="shared" si="46"/>
        <v>Oxidation factor</v>
      </c>
      <c r="F701" s="1039"/>
      <c r="G701" s="1039"/>
      <c r="H701" s="30" t="str">
        <f t="shared" si="47"/>
        <v/>
      </c>
      <c r="I701" s="192"/>
      <c r="J701" s="192"/>
      <c r="K701" s="213"/>
      <c r="L701" s="213"/>
      <c r="M701" s="213"/>
      <c r="N701" s="196"/>
      <c r="P701" s="29"/>
      <c r="Q701" s="23"/>
      <c r="R701" s="23"/>
      <c r="S701" s="63" t="str">
        <f>IF(H701="","",IF(I691=EUconst_NA,"",INDEX(EUwideConstants!$AL:$AR,MATCH(Q691,EUwideConstants!$S:$S,0),MATCH(I691,CNTR_TierList,0))))</f>
        <v/>
      </c>
      <c r="T701" s="23"/>
      <c r="U701" s="23"/>
      <c r="V701" s="23"/>
      <c r="W701" s="32" t="b">
        <f t="shared" si="48"/>
        <v>1</v>
      </c>
    </row>
    <row r="702" spans="1:23" s="24" customFormat="1" ht="12.75" customHeight="1" outlineLevel="1" x14ac:dyDescent="0.2">
      <c r="A702" s="23"/>
      <c r="D702" s="25" t="s">
        <v>1469</v>
      </c>
      <c r="E702" s="1039" t="str">
        <f t="shared" si="46"/>
        <v>Conversion factor</v>
      </c>
      <c r="F702" s="1039"/>
      <c r="G702" s="1039"/>
      <c r="H702" s="30" t="str">
        <f t="shared" si="47"/>
        <v/>
      </c>
      <c r="I702" s="192"/>
      <c r="J702" s="192"/>
      <c r="K702" s="213"/>
      <c r="L702" s="271"/>
      <c r="M702" s="213"/>
      <c r="N702" s="196"/>
      <c r="P702" s="29"/>
      <c r="Q702" s="23"/>
      <c r="R702" s="23"/>
      <c r="S702" s="63" t="str">
        <f>IF(H702="","",IF(I692=EUconst_NA,"",INDEX(EUwideConstants!$AL:$AR,MATCH(Q692,EUwideConstants!$S:$S,0),MATCH(I692,CNTR_TierList,0))))</f>
        <v/>
      </c>
      <c r="T702" s="23"/>
      <c r="U702" s="23"/>
      <c r="V702" s="23"/>
      <c r="W702" s="32" t="b">
        <f t="shared" si="48"/>
        <v>1</v>
      </c>
    </row>
    <row r="703" spans="1:23" s="24" customFormat="1" ht="12.75" customHeight="1" outlineLevel="1" x14ac:dyDescent="0.2">
      <c r="A703" s="23"/>
      <c r="D703" s="25" t="s">
        <v>1470</v>
      </c>
      <c r="E703" s="1039" t="str">
        <f t="shared" si="46"/>
        <v>Carbon content</v>
      </c>
      <c r="F703" s="1039"/>
      <c r="G703" s="1039"/>
      <c r="H703" s="30" t="str">
        <f t="shared" si="47"/>
        <v/>
      </c>
      <c r="I703" s="192"/>
      <c r="J703" s="192"/>
      <c r="K703" s="213"/>
      <c r="L703" s="213"/>
      <c r="M703" s="213"/>
      <c r="N703" s="196"/>
      <c r="P703" s="29"/>
      <c r="Q703" s="23"/>
      <c r="R703" s="23"/>
      <c r="S703" s="63" t="str">
        <f>IF(H703="","",IF(I693=EUconst_NA,"",INDEX(EUwideConstants!$AL:$AR,MATCH(Q693,EUwideConstants!$S:$S,0),MATCH(I693,CNTR_TierList,0))))</f>
        <v/>
      </c>
      <c r="T703" s="23"/>
      <c r="U703" s="23"/>
      <c r="V703" s="23"/>
      <c r="W703" s="32" t="b">
        <f t="shared" si="48"/>
        <v>1</v>
      </c>
    </row>
    <row r="704" spans="1:23" s="24" customFormat="1" ht="12.75" customHeight="1" outlineLevel="1" x14ac:dyDescent="0.2">
      <c r="A704" s="23"/>
      <c r="D704" s="25" t="s">
        <v>1471</v>
      </c>
      <c r="E704" s="1039" t="str">
        <f t="shared" si="46"/>
        <v>Biomass fraction (if applicable)</v>
      </c>
      <c r="F704" s="1039"/>
      <c r="G704" s="1039"/>
      <c r="H704" s="30" t="str">
        <f t="shared" si="47"/>
        <v/>
      </c>
      <c r="I704" s="192"/>
      <c r="J704" s="197"/>
      <c r="K704" s="213"/>
      <c r="L704" s="213"/>
      <c r="M704" s="213"/>
      <c r="N704" s="196"/>
      <c r="P704" s="47"/>
      <c r="Q704" s="23"/>
      <c r="R704" s="23"/>
      <c r="S704" s="63" t="str">
        <f>IF(H704="","",IF(I694=EUconst_NA,"",INDEX(EUwideConstants!$AL:$AR,MATCH(Q694,EUwideConstants!$S:$S,0),MATCH(I694,CNTR_TierList,0))))</f>
        <v/>
      </c>
      <c r="T704" s="23"/>
      <c r="U704" s="23"/>
      <c r="V704" s="23"/>
      <c r="W704" s="32" t="b">
        <f t="shared" si="48"/>
        <v>1</v>
      </c>
    </row>
    <row r="705" spans="1:23" s="24" customFormat="1" ht="12.75" customHeight="1" outlineLevel="1" x14ac:dyDescent="0.2">
      <c r="A705" s="23"/>
      <c r="D705" s="13"/>
      <c r="P705" s="29"/>
      <c r="Q705" s="23"/>
      <c r="R705" s="23"/>
      <c r="S705" s="23"/>
      <c r="T705" s="23"/>
      <c r="U705" s="23"/>
      <c r="V705" s="23"/>
      <c r="W705" s="23"/>
    </row>
    <row r="706" spans="1:23" s="24" customFormat="1" ht="15" customHeight="1" outlineLevel="1" x14ac:dyDescent="0.2">
      <c r="A706" s="23"/>
      <c r="D706" s="1040" t="str">
        <f>Translations!$B$545</f>
        <v>Comments and explanations:</v>
      </c>
      <c r="E706" s="1040"/>
      <c r="F706" s="1040"/>
      <c r="G706" s="1040"/>
      <c r="H706" s="1040"/>
      <c r="I706" s="1040"/>
      <c r="J706" s="1040"/>
      <c r="K706" s="1040"/>
      <c r="L706" s="1040"/>
      <c r="M706" s="1040"/>
      <c r="N706" s="1040"/>
      <c r="P706" s="29"/>
      <c r="Q706" s="29"/>
      <c r="R706" s="29"/>
      <c r="S706" s="29"/>
      <c r="T706" s="6"/>
      <c r="U706" s="23"/>
      <c r="V706" s="23"/>
      <c r="W706" s="23"/>
    </row>
    <row r="707" spans="1:23" s="24" customFormat="1" ht="5.0999999999999996" customHeight="1" outlineLevel="1" x14ac:dyDescent="0.2">
      <c r="A707" s="23"/>
      <c r="D707" s="13"/>
      <c r="P707" s="29"/>
      <c r="Q707" s="23"/>
      <c r="R707" s="23"/>
      <c r="S707" s="23"/>
      <c r="T707" s="23"/>
      <c r="U707" s="23"/>
      <c r="V707" s="23"/>
      <c r="W707" s="23"/>
    </row>
    <row r="708" spans="1:23" s="24" customFormat="1" ht="12.75" customHeight="1" outlineLevel="1" x14ac:dyDescent="0.2">
      <c r="A708" s="23"/>
      <c r="D708" s="13" t="s">
        <v>1351</v>
      </c>
      <c r="E708" s="946" t="str">
        <f>Translations!$B$1198</f>
        <v>Comments and justification if required tiers are not applied:</v>
      </c>
      <c r="F708" s="946"/>
      <c r="G708" s="946"/>
      <c r="H708" s="946"/>
      <c r="I708" s="946"/>
      <c r="J708" s="946"/>
      <c r="K708" s="946"/>
      <c r="L708" s="946"/>
      <c r="M708" s="946"/>
      <c r="N708" s="946"/>
      <c r="P708" s="29"/>
      <c r="Q708" s="23"/>
      <c r="R708" s="23"/>
      <c r="S708" s="23"/>
      <c r="T708" s="23"/>
      <c r="U708" s="23"/>
      <c r="V708" s="23"/>
      <c r="W708" s="23"/>
    </row>
    <row r="709" spans="1:23" s="24" customFormat="1" ht="5.0999999999999996" customHeight="1" outlineLevel="1" x14ac:dyDescent="0.2">
      <c r="A709" s="23"/>
      <c r="D709" s="13"/>
      <c r="E709" s="48"/>
      <c r="P709" s="29"/>
      <c r="Q709" s="23"/>
      <c r="R709" s="23"/>
      <c r="S709" s="23"/>
      <c r="T709" s="23"/>
      <c r="U709" s="23"/>
      <c r="V709" s="23"/>
      <c r="W709" s="23"/>
    </row>
    <row r="710" spans="1:23" s="24" customFormat="1" ht="12.75" customHeight="1" outlineLevel="1" x14ac:dyDescent="0.2">
      <c r="A710" s="23"/>
      <c r="D710" s="13"/>
      <c r="E710" s="1045"/>
      <c r="F710" s="955"/>
      <c r="G710" s="955"/>
      <c r="H710" s="955"/>
      <c r="I710" s="955"/>
      <c r="J710" s="955"/>
      <c r="K710" s="955"/>
      <c r="L710" s="955"/>
      <c r="M710" s="955"/>
      <c r="N710" s="956"/>
      <c r="P710" s="29"/>
      <c r="Q710" s="23"/>
      <c r="R710" s="23"/>
      <c r="S710" s="23"/>
      <c r="T710" s="23"/>
      <c r="U710" s="23"/>
      <c r="V710" s="23"/>
      <c r="W710" s="23"/>
    </row>
    <row r="711" spans="1:23" s="24" customFormat="1" ht="12.75" customHeight="1" outlineLevel="1" x14ac:dyDescent="0.2">
      <c r="A711" s="23"/>
      <c r="D711" s="13"/>
      <c r="E711" s="1037"/>
      <c r="F711" s="958"/>
      <c r="G711" s="958"/>
      <c r="H711" s="958"/>
      <c r="I711" s="958"/>
      <c r="J711" s="958"/>
      <c r="K711" s="958"/>
      <c r="L711" s="958"/>
      <c r="M711" s="958"/>
      <c r="N711" s="959"/>
      <c r="P711" s="29"/>
      <c r="Q711" s="23"/>
      <c r="R711" s="23"/>
      <c r="S711" s="23"/>
      <c r="T711" s="23"/>
      <c r="U711" s="23"/>
      <c r="V711" s="23"/>
      <c r="W711" s="23"/>
    </row>
    <row r="712" spans="1:23" s="24" customFormat="1" ht="12.75" customHeight="1" outlineLevel="1" x14ac:dyDescent="0.2">
      <c r="A712" s="23"/>
      <c r="D712" s="13"/>
      <c r="E712" s="1038"/>
      <c r="F712" s="961"/>
      <c r="G712" s="961"/>
      <c r="H712" s="961"/>
      <c r="I712" s="961"/>
      <c r="J712" s="961"/>
      <c r="K712" s="961"/>
      <c r="L712" s="961"/>
      <c r="M712" s="961"/>
      <c r="N712" s="962"/>
      <c r="P712" s="29"/>
      <c r="Q712" s="23"/>
      <c r="R712" s="23"/>
      <c r="S712" s="23"/>
      <c r="T712" s="23"/>
      <c r="U712" s="23"/>
      <c r="V712" s="23"/>
      <c r="W712" s="23"/>
    </row>
    <row r="713" spans="1:23" ht="12.75" customHeight="1" thickBot="1" x14ac:dyDescent="0.25">
      <c r="A713" s="72"/>
      <c r="C713" s="54"/>
      <c r="D713" s="55"/>
      <c r="E713" s="56"/>
      <c r="F713" s="54"/>
      <c r="G713" s="57"/>
      <c r="H713" s="57"/>
      <c r="I713" s="57"/>
      <c r="J713" s="57"/>
      <c r="K713" s="57"/>
      <c r="L713" s="57"/>
      <c r="M713" s="57"/>
      <c r="N713" s="57"/>
      <c r="O713" s="24"/>
      <c r="P713" s="15"/>
      <c r="Q713" s="72"/>
      <c r="R713" s="72"/>
      <c r="S713" s="75"/>
      <c r="T713" s="72"/>
      <c r="U713" s="72"/>
      <c r="V713" s="72"/>
      <c r="W713" s="72"/>
    </row>
    <row r="714" spans="1:23" ht="12.75" customHeight="1" thickBot="1" x14ac:dyDescent="0.25">
      <c r="A714" s="17" t="s">
        <v>1375</v>
      </c>
      <c r="D714" s="13"/>
      <c r="E714" s="22"/>
      <c r="G714" s="2"/>
      <c r="H714" s="2"/>
      <c r="I714" s="2"/>
      <c r="J714" s="2"/>
      <c r="L714" s="2"/>
      <c r="M714" s="2"/>
      <c r="N714" s="2"/>
      <c r="O714" s="24"/>
      <c r="P714" s="15"/>
      <c r="Q714" s="72"/>
      <c r="R714" s="72"/>
      <c r="S714" s="66" t="s">
        <v>470</v>
      </c>
      <c r="T714" s="107" t="s">
        <v>471</v>
      </c>
      <c r="U714" s="107" t="s">
        <v>472</v>
      </c>
      <c r="V714" s="72"/>
      <c r="W714" s="72"/>
    </row>
    <row r="715" spans="1:23" s="186" customFormat="1" ht="15" customHeight="1" thickBot="1" x14ac:dyDescent="0.25">
      <c r="A715" s="76"/>
      <c r="B715" s="34"/>
      <c r="C715" s="35" t="str">
        <f>"F"&amp;Q715</f>
        <v>F10</v>
      </c>
      <c r="D715" s="1040" t="str">
        <f>CONCATENATE(Euconst_SourceStream," ", Q715,":")</f>
        <v>Source Stream 10:</v>
      </c>
      <c r="E715" s="1040"/>
      <c r="F715" s="1040"/>
      <c r="G715" s="1066"/>
      <c r="H715" s="1067" t="str">
        <f>IF(INDEX(C_InstallationDescription!$F$194:$F$204,MATCH(C715,C_InstallationDescription!$E$194:$E$204,0))&gt;0,INDEX(C_InstallationDescription!$F$194:$F$204,MATCH(C715,C_InstallationDescription!$E$194:$E$204,0)),"")</f>
        <v/>
      </c>
      <c r="I715" s="1067"/>
      <c r="J715" s="1067"/>
      <c r="K715" s="1067"/>
      <c r="L715" s="1068"/>
      <c r="M715" s="1069" t="str">
        <f>IF(S715=TRUE,IF(U715="",T715,U715),"")</f>
        <v/>
      </c>
      <c r="N715" s="1070"/>
      <c r="O715" s="24"/>
      <c r="P715" s="41"/>
      <c r="Q715" s="33">
        <f>Q649+1</f>
        <v>10</v>
      </c>
      <c r="R715" s="37"/>
      <c r="S715" s="40" t="b">
        <f>IF(INDEX(C_InstallationDescription!$M:$M,MATCH(Q717,C_InstallationDescription!$Q:$Q,0))="",FALSE,TRUE)</f>
        <v>0</v>
      </c>
      <c r="T715" s="92" t="str">
        <f>IF(S715=TRUE,INDEX(C_InstallationDescription!$M:$M,MATCH(Q717,C_InstallationDescription!$Q:$Q,0)),"")</f>
        <v/>
      </c>
      <c r="U715" s="40" t="str">
        <f>IF(S715=TRUE,IF(ISBLANK(INDEX(C_InstallationDescription!$N:$N,MATCH(Q717,C_InstallationDescription!$Q:$Q,0))),"",INDEX(C_InstallationDescription!$N:$N,MATCH(Q717,C_InstallationDescription!$Q:$Q,0))),"")</f>
        <v/>
      </c>
      <c r="V715" s="37"/>
      <c r="W715" s="37"/>
    </row>
    <row r="716" spans="1:23" s="24" customFormat="1" ht="5.0999999999999996" customHeight="1" x14ac:dyDescent="0.2">
      <c r="A716" s="72"/>
      <c r="B716" s="8"/>
      <c r="C716" s="8"/>
      <c r="D716" s="8"/>
      <c r="E716" s="8"/>
      <c r="F716" s="8"/>
      <c r="G716" s="8"/>
      <c r="H716" s="8"/>
      <c r="I716" s="8"/>
      <c r="J716" s="8"/>
      <c r="K716" s="8"/>
      <c r="L716" s="8"/>
      <c r="M716" s="7"/>
      <c r="N716" s="7"/>
      <c r="P716" s="17"/>
      <c r="Q716" s="12"/>
      <c r="R716" s="23"/>
      <c r="S716" s="23"/>
      <c r="T716" s="23"/>
      <c r="U716" s="23"/>
      <c r="V716" s="23"/>
      <c r="W716" s="23"/>
    </row>
    <row r="717" spans="1:23" s="24" customFormat="1" ht="12.75" customHeight="1" x14ac:dyDescent="0.2">
      <c r="A717" s="72"/>
      <c r="B717" s="8"/>
      <c r="C717" s="8"/>
      <c r="D717" s="13"/>
      <c r="E717" s="924" t="str">
        <f>Translations!$B$437</f>
        <v>Source stream type:</v>
      </c>
      <c r="F717" s="924"/>
      <c r="G717" s="925"/>
      <c r="H717" s="1071" t="str">
        <f>IF(INDEX(C_InstallationDescription!$I$194:$I$204,MATCH(C715,C_InstallationDescription!$E$194:$E$204,0))&gt;0,INDEX(C_InstallationDescription!$I$194:$I$204,MATCH(C715,C_InstallationDescription!$E$194:$E$204,0)),"")</f>
        <v/>
      </c>
      <c r="I717" s="1072"/>
      <c r="J717" s="1072"/>
      <c r="K717" s="1072"/>
      <c r="L717" s="1073"/>
      <c r="P717" s="17"/>
      <c r="Q717" s="39" t="str">
        <f>EUconst_CNTR_SourceCategory&amp;C715</f>
        <v>SourceCategory_F10</v>
      </c>
      <c r="R717" s="23"/>
      <c r="S717" s="23"/>
      <c r="T717" s="23"/>
      <c r="U717" s="23"/>
      <c r="V717" s="23"/>
      <c r="W717" s="23"/>
    </row>
    <row r="718" spans="1:23" s="24" customFormat="1" ht="12.75" customHeight="1" outlineLevel="1" x14ac:dyDescent="0.2">
      <c r="A718" s="23"/>
      <c r="B718" s="8"/>
      <c r="C718" s="8"/>
      <c r="D718" s="11"/>
      <c r="E718" s="924" t="str">
        <f>Translations!$B$438</f>
        <v>Method applicable according to MRR:</v>
      </c>
      <c r="F718" s="924"/>
      <c r="G718" s="925"/>
      <c r="H718" s="1062" t="str">
        <f>IF(H717="","",INDEX(EUwideConstants!$F$265:$F$335,MATCH(H717,EUConst_TierActivityListNames,0)))</f>
        <v/>
      </c>
      <c r="I718" s="1062"/>
      <c r="J718" s="1062"/>
      <c r="K718" s="1062"/>
      <c r="L718" s="1062"/>
      <c r="M718" s="2"/>
      <c r="N718" s="2"/>
      <c r="P718" s="17"/>
      <c r="Q718" s="12"/>
      <c r="R718" s="23"/>
      <c r="S718" s="23"/>
      <c r="T718" s="23"/>
      <c r="U718" s="23"/>
      <c r="V718" s="23"/>
      <c r="W718" s="23"/>
    </row>
    <row r="719" spans="1:23" s="24" customFormat="1" ht="12.75" customHeight="1" outlineLevel="1" x14ac:dyDescent="0.2">
      <c r="A719" s="23"/>
      <c r="D719" s="38"/>
      <c r="E719" s="924" t="str">
        <f>Translations!$B$439</f>
        <v>Parameter to which uncertainty applies:</v>
      </c>
      <c r="F719" s="924"/>
      <c r="G719" s="925"/>
      <c r="H719" s="1062" t="str">
        <f>IF(H717="","",INDEX(EUwideConstants!$E$265:$E$335,MATCH(H717,EUConst_TierActivityListNames,0)))</f>
        <v/>
      </c>
      <c r="I719" s="1062"/>
      <c r="J719" s="1062"/>
      <c r="K719" s="1062"/>
      <c r="L719" s="1062"/>
      <c r="P719" s="17"/>
      <c r="Q719" s="12"/>
      <c r="R719" s="23"/>
      <c r="S719" s="23"/>
      <c r="T719" s="23"/>
      <c r="U719" s="23"/>
      <c r="V719" s="23"/>
      <c r="W719" s="23"/>
    </row>
    <row r="720" spans="1:23" s="24" customFormat="1" ht="5.0999999999999996" customHeight="1" outlineLevel="1" x14ac:dyDescent="0.2">
      <c r="A720" s="23"/>
      <c r="P720" s="29"/>
      <c r="Q720" s="23"/>
      <c r="R720" s="23"/>
      <c r="S720" s="23"/>
      <c r="T720" s="23"/>
      <c r="U720" s="23"/>
      <c r="V720" s="23"/>
      <c r="W720" s="23"/>
    </row>
    <row r="721" spans="1:23" s="24" customFormat="1" ht="51" customHeight="1" outlineLevel="1" x14ac:dyDescent="0.2">
      <c r="A721" s="23"/>
      <c r="D721" s="13"/>
      <c r="E721" s="1063" t="str">
        <f>IF(H715="","",INDEX(EUconst_SmallEmiSouStreamMsg,MATCH(Q721,EUconst_SmallEmiSouStream,0)))</f>
        <v/>
      </c>
      <c r="F721" s="1064"/>
      <c r="G721" s="1064"/>
      <c r="H721" s="1064"/>
      <c r="I721" s="1064"/>
      <c r="J721" s="1064"/>
      <c r="K721" s="1064"/>
      <c r="L721" s="1064"/>
      <c r="M721" s="1064"/>
      <c r="N721" s="1065"/>
      <c r="P721" s="15"/>
      <c r="Q721" s="43" t="str">
        <f>IF(CNTR_SmallEmitter=TRUE,EUconst_CNTR_SmallEmitter,EUconst_CNTR_NoSmallEmitter) &amp; IF((CNTR_Category)="","C",CNTR_Category) &amp; "_" &amp; IF(M715="",1,MATCH(M715,SourceCategory,0))</f>
        <v>NoSmallEmitter_C_1</v>
      </c>
      <c r="R721" s="23"/>
      <c r="S721" s="23"/>
      <c r="T721" s="23"/>
      <c r="U721" s="23"/>
      <c r="V721" s="23"/>
      <c r="W721" s="23"/>
    </row>
    <row r="722" spans="1:23" s="24" customFormat="1" ht="12.75" customHeight="1" outlineLevel="1" x14ac:dyDescent="0.2">
      <c r="A722" s="23"/>
      <c r="D722" s="13"/>
      <c r="P722" s="29"/>
      <c r="Q722" s="23"/>
      <c r="R722" s="23"/>
      <c r="S722" s="23"/>
      <c r="T722" s="23"/>
      <c r="U722" s="23"/>
      <c r="V722" s="23"/>
      <c r="W722" s="23"/>
    </row>
    <row r="723" spans="1:23" s="24" customFormat="1" ht="15" customHeight="1" outlineLevel="1" x14ac:dyDescent="0.2">
      <c r="A723" s="23"/>
      <c r="D723" s="1040" t="str">
        <f>Translations!$B$454</f>
        <v>Activity Data:</v>
      </c>
      <c r="E723" s="1040"/>
      <c r="F723" s="1040"/>
      <c r="G723" s="1040"/>
      <c r="H723" s="1040"/>
      <c r="I723" s="1040"/>
      <c r="J723" s="1040"/>
      <c r="K723" s="1040"/>
      <c r="L723" s="1040"/>
      <c r="M723" s="1040"/>
      <c r="N723" s="1040"/>
      <c r="P723" s="29"/>
      <c r="Q723" s="23"/>
      <c r="R723" s="23"/>
      <c r="S723" s="23"/>
      <c r="T723" s="23"/>
      <c r="U723" s="23"/>
      <c r="V723" s="23"/>
      <c r="W723" s="23"/>
    </row>
    <row r="724" spans="1:23" s="24" customFormat="1" ht="5.0999999999999996" customHeight="1" outlineLevel="1" x14ac:dyDescent="0.2">
      <c r="A724" s="23"/>
      <c r="D724" s="13"/>
      <c r="P724" s="29"/>
      <c r="Q724" s="23"/>
      <c r="R724" s="23"/>
      <c r="S724" s="23"/>
      <c r="T724" s="23"/>
      <c r="U724" s="23"/>
      <c r="V724" s="23"/>
      <c r="W724" s="23"/>
    </row>
    <row r="725" spans="1:23" s="24" customFormat="1" outlineLevel="1" x14ac:dyDescent="0.2">
      <c r="A725" s="23"/>
      <c r="D725" s="13" t="s">
        <v>1018</v>
      </c>
      <c r="E725" s="825" t="str">
        <f>Translations!$B$455</f>
        <v>Activity data determination method:</v>
      </c>
      <c r="F725" s="825"/>
      <c r="G725" s="825"/>
      <c r="H725" s="825"/>
      <c r="I725" s="825"/>
      <c r="J725" s="825"/>
      <c r="K725" s="825"/>
      <c r="L725" s="825"/>
      <c r="M725" s="825"/>
      <c r="N725" s="825"/>
      <c r="P725" s="29"/>
      <c r="Q725" s="23"/>
      <c r="R725" s="23"/>
      <c r="S725" s="23"/>
      <c r="T725" s="23"/>
      <c r="U725" s="23"/>
      <c r="V725" s="23"/>
      <c r="W725" s="23"/>
    </row>
    <row r="726" spans="1:23" s="24" customFormat="1" ht="5.0999999999999996" customHeight="1" outlineLevel="1" x14ac:dyDescent="0.2">
      <c r="A726" s="23"/>
      <c r="D726" s="13"/>
      <c r="E726" s="14"/>
      <c r="F726" s="14"/>
      <c r="G726" s="14"/>
      <c r="H726" s="14"/>
      <c r="I726" s="14"/>
      <c r="L726" s="22"/>
      <c r="P726" s="29"/>
      <c r="Q726" s="23"/>
      <c r="R726" s="23"/>
      <c r="S726" s="23"/>
      <c r="T726" s="23"/>
      <c r="U726" s="23"/>
      <c r="V726" s="23"/>
      <c r="W726" s="23"/>
    </row>
    <row r="727" spans="1:23" s="24" customFormat="1" ht="12.75" customHeight="1" outlineLevel="1" x14ac:dyDescent="0.2">
      <c r="A727" s="23"/>
      <c r="D727" s="25" t="s">
        <v>1030</v>
      </c>
      <c r="E727" s="11" t="str">
        <f>Translations!$B$456</f>
        <v>Determination method:</v>
      </c>
      <c r="G727" s="14"/>
      <c r="H727" s="1060"/>
      <c r="I727" s="1061"/>
      <c r="P727" s="220"/>
      <c r="Q727" s="23"/>
      <c r="R727" s="23"/>
      <c r="S727" s="23"/>
      <c r="T727" s="23"/>
      <c r="U727" s="23"/>
      <c r="V727" s="23"/>
      <c r="W727" s="63" t="str">
        <f>IF(M715="","",IF(M715=INDEX(SourceCategory,3),1,IF(CNTR_InstHasCalculation=FALSE,0,2)))</f>
        <v/>
      </c>
    </row>
    <row r="728" spans="1:23" s="24" customFormat="1" ht="5.0999999999999996" customHeight="1" outlineLevel="1" x14ac:dyDescent="0.2">
      <c r="A728" s="23"/>
      <c r="D728" s="25"/>
      <c r="G728" s="14"/>
      <c r="H728" s="44"/>
      <c r="I728" s="44"/>
      <c r="P728" s="29"/>
      <c r="Q728" s="23"/>
      <c r="R728" s="23"/>
      <c r="S728" s="23"/>
      <c r="T728" s="23"/>
      <c r="U728" s="23"/>
      <c r="V728" s="23"/>
      <c r="W728" s="23"/>
    </row>
    <row r="729" spans="1:23" s="24" customFormat="1" ht="12.75" customHeight="1" outlineLevel="1" x14ac:dyDescent="0.2">
      <c r="A729" s="23"/>
      <c r="E729" s="46"/>
      <c r="F729" s="1049" t="str">
        <f>Translations!$B$459</f>
        <v>Reference to procedure used for determining stock piles at end of year:</v>
      </c>
      <c r="G729" s="1049"/>
      <c r="H729" s="1049"/>
      <c r="I729" s="1049"/>
      <c r="J729" s="1050"/>
      <c r="K729" s="1060"/>
      <c r="L729" s="1061"/>
      <c r="P729" s="29"/>
      <c r="Q729" s="23"/>
      <c r="R729" s="23"/>
      <c r="S729" s="23"/>
      <c r="T729" s="23"/>
      <c r="U729" s="29"/>
      <c r="V729" s="32" t="b">
        <f>IF(OR(H715="",ISBLANK(H727)),FALSE,IF(MATCH(H727,EUconst_ActivityDeterminationMethod,0)=2,TRUE,FALSE))</f>
        <v>0</v>
      </c>
      <c r="W729" s="63" t="str">
        <f>IF(V729=TRUE,0,W727)</f>
        <v/>
      </c>
    </row>
    <row r="730" spans="1:23" s="24" customFormat="1" ht="5.0999999999999996" customHeight="1" outlineLevel="1" x14ac:dyDescent="0.2">
      <c r="A730" s="23"/>
      <c r="P730" s="29"/>
      <c r="Q730" s="23"/>
      <c r="R730" s="23"/>
      <c r="S730" s="23"/>
      <c r="T730" s="23"/>
      <c r="U730" s="23"/>
      <c r="V730" s="23"/>
      <c r="W730" s="23"/>
    </row>
    <row r="731" spans="1:23" s="24" customFormat="1" ht="12.75" customHeight="1" outlineLevel="1" x14ac:dyDescent="0.2">
      <c r="A731" s="23"/>
      <c r="D731" s="46" t="s">
        <v>1031</v>
      </c>
      <c r="E731" s="11" t="str">
        <f>Translations!$B$462</f>
        <v>Instrument under control of:</v>
      </c>
      <c r="G731" s="14"/>
      <c r="H731" s="1060"/>
      <c r="I731" s="1061"/>
      <c r="J731" s="25"/>
      <c r="P731" s="29"/>
      <c r="Q731" s="23"/>
      <c r="R731" s="23"/>
      <c r="S731" s="23"/>
      <c r="T731" s="23"/>
      <c r="U731" s="23"/>
      <c r="V731" s="23"/>
      <c r="W731" s="63" t="str">
        <f>W727</f>
        <v/>
      </c>
    </row>
    <row r="732" spans="1:23" s="24" customFormat="1" ht="5.0999999999999996" customHeight="1" outlineLevel="1" x14ac:dyDescent="0.2">
      <c r="A732" s="23"/>
      <c r="D732" s="25"/>
      <c r="G732" s="14"/>
      <c r="H732" s="44"/>
      <c r="I732" s="44"/>
      <c r="J732" s="25"/>
      <c r="P732" s="29"/>
      <c r="Q732" s="23"/>
      <c r="R732" s="23"/>
      <c r="S732" s="23"/>
      <c r="T732" s="23"/>
      <c r="U732" s="23"/>
      <c r="V732" s="23"/>
      <c r="W732" s="23"/>
    </row>
    <row r="733" spans="1:23" s="24" customFormat="1" ht="12.75" customHeight="1" outlineLevel="1" x14ac:dyDescent="0.2">
      <c r="A733" s="23"/>
      <c r="D733" s="25"/>
      <c r="E733" s="46" t="s">
        <v>1296</v>
      </c>
      <c r="F733" s="767" t="str">
        <f>Translations!$B$465</f>
        <v>Please confirm that the conditions of Article 29(1) are satisfied:</v>
      </c>
      <c r="G733" s="732"/>
      <c r="H733" s="732"/>
      <c r="I733" s="732"/>
      <c r="J733" s="732"/>
      <c r="K733" s="732"/>
      <c r="L733" s="192"/>
      <c r="P733" s="29"/>
      <c r="Q733" s="23"/>
      <c r="R733" s="23"/>
      <c r="S733" s="23"/>
      <c r="T733" s="23"/>
      <c r="U733" s="23"/>
      <c r="V733" s="32" t="b">
        <f>IF(OR(H715="",ISBLANK(H731)),FALSE,IF(MATCH(H731,EUconst_OwnerInstrument,0)=1,TRUE,FALSE))</f>
        <v>0</v>
      </c>
      <c r="W733" s="63" t="str">
        <f>IF(V733=TRUE,0,W727)</f>
        <v/>
      </c>
    </row>
    <row r="734" spans="1:23" s="24" customFormat="1" ht="5.0999999999999996" customHeight="1" outlineLevel="1" x14ac:dyDescent="0.2">
      <c r="A734" s="23"/>
      <c r="D734" s="25"/>
      <c r="E734" s="25"/>
      <c r="G734" s="14"/>
      <c r="N734" s="44"/>
      <c r="P734" s="29"/>
      <c r="Q734" s="23"/>
      <c r="R734" s="23"/>
      <c r="S734" s="23"/>
      <c r="T734" s="23"/>
      <c r="U734" s="23"/>
      <c r="V734" s="16"/>
      <c r="W734" s="23"/>
    </row>
    <row r="735" spans="1:23" s="24" customFormat="1" ht="12.75" customHeight="1" outlineLevel="1" x14ac:dyDescent="0.2">
      <c r="A735" s="23"/>
      <c r="D735" s="25"/>
      <c r="E735" s="46" t="s">
        <v>1297</v>
      </c>
      <c r="F735" s="1049" t="str">
        <f>Translations!$B$468</f>
        <v>Do you use invoices for determining the amount of this fuel or material?</v>
      </c>
      <c r="G735" s="1049"/>
      <c r="H735" s="1049"/>
      <c r="I735" s="1049"/>
      <c r="J735" s="1049"/>
      <c r="K735" s="1050"/>
      <c r="L735" s="192"/>
      <c r="P735" s="29"/>
      <c r="Q735" s="23"/>
      <c r="R735" s="23"/>
      <c r="S735" s="23"/>
      <c r="T735" s="23"/>
      <c r="U735" s="23"/>
      <c r="V735" s="32" t="b">
        <f>IF(OR(H715="",ISBLANK(H731)),FALSE,IF(MATCH(H731,EUconst_OwnerInstrument,0)=1,TRUE,FALSE))</f>
        <v>0</v>
      </c>
      <c r="W735" s="63" t="str">
        <f>IF(V735=TRUE,0,W727)</f>
        <v/>
      </c>
    </row>
    <row r="736" spans="1:23" s="24" customFormat="1" ht="5.0999999999999996" customHeight="1" outlineLevel="1" x14ac:dyDescent="0.2">
      <c r="A736" s="23"/>
      <c r="D736" s="25"/>
      <c r="E736" s="25"/>
      <c r="G736" s="14"/>
      <c r="J736" s="25"/>
      <c r="L736" s="45"/>
      <c r="P736" s="29"/>
      <c r="Q736" s="23"/>
      <c r="R736" s="23"/>
      <c r="S736" s="23"/>
      <c r="T736" s="23"/>
      <c r="U736" s="23"/>
      <c r="V736" s="23"/>
      <c r="W736" s="23"/>
    </row>
    <row r="737" spans="1:23" s="24" customFormat="1" ht="12.75" customHeight="1" outlineLevel="1" x14ac:dyDescent="0.2">
      <c r="A737" s="23"/>
      <c r="D737" s="25"/>
      <c r="E737" s="46" t="s">
        <v>1298</v>
      </c>
      <c r="F737" s="1049" t="str">
        <f>Translations!$B$469</f>
        <v>Please confirm that the trade partner and the operator are independent:</v>
      </c>
      <c r="G737" s="1049"/>
      <c r="H737" s="1049"/>
      <c r="I737" s="1049"/>
      <c r="J737" s="1049"/>
      <c r="K737" s="1050"/>
      <c r="L737" s="192"/>
      <c r="P737" s="29"/>
      <c r="Q737" s="23"/>
      <c r="R737" s="23"/>
      <c r="S737" s="23"/>
      <c r="T737" s="23"/>
      <c r="U737" s="23"/>
      <c r="V737" s="32" t="b">
        <f>IF(OR(H715="",ISBLANK(H731)),FALSE,IF(MATCH(H731,EUconst_OwnerInstrument,0)=1,TRUE,FALSE))</f>
        <v>0</v>
      </c>
      <c r="W737" s="63" t="str">
        <f>IF(V737=TRUE,0,W727)</f>
        <v/>
      </c>
    </row>
    <row r="738" spans="1:23" s="24" customFormat="1" outlineLevel="1" x14ac:dyDescent="0.2">
      <c r="A738" s="23"/>
      <c r="P738" s="29"/>
      <c r="Q738" s="23"/>
      <c r="R738" s="23"/>
      <c r="S738" s="23"/>
      <c r="T738" s="23"/>
      <c r="U738" s="23"/>
      <c r="V738" s="23"/>
      <c r="W738" s="23"/>
    </row>
    <row r="739" spans="1:23" s="24" customFormat="1" ht="12.75" customHeight="1" outlineLevel="1" x14ac:dyDescent="0.2">
      <c r="A739" s="23"/>
      <c r="D739" s="13" t="s">
        <v>1020</v>
      </c>
      <c r="E739" s="14" t="str">
        <f>Translations!$B$472</f>
        <v>Measurement instruments used:</v>
      </c>
      <c r="H739" s="215"/>
      <c r="I739" s="215"/>
      <c r="J739" s="215"/>
      <c r="K739" s="215"/>
      <c r="L739" s="215"/>
      <c r="P739" s="15"/>
      <c r="Q739" s="23"/>
      <c r="R739" s="23"/>
      <c r="S739" s="23"/>
      <c r="T739" s="23"/>
      <c r="U739" s="23"/>
      <c r="V739" s="23"/>
      <c r="W739" s="23"/>
    </row>
    <row r="740" spans="1:23" s="24" customFormat="1" ht="5.0999999999999996" customHeight="1" outlineLevel="1" x14ac:dyDescent="0.2">
      <c r="A740" s="23"/>
      <c r="D740" s="13"/>
      <c r="E740" s="14"/>
      <c r="P740" s="15"/>
      <c r="Q740" s="23"/>
      <c r="R740" s="23"/>
      <c r="S740" s="23"/>
      <c r="T740" s="23"/>
      <c r="U740" s="23"/>
      <c r="V740" s="23"/>
      <c r="W740" s="23"/>
    </row>
    <row r="741" spans="1:23" s="24" customFormat="1" outlineLevel="1" x14ac:dyDescent="0.2">
      <c r="A741" s="23"/>
      <c r="D741" s="13"/>
      <c r="E741" s="24" t="str">
        <f>Translations!$B$475</f>
        <v>Comment / Description of approach, if several instruments used:</v>
      </c>
      <c r="I741" s="11"/>
      <c r="P741" s="29"/>
      <c r="Q741" s="23"/>
      <c r="R741" s="23"/>
      <c r="S741" s="23"/>
      <c r="T741" s="23"/>
      <c r="U741" s="23"/>
      <c r="V741" s="23"/>
      <c r="W741" s="23"/>
    </row>
    <row r="742" spans="1:23" s="24" customFormat="1" ht="12.75" customHeight="1" outlineLevel="1" x14ac:dyDescent="0.2">
      <c r="A742" s="23"/>
      <c r="D742" s="13"/>
      <c r="E742" s="1051"/>
      <c r="F742" s="1052"/>
      <c r="G742" s="1052"/>
      <c r="H742" s="1052"/>
      <c r="I742" s="1052"/>
      <c r="J742" s="1052"/>
      <c r="K742" s="1052"/>
      <c r="L742" s="1052"/>
      <c r="M742" s="1052"/>
      <c r="N742" s="1053"/>
      <c r="P742" s="29"/>
      <c r="Q742" s="23"/>
      <c r="R742" s="23"/>
      <c r="S742" s="23"/>
      <c r="T742" s="23"/>
      <c r="U742" s="23"/>
      <c r="V742" s="23"/>
      <c r="W742" s="23"/>
    </row>
    <row r="743" spans="1:23" s="24" customFormat="1" outlineLevel="1" x14ac:dyDescent="0.2">
      <c r="A743" s="23"/>
      <c r="D743" s="13"/>
      <c r="E743" s="1054"/>
      <c r="F743" s="1055"/>
      <c r="G743" s="1055"/>
      <c r="H743" s="1055"/>
      <c r="I743" s="1055"/>
      <c r="J743" s="1055"/>
      <c r="K743" s="1055"/>
      <c r="L743" s="1055"/>
      <c r="M743" s="1055"/>
      <c r="N743" s="1056"/>
      <c r="P743" s="29"/>
      <c r="Q743" s="29"/>
      <c r="R743" s="29"/>
      <c r="S743" s="23"/>
      <c r="T743" s="23"/>
      <c r="U743" s="23"/>
      <c r="V743" s="23"/>
      <c r="W743" s="23"/>
    </row>
    <row r="744" spans="1:23" s="24" customFormat="1" outlineLevel="1" x14ac:dyDescent="0.2">
      <c r="A744" s="23"/>
      <c r="D744" s="13"/>
      <c r="E744" s="1057"/>
      <c r="F744" s="1058"/>
      <c r="G744" s="1058"/>
      <c r="H744" s="1058"/>
      <c r="I744" s="1058"/>
      <c r="J744" s="1058"/>
      <c r="K744" s="1058"/>
      <c r="L744" s="1058"/>
      <c r="M744" s="1058"/>
      <c r="N744" s="1059"/>
      <c r="P744" s="29"/>
      <c r="Q744" s="29"/>
      <c r="R744" s="29"/>
      <c r="S744" s="23"/>
      <c r="T744" s="23"/>
      <c r="U744" s="23"/>
      <c r="V744" s="23"/>
      <c r="W744" s="23"/>
    </row>
    <row r="745" spans="1:23" s="24" customFormat="1" outlineLevel="1" x14ac:dyDescent="0.2">
      <c r="A745" s="23"/>
      <c r="D745" s="13"/>
      <c r="P745" s="29"/>
      <c r="Q745" s="29"/>
      <c r="R745" s="29"/>
      <c r="S745" s="23"/>
      <c r="T745" s="23"/>
      <c r="U745" s="23"/>
      <c r="V745" s="23"/>
      <c r="W745" s="23"/>
    </row>
    <row r="746" spans="1:23" s="24" customFormat="1" ht="12.75" customHeight="1" outlineLevel="1" x14ac:dyDescent="0.2">
      <c r="A746" s="23"/>
      <c r="D746" s="13" t="s">
        <v>554</v>
      </c>
      <c r="E746" s="14" t="str">
        <f>Translations!$B$477</f>
        <v>Activity data tier level required:</v>
      </c>
      <c r="H746" s="30" t="str">
        <f>IF(H717="","",IF(CNTR_Category="A",INDEX(EUwideConstants!$G:$G,MATCH(Q746,EUwideConstants!$S:$S,0)),INDEX(EUwideConstants!$P:$P,MATCH(Q746,EUwideConstants!$S:$S,0))))</f>
        <v/>
      </c>
      <c r="I746" s="26" t="str">
        <f>IF(H746="","",IF(S746=0,EUconst_NA,IF(ISERROR(S746),"",EUconst_MsgTierActivityLevel &amp; " " &amp;S746)))</f>
        <v/>
      </c>
      <c r="J746" s="27"/>
      <c r="K746" s="27"/>
      <c r="L746" s="27"/>
      <c r="M746" s="27"/>
      <c r="N746" s="28"/>
      <c r="P746" s="29"/>
      <c r="Q746" s="92" t="str">
        <f>EUconst_CNTR_ActivityData&amp;H717</f>
        <v>ActivityData_</v>
      </c>
      <c r="R746" s="29"/>
      <c r="S746" s="32" t="str">
        <f>IF(H746="","",IF(H746=EUconst_NA,"",INDEX(EUwideConstants!$H:$O,MATCH(Q746,EUwideConstants!$S:$S,0),MATCH(H746,CNTR_TierList,0))))</f>
        <v/>
      </c>
      <c r="T746" s="23"/>
      <c r="U746" s="23"/>
      <c r="V746" s="23"/>
      <c r="W746" s="23"/>
    </row>
    <row r="747" spans="1:23" s="24" customFormat="1" ht="12.75" customHeight="1" outlineLevel="1" x14ac:dyDescent="0.2">
      <c r="A747" s="23"/>
      <c r="D747" s="13" t="s">
        <v>1022</v>
      </c>
      <c r="E747" s="14" t="str">
        <f>Translations!$B$478</f>
        <v>Activity data tier used:</v>
      </c>
      <c r="H747" s="192"/>
      <c r="I747" s="26" t="str">
        <f>IF(OR(ISBLANK(H747),H747=EUconst_NoTier),"",IF(S747=0,EUconst_NA,IF(ISERROR(S747),"",EUconst_MsgTierActivityLevel &amp; " " &amp;S747)))</f>
        <v/>
      </c>
      <c r="J747" s="27"/>
      <c r="K747" s="27"/>
      <c r="L747" s="27"/>
      <c r="M747" s="27"/>
      <c r="N747" s="28"/>
      <c r="P747" s="29"/>
      <c r="Q747" s="92" t="str">
        <f>EUconst_CNTR_ActivityData&amp;H717</f>
        <v>ActivityData_</v>
      </c>
      <c r="R747" s="29"/>
      <c r="S747" s="32" t="str">
        <f>IF(ISBLANK(H747),"",IF(H747=EUconst_NA,"",INDEX(EUwideConstants!$H:$O,MATCH(Q747,EUwideConstants!$S:$S,0),MATCH(H747,CNTR_TierList,0))))</f>
        <v/>
      </c>
      <c r="T747" s="23"/>
      <c r="U747" s="23"/>
      <c r="V747" s="23"/>
      <c r="W747" s="23"/>
    </row>
    <row r="748" spans="1:23" s="24" customFormat="1" ht="12.75" customHeight="1" outlineLevel="1" x14ac:dyDescent="0.2">
      <c r="A748" s="23"/>
      <c r="D748" s="13" t="s">
        <v>1023</v>
      </c>
      <c r="E748" s="14" t="str">
        <f>Translations!$B$479</f>
        <v>Uncertainty achieved:</v>
      </c>
      <c r="H748" s="229"/>
      <c r="I748" s="14" t="str">
        <f>Translations!$B$480</f>
        <v>Comment:</v>
      </c>
      <c r="J748" s="193"/>
      <c r="K748" s="194"/>
      <c r="L748" s="194"/>
      <c r="M748" s="194"/>
      <c r="N748" s="195"/>
      <c r="P748" s="29"/>
      <c r="Q748" s="29"/>
      <c r="R748" s="29"/>
      <c r="S748" s="23"/>
      <c r="T748" s="23"/>
      <c r="U748" s="23"/>
      <c r="V748" s="23"/>
      <c r="W748" s="23"/>
    </row>
    <row r="749" spans="1:23" s="24" customFormat="1" ht="5.0999999999999996" customHeight="1" outlineLevel="1" x14ac:dyDescent="0.2">
      <c r="A749" s="23"/>
      <c r="D749" s="13"/>
      <c r="E749" s="67"/>
      <c r="F749" s="67"/>
      <c r="G749" s="67"/>
      <c r="H749" s="67"/>
      <c r="I749" s="67"/>
      <c r="J749" s="67"/>
      <c r="K749" s="67"/>
      <c r="L749" s="67"/>
      <c r="M749" s="67"/>
      <c r="N749" s="67"/>
      <c r="P749" s="29"/>
      <c r="Q749" s="29"/>
      <c r="R749" s="29"/>
      <c r="S749" s="23"/>
      <c r="T749" s="23"/>
      <c r="U749" s="23"/>
      <c r="V749" s="23"/>
      <c r="W749" s="23"/>
    </row>
    <row r="750" spans="1:23" s="24" customFormat="1" ht="15" customHeight="1" outlineLevel="1" x14ac:dyDescent="0.2">
      <c r="A750" s="23"/>
      <c r="D750" s="1040" t="str">
        <f>Translations!$B$490</f>
        <v>Calculation factors:</v>
      </c>
      <c r="E750" s="1040"/>
      <c r="F750" s="1040"/>
      <c r="G750" s="1040"/>
      <c r="H750" s="1040"/>
      <c r="I750" s="1040"/>
      <c r="J750" s="1040"/>
      <c r="K750" s="1040"/>
      <c r="L750" s="1040"/>
      <c r="M750" s="1040"/>
      <c r="N750" s="1040"/>
      <c r="P750" s="29"/>
      <c r="Q750" s="29"/>
      <c r="R750" s="29"/>
      <c r="S750" s="29"/>
      <c r="T750" s="6"/>
      <c r="U750" s="23"/>
      <c r="V750" s="23"/>
      <c r="W750" s="23"/>
    </row>
    <row r="751" spans="1:23" s="24" customFormat="1" ht="5.0999999999999996" customHeight="1" outlineLevel="1" x14ac:dyDescent="0.2">
      <c r="A751" s="23"/>
      <c r="D751" s="13"/>
      <c r="E751" s="14"/>
      <c r="P751" s="29"/>
      <c r="Q751" s="29"/>
      <c r="R751" s="29"/>
      <c r="S751" s="29"/>
      <c r="T751" s="6"/>
      <c r="U751" s="23"/>
      <c r="V751" s="23"/>
      <c r="W751" s="23"/>
    </row>
    <row r="752" spans="1:23" s="24" customFormat="1" ht="12.75" customHeight="1" outlineLevel="1" x14ac:dyDescent="0.2">
      <c r="A752" s="23"/>
      <c r="D752" s="13" t="s">
        <v>1019</v>
      </c>
      <c r="E752" s="14" t="str">
        <f>Translations!$B$515</f>
        <v>Applied tiers for calculation factors:</v>
      </c>
      <c r="P752" s="29"/>
      <c r="Q752" s="29"/>
      <c r="R752" s="29"/>
      <c r="S752" s="29"/>
      <c r="T752" s="23"/>
      <c r="U752" s="23"/>
      <c r="V752" s="23"/>
      <c r="W752" s="23"/>
    </row>
    <row r="753" spans="1:23" s="24" customFormat="1" ht="5.0999999999999996" customHeight="1" outlineLevel="1" x14ac:dyDescent="0.2">
      <c r="A753" s="23"/>
      <c r="D753" s="13"/>
      <c r="E753" s="14"/>
      <c r="P753" s="29"/>
      <c r="Q753" s="29"/>
      <c r="R753" s="29"/>
      <c r="S753" s="29"/>
      <c r="T753" s="23"/>
      <c r="U753" s="23"/>
      <c r="V753" s="23"/>
      <c r="W753" s="23"/>
    </row>
    <row r="754" spans="1:23" s="24" customFormat="1" ht="25.5" customHeight="1" outlineLevel="1" x14ac:dyDescent="0.2">
      <c r="A754" s="23"/>
      <c r="E754" s="1044" t="str">
        <f>Translations!$B$516</f>
        <v>calculation factor</v>
      </c>
      <c r="F754" s="1044"/>
      <c r="G754" s="1044"/>
      <c r="H754" s="50" t="str">
        <f>Translations!$B$517</f>
        <v>required tier</v>
      </c>
      <c r="I754" s="50" t="str">
        <f>Translations!$B$518</f>
        <v>applied tier</v>
      </c>
      <c r="J754" s="1046" t="str">
        <f>Translations!$B$519</f>
        <v>full text for applied tier</v>
      </c>
      <c r="K754" s="1047"/>
      <c r="L754" s="1047"/>
      <c r="M754" s="1047"/>
      <c r="N754" s="1048"/>
      <c r="P754" s="29"/>
      <c r="Q754" s="29"/>
      <c r="R754" s="29"/>
      <c r="S754" s="15" t="s">
        <v>1038</v>
      </c>
      <c r="T754" s="23"/>
      <c r="U754" s="23"/>
      <c r="V754" s="23"/>
      <c r="W754" s="52" t="s">
        <v>1295</v>
      </c>
    </row>
    <row r="755" spans="1:23" s="24" customFormat="1" ht="12.75" customHeight="1" outlineLevel="1" x14ac:dyDescent="0.2">
      <c r="A755" s="23"/>
      <c r="D755" s="25" t="s">
        <v>1030</v>
      </c>
      <c r="E755" s="1039" t="str">
        <f>Translations!$B$520</f>
        <v>Net calorific value (NCV)</v>
      </c>
      <c r="F755" s="1039"/>
      <c r="G755" s="1039"/>
      <c r="H755" s="30" t="str">
        <f>IF(H717="","",IF(CNTR_Category="A",INDEX(EUwideConstants!$G:$G,MATCH(Q755,EUwideConstants!$S:$S,0)),INDEX(EUwideConstants!$P:$P,MATCH(Q755,EUwideConstants!$S:$S,0))))</f>
        <v/>
      </c>
      <c r="I755" s="192"/>
      <c r="J755" s="1041" t="str">
        <f t="shared" ref="J755:J760" si="49">IF(OR(ISBLANK(I755),I755=EUconst_NoTier),"",IF(S755=0,EUconst_NotApplicable,IF(ISERROR(S755),"",S755)))</f>
        <v/>
      </c>
      <c r="K755" s="1042"/>
      <c r="L755" s="1042"/>
      <c r="M755" s="1042"/>
      <c r="N755" s="1043"/>
      <c r="P755" s="29"/>
      <c r="Q755" s="92" t="str">
        <f>EUconst_CNTR_NCV&amp;H717</f>
        <v>NCV_</v>
      </c>
      <c r="R755" s="29"/>
      <c r="S755" s="31" t="str">
        <f>IF(ISBLANK(I755),"",IF(I755=EUconst_NA,"",INDEX(EUwideConstants!$H:$O,MATCH(Q755,EUwideConstants!$S:$S,0),MATCH(I755,CNTR_TierList,0))))</f>
        <v/>
      </c>
      <c r="T755" s="23"/>
      <c r="U755" s="23"/>
      <c r="V755" s="23"/>
      <c r="W755" s="32" t="b">
        <f t="shared" ref="W755:W760" si="50">(H755=EUconst_NA)</f>
        <v>0</v>
      </c>
    </row>
    <row r="756" spans="1:23" s="24" customFormat="1" ht="12.75" customHeight="1" outlineLevel="1" x14ac:dyDescent="0.2">
      <c r="A756" s="23"/>
      <c r="D756" s="25" t="s">
        <v>1031</v>
      </c>
      <c r="E756" s="1039" t="str">
        <f>Translations!$B$521</f>
        <v>Emission factor (preliminary)</v>
      </c>
      <c r="F756" s="1039"/>
      <c r="G756" s="1039"/>
      <c r="H756" s="30" t="str">
        <f>IF(H717="","",IF(CNTR_Category="A",INDEX(EUwideConstants!$G:$G,MATCH(Q756,EUwideConstants!$S:$S,0)),INDEX(EUwideConstants!$P:$P,MATCH(Q756,EUwideConstants!$S:$S,0))))</f>
        <v/>
      </c>
      <c r="I756" s="192"/>
      <c r="J756" s="1041" t="str">
        <f t="shared" si="49"/>
        <v/>
      </c>
      <c r="K756" s="1042"/>
      <c r="L756" s="1042"/>
      <c r="M756" s="1042"/>
      <c r="N756" s="1043"/>
      <c r="P756" s="29"/>
      <c r="Q756" s="92" t="str">
        <f>EUconst_CNTR_EF&amp;H717</f>
        <v>EF_</v>
      </c>
      <c r="R756" s="29"/>
      <c r="S756" s="31" t="str">
        <f>IF(ISBLANK(I756),"",IF(I756=EUconst_NA,"",INDEX(EUwideConstants!$H:$O,MATCH(Q756,EUwideConstants!$S:$S,0),MATCH(I756,CNTR_TierList,0))))</f>
        <v/>
      </c>
      <c r="T756" s="23"/>
      <c r="U756" s="23"/>
      <c r="V756" s="23"/>
      <c r="W756" s="32" t="b">
        <f t="shared" si="50"/>
        <v>0</v>
      </c>
    </row>
    <row r="757" spans="1:23" s="24" customFormat="1" ht="12.75" customHeight="1" outlineLevel="1" x14ac:dyDescent="0.2">
      <c r="A757" s="23"/>
      <c r="D757" s="25" t="s">
        <v>1468</v>
      </c>
      <c r="E757" s="1039" t="str">
        <f>Translations!$B$522</f>
        <v>Oxidation factor</v>
      </c>
      <c r="F757" s="1039"/>
      <c r="G757" s="1039"/>
      <c r="H757" s="30" t="str">
        <f>IF(H717="","",IF(CNTR_Category="A",INDEX(EUwideConstants!$G:$G,MATCH(Q757,EUwideConstants!$S:$S,0)),INDEX(EUwideConstants!$P:$P,MATCH(Q757,EUwideConstants!$S:$S,0))))</f>
        <v/>
      </c>
      <c r="I757" s="192"/>
      <c r="J757" s="1041" t="str">
        <f t="shared" si="49"/>
        <v/>
      </c>
      <c r="K757" s="1042"/>
      <c r="L757" s="1042"/>
      <c r="M757" s="1042"/>
      <c r="N757" s="1043"/>
      <c r="P757" s="29"/>
      <c r="Q757" s="92" t="str">
        <f>EUconst_CNTR_OxidationFactor&amp;H717</f>
        <v>OxF_</v>
      </c>
      <c r="R757" s="29"/>
      <c r="S757" s="31" t="str">
        <f>IF(ISBLANK(I757),"",IF(I757=EUconst_NA,"",INDEX(EUwideConstants!$H:$O,MATCH(Q757,EUwideConstants!$S:$S,0),MATCH(I757,CNTR_TierList,0))))</f>
        <v/>
      </c>
      <c r="T757" s="23"/>
      <c r="U757" s="23"/>
      <c r="V757" s="23"/>
      <c r="W757" s="32" t="b">
        <f t="shared" si="50"/>
        <v>0</v>
      </c>
    </row>
    <row r="758" spans="1:23" s="24" customFormat="1" ht="12.75" customHeight="1" outlineLevel="1" x14ac:dyDescent="0.2">
      <c r="A758" s="23"/>
      <c r="D758" s="25" t="s">
        <v>1469</v>
      </c>
      <c r="E758" s="1039" t="str">
        <f>Translations!$B$523</f>
        <v>Conversion factor</v>
      </c>
      <c r="F758" s="1039"/>
      <c r="G758" s="1039"/>
      <c r="H758" s="30" t="str">
        <f>IF(H717="","",IF(CNTR_Category="A",INDEX(EUwideConstants!$G:$G,MATCH(Q758,EUwideConstants!$S:$S,0)),INDEX(EUwideConstants!$P:$P,MATCH(Q758,EUwideConstants!$S:$S,0))))</f>
        <v/>
      </c>
      <c r="I758" s="192"/>
      <c r="J758" s="1041" t="str">
        <f t="shared" si="49"/>
        <v/>
      </c>
      <c r="K758" s="1042"/>
      <c r="L758" s="1042"/>
      <c r="M758" s="1042"/>
      <c r="N758" s="1043"/>
      <c r="P758" s="29"/>
      <c r="Q758" s="92" t="str">
        <f>EUconst_CNTR_ConversionFactor&amp;H717</f>
        <v>ConvF_</v>
      </c>
      <c r="R758" s="29"/>
      <c r="S758" s="31" t="str">
        <f>IF(ISBLANK(I758),"",IF(I758=EUconst_NA,"",INDEX(EUwideConstants!$H:$O,MATCH(Q758,EUwideConstants!$S:$S,0),MATCH(I758,CNTR_TierList,0))))</f>
        <v/>
      </c>
      <c r="T758" s="23"/>
      <c r="U758" s="23"/>
      <c r="V758" s="23"/>
      <c r="W758" s="32" t="b">
        <f t="shared" si="50"/>
        <v>0</v>
      </c>
    </row>
    <row r="759" spans="1:23" s="24" customFormat="1" ht="12.75" customHeight="1" outlineLevel="1" x14ac:dyDescent="0.2">
      <c r="A759" s="23"/>
      <c r="D759" s="25" t="s">
        <v>1470</v>
      </c>
      <c r="E759" s="1039" t="str">
        <f>Translations!$B$524</f>
        <v>Carbon content</v>
      </c>
      <c r="F759" s="1039"/>
      <c r="G759" s="1039"/>
      <c r="H759" s="30" t="str">
        <f>IF(H717="","",IF(CNTR_Category="A",INDEX(EUwideConstants!$G:$G,MATCH(Q759,EUwideConstants!$S:$S,0)),INDEX(EUwideConstants!$P:$P,MATCH(Q759,EUwideConstants!$S:$S,0))))</f>
        <v/>
      </c>
      <c r="I759" s="192"/>
      <c r="J759" s="1041" t="str">
        <f t="shared" si="49"/>
        <v/>
      </c>
      <c r="K759" s="1042"/>
      <c r="L759" s="1042"/>
      <c r="M759" s="1042"/>
      <c r="N759" s="1043"/>
      <c r="P759" s="209"/>
      <c r="Q759" s="92" t="str">
        <f>EUconst_CNTR_CarbonContent&amp;H717</f>
        <v>CarbC_</v>
      </c>
      <c r="R759" s="29"/>
      <c r="S759" s="31" t="str">
        <f>IF(ISBLANK(I759),"",IF(I759=EUconst_NA,"",INDEX(EUwideConstants!$H:$O,MATCH(Q759,EUwideConstants!$S:$S,0),MATCH(I759,CNTR_TierList,0))))</f>
        <v/>
      </c>
      <c r="T759" s="23"/>
      <c r="U759" s="23"/>
      <c r="V759" s="23"/>
      <c r="W759" s="32" t="b">
        <f t="shared" si="50"/>
        <v>0</v>
      </c>
    </row>
    <row r="760" spans="1:23" s="24" customFormat="1" ht="12.75" customHeight="1" outlineLevel="1" x14ac:dyDescent="0.2">
      <c r="A760" s="23"/>
      <c r="D760" s="25" t="s">
        <v>1471</v>
      </c>
      <c r="E760" s="1039" t="str">
        <f>Translations!$B$525</f>
        <v>Biomass fraction (if applicable)</v>
      </c>
      <c r="F760" s="1039"/>
      <c r="G760" s="1039"/>
      <c r="H760" s="30" t="str">
        <f>IF(H717="","",IF(CNTR_Category="A",INDEX(EUwideConstants!$G:$G,MATCH(Q760,EUwideConstants!$S:$S,0)),INDEX(EUwideConstants!$P:$P,MATCH(Q760,EUwideConstants!$S:$S,0))))</f>
        <v/>
      </c>
      <c r="I760" s="192"/>
      <c r="J760" s="1041" t="str">
        <f t="shared" si="49"/>
        <v/>
      </c>
      <c r="K760" s="1042"/>
      <c r="L760" s="1042"/>
      <c r="M760" s="1042"/>
      <c r="N760" s="1043"/>
      <c r="P760" s="29"/>
      <c r="Q760" s="92" t="str">
        <f>EUconst_CNTR_BiomassContent&amp;H717</f>
        <v>BioC_</v>
      </c>
      <c r="R760" s="29"/>
      <c r="S760" s="31" t="str">
        <f>IF(ISBLANK(I760),"",IF(I760=EUconst_NA,"",INDEX(EUwideConstants!$H:$O,MATCH(Q760,EUwideConstants!$S:$S,0),MATCH(I760,CNTR_TierList,0))))</f>
        <v/>
      </c>
      <c r="T760" s="23"/>
      <c r="U760" s="23"/>
      <c r="V760" s="23"/>
      <c r="W760" s="32" t="b">
        <f t="shared" si="50"/>
        <v>0</v>
      </c>
    </row>
    <row r="761" spans="1:23" s="24" customFormat="1" outlineLevel="1" x14ac:dyDescent="0.2">
      <c r="A761" s="23"/>
      <c r="D761" s="13"/>
      <c r="E761" s="67"/>
      <c r="F761" s="67"/>
      <c r="G761" s="67"/>
      <c r="H761" s="67"/>
      <c r="I761" s="67"/>
      <c r="J761" s="67"/>
      <c r="K761" s="67"/>
      <c r="L761" s="67"/>
      <c r="M761" s="67"/>
      <c r="N761" s="67"/>
      <c r="P761" s="29"/>
      <c r="Q761" s="23"/>
      <c r="R761" s="23"/>
      <c r="S761" s="23"/>
      <c r="T761" s="23"/>
      <c r="U761" s="23"/>
      <c r="V761" s="23"/>
      <c r="W761" s="23"/>
    </row>
    <row r="762" spans="1:23" s="24" customFormat="1" outlineLevel="1" x14ac:dyDescent="0.2">
      <c r="A762" s="23"/>
      <c r="D762" s="13" t="s">
        <v>1349</v>
      </c>
      <c r="E762" s="14" t="str">
        <f>Translations!$B$534</f>
        <v>Details for calculation factors:</v>
      </c>
      <c r="F762" s="67"/>
      <c r="G762" s="67"/>
      <c r="H762" s="67"/>
      <c r="I762" s="67"/>
      <c r="J762" s="67"/>
      <c r="K762" s="67"/>
      <c r="L762" s="67"/>
      <c r="M762" s="67"/>
      <c r="N762" s="67"/>
      <c r="P762" s="29"/>
      <c r="Q762" s="23"/>
      <c r="R762" s="23"/>
      <c r="S762" s="23"/>
      <c r="T762" s="23"/>
      <c r="U762" s="23"/>
      <c r="V762" s="23"/>
      <c r="W762" s="23"/>
    </row>
    <row r="763" spans="1:23" s="24" customFormat="1" ht="5.0999999999999996" customHeight="1" outlineLevel="1" x14ac:dyDescent="0.2">
      <c r="A763" s="23"/>
      <c r="D763" s="13"/>
      <c r="E763" s="67"/>
      <c r="F763" s="67"/>
      <c r="G763" s="67"/>
      <c r="H763" s="67"/>
      <c r="I763" s="67"/>
      <c r="J763" s="67"/>
      <c r="K763" s="67"/>
      <c r="L763" s="67"/>
      <c r="M763" s="67"/>
      <c r="N763" s="67"/>
      <c r="P763" s="29"/>
      <c r="Q763" s="23"/>
      <c r="R763" s="23"/>
      <c r="S763" s="23"/>
      <c r="T763" s="23"/>
      <c r="U763" s="23"/>
      <c r="V763" s="23"/>
      <c r="W763" s="23"/>
    </row>
    <row r="764" spans="1:23" s="24" customFormat="1" ht="25.5" customHeight="1" outlineLevel="1" x14ac:dyDescent="0.2">
      <c r="A764" s="23"/>
      <c r="E764" s="1044" t="str">
        <f t="shared" ref="E764:E770" si="51">E754</f>
        <v>calculation factor</v>
      </c>
      <c r="F764" s="1044"/>
      <c r="G764" s="1044"/>
      <c r="H764" s="50" t="str">
        <f>I754</f>
        <v>applied tier</v>
      </c>
      <c r="I764" s="51" t="str">
        <f>Translations!$B$535</f>
        <v>default value</v>
      </c>
      <c r="J764" s="51" t="str">
        <f>Translations!$B$536</f>
        <v>Unit</v>
      </c>
      <c r="K764" s="51" t="str">
        <f>Translations!$B$537</f>
        <v>source ref</v>
      </c>
      <c r="L764" s="51" t="str">
        <f>Translations!$B$538</f>
        <v>analysis ref</v>
      </c>
      <c r="M764" s="51" t="str">
        <f>Translations!$B$539</f>
        <v>sampling ref</v>
      </c>
      <c r="N764" s="51" t="str">
        <f>Translations!$B$540</f>
        <v>Analysis frequency</v>
      </c>
      <c r="P764" s="29"/>
      <c r="Q764" s="23"/>
      <c r="R764" s="23"/>
      <c r="S764" s="52" t="s">
        <v>384</v>
      </c>
      <c r="T764" s="23"/>
      <c r="U764" s="23"/>
      <c r="V764" s="23"/>
      <c r="W764" s="52" t="s">
        <v>1295</v>
      </c>
    </row>
    <row r="765" spans="1:23" s="24" customFormat="1" ht="12.75" customHeight="1" outlineLevel="1" x14ac:dyDescent="0.2">
      <c r="A765" s="23"/>
      <c r="D765" s="25" t="s">
        <v>1030</v>
      </c>
      <c r="E765" s="1039" t="str">
        <f t="shared" si="51"/>
        <v>Net calorific value (NCV)</v>
      </c>
      <c r="F765" s="1039"/>
      <c r="G765" s="1039"/>
      <c r="H765" s="30" t="str">
        <f t="shared" ref="H765:H770" si="52">IF(OR(ISBLANK(I755),I755=EUconst_NA),"",I755)</f>
        <v/>
      </c>
      <c r="I765" s="192"/>
      <c r="J765" s="192"/>
      <c r="K765" s="214"/>
      <c r="L765" s="213"/>
      <c r="M765" s="213"/>
      <c r="N765" s="196"/>
      <c r="P765" s="209"/>
      <c r="Q765" s="23"/>
      <c r="R765" s="23"/>
      <c r="S765" s="63" t="str">
        <f>IF(H765="","",IF(I755=EUconst_NA,"",INDEX(EUwideConstants!$AL:$AR,MATCH(Q755,EUwideConstants!$S:$S,0),MATCH(I755,CNTR_TierList,0))))</f>
        <v/>
      </c>
      <c r="T765" s="23"/>
      <c r="U765" s="23"/>
      <c r="V765" s="23"/>
      <c r="W765" s="32" t="b">
        <f t="shared" ref="W765:W770" si="53">OR(H765="",H765=EUconst_NA,J755=EUconst_NotApplicable)</f>
        <v>1</v>
      </c>
    </row>
    <row r="766" spans="1:23" s="24" customFormat="1" ht="12.75" customHeight="1" outlineLevel="1" x14ac:dyDescent="0.2">
      <c r="A766" s="23"/>
      <c r="D766" s="25" t="s">
        <v>1031</v>
      </c>
      <c r="E766" s="1039" t="str">
        <f t="shared" si="51"/>
        <v>Emission factor (preliminary)</v>
      </c>
      <c r="F766" s="1039"/>
      <c r="G766" s="1039"/>
      <c r="H766" s="30" t="str">
        <f t="shared" si="52"/>
        <v/>
      </c>
      <c r="I766" s="197"/>
      <c r="J766" s="192"/>
      <c r="K766" s="213"/>
      <c r="L766" s="271"/>
      <c r="M766" s="271"/>
      <c r="N766" s="196"/>
      <c r="P766" s="29"/>
      <c r="Q766" s="23"/>
      <c r="R766" s="23"/>
      <c r="S766" s="63" t="str">
        <f>IF(H766="","",IF(I756=EUconst_NA,"",INDEX(EUwideConstants!$AL:$AR,MATCH(Q756,EUwideConstants!$S:$S,0),MATCH(I756,CNTR_TierList,0))))</f>
        <v/>
      </c>
      <c r="T766" s="23"/>
      <c r="U766" s="23"/>
      <c r="V766" s="23"/>
      <c r="W766" s="32" t="b">
        <f t="shared" si="53"/>
        <v>1</v>
      </c>
    </row>
    <row r="767" spans="1:23" s="24" customFormat="1" ht="12.75" customHeight="1" outlineLevel="1" x14ac:dyDescent="0.2">
      <c r="A767" s="23"/>
      <c r="D767" s="25" t="s">
        <v>1468</v>
      </c>
      <c r="E767" s="1039" t="str">
        <f t="shared" si="51"/>
        <v>Oxidation factor</v>
      </c>
      <c r="F767" s="1039"/>
      <c r="G767" s="1039"/>
      <c r="H767" s="30" t="str">
        <f t="shared" si="52"/>
        <v/>
      </c>
      <c r="I767" s="192"/>
      <c r="J767" s="192"/>
      <c r="K767" s="213"/>
      <c r="L767" s="213"/>
      <c r="M767" s="213"/>
      <c r="N767" s="196"/>
      <c r="P767" s="29"/>
      <c r="Q767" s="23"/>
      <c r="R767" s="23"/>
      <c r="S767" s="63" t="str">
        <f>IF(H767="","",IF(I757=EUconst_NA,"",INDEX(EUwideConstants!$AL:$AR,MATCH(Q757,EUwideConstants!$S:$S,0),MATCH(I757,CNTR_TierList,0))))</f>
        <v/>
      </c>
      <c r="T767" s="23"/>
      <c r="U767" s="23"/>
      <c r="V767" s="23"/>
      <c r="W767" s="32" t="b">
        <f t="shared" si="53"/>
        <v>1</v>
      </c>
    </row>
    <row r="768" spans="1:23" s="24" customFormat="1" ht="12.75" customHeight="1" outlineLevel="1" x14ac:dyDescent="0.2">
      <c r="A768" s="23"/>
      <c r="D768" s="25" t="s">
        <v>1469</v>
      </c>
      <c r="E768" s="1039" t="str">
        <f t="shared" si="51"/>
        <v>Conversion factor</v>
      </c>
      <c r="F768" s="1039"/>
      <c r="G768" s="1039"/>
      <c r="H768" s="30" t="str">
        <f t="shared" si="52"/>
        <v/>
      </c>
      <c r="I768" s="192"/>
      <c r="J768" s="192"/>
      <c r="K768" s="213"/>
      <c r="L768" s="271"/>
      <c r="M768" s="213"/>
      <c r="N768" s="196"/>
      <c r="P768" s="29"/>
      <c r="Q768" s="23"/>
      <c r="R768" s="23"/>
      <c r="S768" s="63" t="str">
        <f>IF(H768="","",IF(I758=EUconst_NA,"",INDEX(EUwideConstants!$AL:$AR,MATCH(Q758,EUwideConstants!$S:$S,0),MATCH(I758,CNTR_TierList,0))))</f>
        <v/>
      </c>
      <c r="T768" s="23"/>
      <c r="U768" s="23"/>
      <c r="V768" s="23"/>
      <c r="W768" s="32" t="b">
        <f t="shared" si="53"/>
        <v>1</v>
      </c>
    </row>
    <row r="769" spans="1:23" s="24" customFormat="1" ht="12.75" customHeight="1" outlineLevel="1" x14ac:dyDescent="0.2">
      <c r="A769" s="23"/>
      <c r="D769" s="25" t="s">
        <v>1470</v>
      </c>
      <c r="E769" s="1039" t="str">
        <f t="shared" si="51"/>
        <v>Carbon content</v>
      </c>
      <c r="F769" s="1039"/>
      <c r="G769" s="1039"/>
      <c r="H769" s="30" t="str">
        <f t="shared" si="52"/>
        <v/>
      </c>
      <c r="I769" s="192"/>
      <c r="J769" s="192"/>
      <c r="K769" s="213"/>
      <c r="L769" s="213"/>
      <c r="M769" s="213"/>
      <c r="N769" s="196"/>
      <c r="P769" s="29"/>
      <c r="Q769" s="23"/>
      <c r="R769" s="23"/>
      <c r="S769" s="63" t="str">
        <f>IF(H769="","",IF(I759=EUconst_NA,"",INDEX(EUwideConstants!$AL:$AR,MATCH(Q759,EUwideConstants!$S:$S,0),MATCH(I759,CNTR_TierList,0))))</f>
        <v/>
      </c>
      <c r="T769" s="23"/>
      <c r="U769" s="23"/>
      <c r="V769" s="23"/>
      <c r="W769" s="32" t="b">
        <f t="shared" si="53"/>
        <v>1</v>
      </c>
    </row>
    <row r="770" spans="1:23" s="24" customFormat="1" ht="12.75" customHeight="1" outlineLevel="1" x14ac:dyDescent="0.2">
      <c r="A770" s="23"/>
      <c r="D770" s="25" t="s">
        <v>1471</v>
      </c>
      <c r="E770" s="1039" t="str">
        <f t="shared" si="51"/>
        <v>Biomass fraction (if applicable)</v>
      </c>
      <c r="F770" s="1039"/>
      <c r="G770" s="1039"/>
      <c r="H770" s="30" t="str">
        <f t="shared" si="52"/>
        <v/>
      </c>
      <c r="I770" s="192"/>
      <c r="J770" s="197"/>
      <c r="K770" s="213"/>
      <c r="L770" s="213"/>
      <c r="M770" s="213"/>
      <c r="N770" s="196"/>
      <c r="P770" s="47"/>
      <c r="Q770" s="23"/>
      <c r="R770" s="23"/>
      <c r="S770" s="63" t="str">
        <f>IF(H770="","",IF(I760=EUconst_NA,"",INDEX(EUwideConstants!$AL:$AR,MATCH(Q760,EUwideConstants!$S:$S,0),MATCH(I760,CNTR_TierList,0))))</f>
        <v/>
      </c>
      <c r="T770" s="23"/>
      <c r="U770" s="23"/>
      <c r="V770" s="23"/>
      <c r="W770" s="32" t="b">
        <f t="shared" si="53"/>
        <v>1</v>
      </c>
    </row>
    <row r="771" spans="1:23" s="24" customFormat="1" ht="12.75" customHeight="1" outlineLevel="1" x14ac:dyDescent="0.2">
      <c r="A771" s="23"/>
      <c r="D771" s="13"/>
      <c r="P771" s="29"/>
      <c r="Q771" s="23"/>
      <c r="R771" s="23"/>
      <c r="S771" s="23"/>
      <c r="T771" s="23"/>
      <c r="U771" s="23"/>
      <c r="V771" s="23"/>
      <c r="W771" s="23"/>
    </row>
    <row r="772" spans="1:23" s="24" customFormat="1" ht="15" customHeight="1" outlineLevel="1" x14ac:dyDescent="0.2">
      <c r="A772" s="23"/>
      <c r="D772" s="1040" t="str">
        <f>Translations!$B$545</f>
        <v>Comments and explanations:</v>
      </c>
      <c r="E772" s="1040"/>
      <c r="F772" s="1040"/>
      <c r="G772" s="1040"/>
      <c r="H772" s="1040"/>
      <c r="I772" s="1040"/>
      <c r="J772" s="1040"/>
      <c r="K772" s="1040"/>
      <c r="L772" s="1040"/>
      <c r="M772" s="1040"/>
      <c r="N772" s="1040"/>
      <c r="P772" s="29"/>
      <c r="Q772" s="29"/>
      <c r="R772" s="29"/>
      <c r="S772" s="29"/>
      <c r="T772" s="6"/>
      <c r="U772" s="23"/>
      <c r="V772" s="23"/>
      <c r="W772" s="23"/>
    </row>
    <row r="773" spans="1:23" s="24" customFormat="1" ht="5.0999999999999996" customHeight="1" outlineLevel="1" x14ac:dyDescent="0.2">
      <c r="A773" s="23"/>
      <c r="D773" s="13"/>
      <c r="P773" s="29"/>
      <c r="Q773" s="23"/>
      <c r="R773" s="23"/>
      <c r="S773" s="23"/>
      <c r="T773" s="23"/>
      <c r="U773" s="23"/>
      <c r="V773" s="23"/>
      <c r="W773" s="23"/>
    </row>
    <row r="774" spans="1:23" s="24" customFormat="1" ht="12.75" customHeight="1" outlineLevel="1" x14ac:dyDescent="0.2">
      <c r="A774" s="23"/>
      <c r="D774" s="13" t="s">
        <v>1351</v>
      </c>
      <c r="E774" s="946" t="str">
        <f>Translations!$B$1198</f>
        <v>Comments and justification if required tiers are not applied:</v>
      </c>
      <c r="F774" s="946"/>
      <c r="G774" s="946"/>
      <c r="H774" s="946"/>
      <c r="I774" s="946"/>
      <c r="J774" s="946"/>
      <c r="K774" s="946"/>
      <c r="L774" s="946"/>
      <c r="M774" s="946"/>
      <c r="N774" s="946"/>
      <c r="P774" s="29"/>
      <c r="Q774" s="23"/>
      <c r="R774" s="23"/>
      <c r="S774" s="23"/>
      <c r="T774" s="23"/>
      <c r="U774" s="23"/>
      <c r="V774" s="23"/>
      <c r="W774" s="23"/>
    </row>
    <row r="775" spans="1:23" s="24" customFormat="1" ht="5.0999999999999996" customHeight="1" outlineLevel="1" x14ac:dyDescent="0.2">
      <c r="A775" s="23"/>
      <c r="D775" s="13"/>
      <c r="E775" s="48"/>
      <c r="P775" s="29"/>
      <c r="Q775" s="23"/>
      <c r="R775" s="23"/>
      <c r="S775" s="23"/>
      <c r="T775" s="23"/>
      <c r="U775" s="23"/>
      <c r="V775" s="23"/>
      <c r="W775" s="23"/>
    </row>
    <row r="776" spans="1:23" s="24" customFormat="1" ht="12.75" customHeight="1" outlineLevel="1" x14ac:dyDescent="0.2">
      <c r="A776" s="23"/>
      <c r="D776" s="13"/>
      <c r="E776" s="1045"/>
      <c r="F776" s="955"/>
      <c r="G776" s="955"/>
      <c r="H776" s="955"/>
      <c r="I776" s="955"/>
      <c r="J776" s="955"/>
      <c r="K776" s="955"/>
      <c r="L776" s="955"/>
      <c r="M776" s="955"/>
      <c r="N776" s="956"/>
      <c r="P776" s="29"/>
      <c r="Q776" s="23"/>
      <c r="R776" s="23"/>
      <c r="S776" s="23"/>
      <c r="T776" s="23"/>
      <c r="U776" s="23"/>
      <c r="V776" s="23"/>
      <c r="W776" s="23"/>
    </row>
    <row r="777" spans="1:23" s="24" customFormat="1" ht="12.75" customHeight="1" outlineLevel="1" x14ac:dyDescent="0.2">
      <c r="A777" s="23"/>
      <c r="D777" s="13"/>
      <c r="E777" s="1037"/>
      <c r="F777" s="958"/>
      <c r="G777" s="958"/>
      <c r="H777" s="958"/>
      <c r="I777" s="958"/>
      <c r="J777" s="958"/>
      <c r="K777" s="958"/>
      <c r="L777" s="958"/>
      <c r="M777" s="958"/>
      <c r="N777" s="959"/>
      <c r="P777" s="29"/>
      <c r="Q777" s="23"/>
      <c r="R777" s="23"/>
      <c r="S777" s="23"/>
      <c r="T777" s="23"/>
      <c r="U777" s="23"/>
      <c r="V777" s="23"/>
      <c r="W777" s="23"/>
    </row>
    <row r="778" spans="1:23" s="24" customFormat="1" ht="12.75" customHeight="1" outlineLevel="1" x14ac:dyDescent="0.2">
      <c r="A778" s="23"/>
      <c r="D778" s="13"/>
      <c r="E778" s="1038"/>
      <c r="F778" s="961"/>
      <c r="G778" s="961"/>
      <c r="H778" s="961"/>
      <c r="I778" s="961"/>
      <c r="J778" s="961"/>
      <c r="K778" s="961"/>
      <c r="L778" s="961"/>
      <c r="M778" s="961"/>
      <c r="N778" s="962"/>
      <c r="P778" s="29"/>
      <c r="Q778" s="23"/>
      <c r="R778" s="23"/>
      <c r="S778" s="23"/>
      <c r="T778" s="23"/>
      <c r="U778" s="23"/>
      <c r="V778" s="23"/>
      <c r="W778" s="23"/>
    </row>
    <row r="779" spans="1:23" ht="12.75" customHeight="1" thickBot="1" x14ac:dyDescent="0.25">
      <c r="A779" s="72"/>
      <c r="C779" s="54"/>
      <c r="D779" s="55"/>
      <c r="E779" s="56"/>
      <c r="F779" s="54"/>
      <c r="G779" s="57"/>
      <c r="H779" s="57"/>
      <c r="I779" s="57"/>
      <c r="J779" s="57"/>
      <c r="K779" s="57"/>
      <c r="L779" s="57"/>
      <c r="M779" s="57"/>
      <c r="N779" s="57"/>
      <c r="O779" s="24"/>
      <c r="P779" s="15"/>
      <c r="Q779" s="72"/>
      <c r="R779" s="72"/>
      <c r="S779" s="75"/>
      <c r="T779" s="72"/>
      <c r="U779" s="72"/>
      <c r="V779" s="72"/>
      <c r="W779" s="72"/>
    </row>
    <row r="780" spans="1:23" x14ac:dyDescent="0.2">
      <c r="A780" s="17" t="s">
        <v>1375</v>
      </c>
      <c r="C780" s="58"/>
      <c r="D780" s="59"/>
      <c r="E780" s="60"/>
      <c r="F780" s="62"/>
      <c r="G780" s="61"/>
      <c r="H780" s="61"/>
      <c r="I780" s="61"/>
      <c r="J780" s="61"/>
      <c r="K780" s="61"/>
      <c r="L780" s="61"/>
      <c r="M780" s="61"/>
      <c r="N780" s="61"/>
      <c r="O780" s="24"/>
      <c r="P780" s="15"/>
      <c r="Q780" s="72"/>
      <c r="R780" s="72"/>
      <c r="S780" s="75"/>
      <c r="T780" s="72"/>
      <c r="U780" s="72"/>
      <c r="V780" s="72"/>
      <c r="W780" s="72"/>
    </row>
    <row r="781" spans="1:23" x14ac:dyDescent="0.2">
      <c r="A781" s="17"/>
      <c r="D781" s="13"/>
      <c r="E781" s="22"/>
      <c r="F781" s="3"/>
      <c r="G781" s="2"/>
      <c r="H781" s="2"/>
      <c r="I781" s="2"/>
      <c r="J781" s="2"/>
      <c r="K781" s="2"/>
      <c r="L781" s="2"/>
      <c r="M781" s="2"/>
      <c r="N781" s="2"/>
      <c r="O781" s="24"/>
      <c r="P781" s="15"/>
      <c r="Q781" s="72"/>
      <c r="R781" s="72"/>
      <c r="S781" s="75"/>
      <c r="T781" s="72"/>
      <c r="U781" s="72"/>
      <c r="V781" s="72"/>
      <c r="W781" s="72"/>
    </row>
    <row r="782" spans="1:23" s="11" customFormat="1" ht="15" customHeight="1" x14ac:dyDescent="0.2">
      <c r="A782" s="6"/>
      <c r="E782" s="218"/>
      <c r="F782" s="770" t="str">
        <f>EUconst_MsgNextSheet</f>
        <v xml:space="preserve">&lt;&lt;&lt; Click here to proceed to next sheet &gt;&gt;&gt; </v>
      </c>
      <c r="G782" s="770"/>
      <c r="H782" s="770"/>
      <c r="I782" s="770"/>
      <c r="J782" s="770"/>
      <c r="K782" s="770"/>
      <c r="L782" s="770"/>
      <c r="M782" s="218"/>
      <c r="N782" s="218"/>
      <c r="O782" s="24"/>
      <c r="P782" s="6"/>
      <c r="Q782" s="72"/>
      <c r="R782" s="72"/>
      <c r="S782" s="72"/>
      <c r="T782" s="72"/>
      <c r="U782" s="72"/>
      <c r="V782" s="72"/>
      <c r="W782" s="72"/>
    </row>
    <row r="783" spans="1:23" x14ac:dyDescent="0.2">
      <c r="A783" s="72"/>
      <c r="D783" s="13"/>
      <c r="E783" s="14"/>
      <c r="F783" s="3"/>
      <c r="G783" s="2"/>
      <c r="H783" s="2"/>
      <c r="I783" s="2"/>
      <c r="J783" s="2"/>
      <c r="K783" s="2"/>
      <c r="L783" s="2"/>
      <c r="M783" s="2"/>
      <c r="N783" s="2"/>
      <c r="O783" s="24"/>
      <c r="P783" s="15"/>
      <c r="Q783" s="72"/>
      <c r="R783" s="72"/>
      <c r="S783" s="75"/>
      <c r="T783" s="72"/>
      <c r="U783" s="72"/>
      <c r="V783" s="72"/>
      <c r="W783" s="72"/>
    </row>
    <row r="784" spans="1:23" hidden="1" x14ac:dyDescent="0.2">
      <c r="A784" s="17" t="s">
        <v>1090</v>
      </c>
      <c r="B784" s="17" t="s">
        <v>1528</v>
      </c>
      <c r="C784" s="17" t="s">
        <v>1528</v>
      </c>
      <c r="D784" s="17" t="s">
        <v>1528</v>
      </c>
      <c r="E784" s="17" t="s">
        <v>1528</v>
      </c>
      <c r="F784" s="17" t="s">
        <v>1528</v>
      </c>
      <c r="G784" s="17" t="s">
        <v>1528</v>
      </c>
      <c r="H784" s="17" t="s">
        <v>1528</v>
      </c>
      <c r="I784" s="17" t="s">
        <v>1528</v>
      </c>
      <c r="J784" s="17" t="s">
        <v>1528</v>
      </c>
      <c r="K784" s="17" t="s">
        <v>1528</v>
      </c>
      <c r="L784" s="17" t="s">
        <v>1528</v>
      </c>
      <c r="M784" s="17" t="s">
        <v>1528</v>
      </c>
      <c r="N784" s="17" t="s">
        <v>1528</v>
      </c>
      <c r="O784" s="17" t="s">
        <v>1528</v>
      </c>
      <c r="P784" s="17"/>
      <c r="Q784" s="17" t="s">
        <v>1528</v>
      </c>
      <c r="R784" s="17" t="s">
        <v>1528</v>
      </c>
      <c r="S784" s="17" t="s">
        <v>1528</v>
      </c>
      <c r="T784" s="17" t="s">
        <v>1528</v>
      </c>
      <c r="U784" s="17" t="s">
        <v>1528</v>
      </c>
      <c r="V784" s="17" t="s">
        <v>1528</v>
      </c>
      <c r="W784" s="17" t="s">
        <v>1528</v>
      </c>
    </row>
  </sheetData>
  <sheetProtection sheet="1" objects="1" scenarios="1" formatCells="0" formatColumns="0" formatRows="0"/>
  <mergeCells count="618">
    <mergeCell ref="F782:L782"/>
    <mergeCell ref="E139:G139"/>
    <mergeCell ref="E164:G164"/>
    <mergeCell ref="E172:G172"/>
    <mergeCell ref="E167:G167"/>
    <mergeCell ref="E165:G165"/>
    <mergeCell ref="E151:G151"/>
    <mergeCell ref="E171:G171"/>
    <mergeCell ref="D175:N175"/>
    <mergeCell ref="E170:G170"/>
    <mergeCell ref="D35:N35"/>
    <mergeCell ref="F38:N38"/>
    <mergeCell ref="F57:J57"/>
    <mergeCell ref="D16:N16"/>
    <mergeCell ref="F72:K72"/>
    <mergeCell ref="K2:L2"/>
    <mergeCell ref="K3:L3"/>
    <mergeCell ref="G4:H4"/>
    <mergeCell ref="M3:N3"/>
    <mergeCell ref="L6:N6"/>
    <mergeCell ref="K8:N8"/>
    <mergeCell ref="D15:N15"/>
    <mergeCell ref="D12:N12"/>
    <mergeCell ref="D13:N13"/>
    <mergeCell ref="M25:N25"/>
    <mergeCell ref="E63:N63"/>
    <mergeCell ref="D14:N14"/>
    <mergeCell ref="D10:N10"/>
    <mergeCell ref="I4:J4"/>
    <mergeCell ref="B2:D4"/>
    <mergeCell ref="G2:H2"/>
    <mergeCell ref="I2:J2"/>
    <mergeCell ref="C6:K6"/>
    <mergeCell ref="E4:F4"/>
    <mergeCell ref="E3:F3"/>
    <mergeCell ref="G3:H3"/>
    <mergeCell ref="K4:L4"/>
    <mergeCell ref="M4:N4"/>
    <mergeCell ref="E2:F2"/>
    <mergeCell ref="M2:N2"/>
    <mergeCell ref="F73:N73"/>
    <mergeCell ref="E86:N86"/>
    <mergeCell ref="F76:K76"/>
    <mergeCell ref="F75:K75"/>
    <mergeCell ref="E89:N89"/>
    <mergeCell ref="E163:G163"/>
    <mergeCell ref="E154:N154"/>
    <mergeCell ref="J148:N148"/>
    <mergeCell ref="E143:G143"/>
    <mergeCell ref="D105:N105"/>
    <mergeCell ref="G125:N125"/>
    <mergeCell ref="E147:G147"/>
    <mergeCell ref="F116:N116"/>
    <mergeCell ref="E145:G145"/>
    <mergeCell ref="E142:G142"/>
    <mergeCell ref="J141:N141"/>
    <mergeCell ref="E141:G141"/>
    <mergeCell ref="E162:G162"/>
    <mergeCell ref="J142:N142"/>
    <mergeCell ref="E161:G161"/>
    <mergeCell ref="J145:N145"/>
    <mergeCell ref="E112:E115"/>
    <mergeCell ref="E140:G140"/>
    <mergeCell ref="E107:N107"/>
    <mergeCell ref="E99:N99"/>
    <mergeCell ref="E98:N98"/>
    <mergeCell ref="E173:G173"/>
    <mergeCell ref="E180:N180"/>
    <mergeCell ref="E178:N178"/>
    <mergeCell ref="E177:N177"/>
    <mergeCell ref="E179:N179"/>
    <mergeCell ref="E183:N183"/>
    <mergeCell ref="E182:N182"/>
    <mergeCell ref="E168:G168"/>
    <mergeCell ref="E169:G169"/>
    <mergeCell ref="J143:N143"/>
    <mergeCell ref="J150:N150"/>
    <mergeCell ref="J140:N140"/>
    <mergeCell ref="J146:N146"/>
    <mergeCell ref="G117:N117"/>
    <mergeCell ref="G123:N123"/>
    <mergeCell ref="E137:G137"/>
    <mergeCell ref="E108:N108"/>
    <mergeCell ref="E160:G160"/>
    <mergeCell ref="E146:G146"/>
    <mergeCell ref="E153:N153"/>
    <mergeCell ref="J151:N151"/>
    <mergeCell ref="E148:G148"/>
    <mergeCell ref="E150:G150"/>
    <mergeCell ref="E159:G159"/>
    <mergeCell ref="E149:G149"/>
    <mergeCell ref="E21:G21"/>
    <mergeCell ref="D25:G25"/>
    <mergeCell ref="H25:L25"/>
    <mergeCell ref="E27:G27"/>
    <mergeCell ref="H27:L27"/>
    <mergeCell ref="H29:L29"/>
    <mergeCell ref="D19:G19"/>
    <mergeCell ref="H19:L19"/>
    <mergeCell ref="E31:N31"/>
    <mergeCell ref="E22:G22"/>
    <mergeCell ref="H23:L23"/>
    <mergeCell ref="H22:L22"/>
    <mergeCell ref="E23:G23"/>
    <mergeCell ref="E29:G29"/>
    <mergeCell ref="H21:L21"/>
    <mergeCell ref="E28:G28"/>
    <mergeCell ref="H52:I52"/>
    <mergeCell ref="I3:J3"/>
    <mergeCell ref="F69:N69"/>
    <mergeCell ref="F68:N68"/>
    <mergeCell ref="K57:L57"/>
    <mergeCell ref="H62:I62"/>
    <mergeCell ref="F67:K67"/>
    <mergeCell ref="F58:N58"/>
    <mergeCell ref="F66:K66"/>
    <mergeCell ref="F56:J56"/>
    <mergeCell ref="E54:N54"/>
    <mergeCell ref="E33:N33"/>
    <mergeCell ref="E41:N41"/>
    <mergeCell ref="F39:N39"/>
    <mergeCell ref="E43:N43"/>
    <mergeCell ref="E37:N37"/>
    <mergeCell ref="D48:N48"/>
    <mergeCell ref="F40:N40"/>
    <mergeCell ref="E46:N46"/>
    <mergeCell ref="H53:I53"/>
    <mergeCell ref="E32:N32"/>
    <mergeCell ref="M19:N19"/>
    <mergeCell ref="H28:L28"/>
    <mergeCell ref="E50:N50"/>
    <mergeCell ref="K56:L56"/>
    <mergeCell ref="F59:N59"/>
    <mergeCell ref="F112:N112"/>
    <mergeCell ref="E83:N83"/>
    <mergeCell ref="E116:E118"/>
    <mergeCell ref="G118:N118"/>
    <mergeCell ref="E109:E111"/>
    <mergeCell ref="F71:K71"/>
    <mergeCell ref="F109:N109"/>
    <mergeCell ref="H61:I61"/>
    <mergeCell ref="F77:N77"/>
    <mergeCell ref="E82:N82"/>
    <mergeCell ref="E88:N88"/>
    <mergeCell ref="F78:N78"/>
    <mergeCell ref="E87:N87"/>
    <mergeCell ref="F101:N101"/>
    <mergeCell ref="F100:N100"/>
    <mergeCell ref="E102:N102"/>
    <mergeCell ref="G113:N113"/>
    <mergeCell ref="G114:N114"/>
    <mergeCell ref="G115:N115"/>
    <mergeCell ref="E103:N103"/>
    <mergeCell ref="G111:N111"/>
    <mergeCell ref="G110:N110"/>
    <mergeCell ref="E64:N64"/>
    <mergeCell ref="F122:N122"/>
    <mergeCell ref="E189:G189"/>
    <mergeCell ref="H189:L189"/>
    <mergeCell ref="E190:G190"/>
    <mergeCell ref="H190:L190"/>
    <mergeCell ref="D187:G187"/>
    <mergeCell ref="H187:L187"/>
    <mergeCell ref="F119:N119"/>
    <mergeCell ref="F121:N121"/>
    <mergeCell ref="F129:N129"/>
    <mergeCell ref="G124:N124"/>
    <mergeCell ref="M187:N187"/>
    <mergeCell ref="J138:N138"/>
    <mergeCell ref="F120:N120"/>
    <mergeCell ref="F127:N127"/>
    <mergeCell ref="J137:N137"/>
    <mergeCell ref="E138:G138"/>
    <mergeCell ref="E120:E121"/>
    <mergeCell ref="E133:N133"/>
    <mergeCell ref="E155:N155"/>
    <mergeCell ref="E132:N132"/>
    <mergeCell ref="J149:N149"/>
    <mergeCell ref="J147:N147"/>
    <mergeCell ref="E191:G191"/>
    <mergeCell ref="H191:L191"/>
    <mergeCell ref="E122:E126"/>
    <mergeCell ref="F128:N128"/>
    <mergeCell ref="G126:N126"/>
    <mergeCell ref="E380:N380"/>
    <mergeCell ref="E378:N378"/>
    <mergeCell ref="E193:N193"/>
    <mergeCell ref="E364:G364"/>
    <mergeCell ref="J364:N364"/>
    <mergeCell ref="J139:N139"/>
    <mergeCell ref="E184:N184"/>
    <mergeCell ref="E381:N381"/>
    <mergeCell ref="E382:N382"/>
    <mergeCell ref="D385:G385"/>
    <mergeCell ref="H385:L385"/>
    <mergeCell ref="M385:N385"/>
    <mergeCell ref="E371:G371"/>
    <mergeCell ref="E372:G372"/>
    <mergeCell ref="E373:G373"/>
    <mergeCell ref="E374:G374"/>
    <mergeCell ref="D376:N376"/>
    <mergeCell ref="E368:G368"/>
    <mergeCell ref="E369:G369"/>
    <mergeCell ref="E370:G370"/>
    <mergeCell ref="D195:N195"/>
    <mergeCell ref="E197:N197"/>
    <mergeCell ref="H199:I199"/>
    <mergeCell ref="E362:G362"/>
    <mergeCell ref="J362:N362"/>
    <mergeCell ref="E363:G363"/>
    <mergeCell ref="J363:N363"/>
    <mergeCell ref="F201:J201"/>
    <mergeCell ref="K201:L201"/>
    <mergeCell ref="E360:G360"/>
    <mergeCell ref="J360:N360"/>
    <mergeCell ref="E361:G361"/>
    <mergeCell ref="J361:N361"/>
    <mergeCell ref="H203:I203"/>
    <mergeCell ref="F205:K205"/>
    <mergeCell ref="E358:G358"/>
    <mergeCell ref="J358:N358"/>
    <mergeCell ref="E359:G359"/>
    <mergeCell ref="J359:N359"/>
    <mergeCell ref="F207:K207"/>
    <mergeCell ref="F209:K209"/>
    <mergeCell ref="E346:N346"/>
    <mergeCell ref="E347:N347"/>
    <mergeCell ref="E348:N348"/>
    <mergeCell ref="D354:N354"/>
    <mergeCell ref="F333:J333"/>
    <mergeCell ref="K333:L333"/>
    <mergeCell ref="H335:I335"/>
    <mergeCell ref="F337:K337"/>
    <mergeCell ref="F339:K339"/>
    <mergeCell ref="F341:K341"/>
    <mergeCell ref="E214:N214"/>
    <mergeCell ref="E215:N215"/>
    <mergeCell ref="E216:N216"/>
    <mergeCell ref="D327:N327"/>
    <mergeCell ref="E329:N329"/>
    <mergeCell ref="H331:I331"/>
    <mergeCell ref="D222:N222"/>
    <mergeCell ref="E322:G322"/>
    <mergeCell ref="H322:L322"/>
    <mergeCell ref="E323:G323"/>
    <mergeCell ref="H323:L323"/>
    <mergeCell ref="E325:N325"/>
    <mergeCell ref="E315:N315"/>
    <mergeCell ref="E316:N316"/>
    <mergeCell ref="D319:G319"/>
    <mergeCell ref="H319:L319"/>
    <mergeCell ref="M319:N319"/>
    <mergeCell ref="E321:G321"/>
    <mergeCell ref="H321:L321"/>
    <mergeCell ref="E306:G306"/>
    <mergeCell ref="E307:G307"/>
    <mergeCell ref="E308:G308"/>
    <mergeCell ref="D310:N310"/>
    <mergeCell ref="E312:N312"/>
    <mergeCell ref="E314:N314"/>
    <mergeCell ref="J296:N296"/>
    <mergeCell ref="E297:G297"/>
    <mergeCell ref="J297:N297"/>
    <mergeCell ref="E298:G298"/>
    <mergeCell ref="J298:N298"/>
    <mergeCell ref="E302:G302"/>
    <mergeCell ref="E303:G303"/>
    <mergeCell ref="E304:G304"/>
    <mergeCell ref="E305:G305"/>
    <mergeCell ref="E229:G229"/>
    <mergeCell ref="J229:N229"/>
    <mergeCell ref="E230:G230"/>
    <mergeCell ref="J230:N230"/>
    <mergeCell ref="E231:G231"/>
    <mergeCell ref="J231:N231"/>
    <mergeCell ref="E226:G226"/>
    <mergeCell ref="J226:N226"/>
    <mergeCell ref="E227:G227"/>
    <mergeCell ref="J227:N227"/>
    <mergeCell ref="E228:G228"/>
    <mergeCell ref="J228:N228"/>
    <mergeCell ref="E232:G232"/>
    <mergeCell ref="J232:N232"/>
    <mergeCell ref="E236:G236"/>
    <mergeCell ref="E237:G237"/>
    <mergeCell ref="E238:G238"/>
    <mergeCell ref="E239:G239"/>
    <mergeCell ref="E240:G240"/>
    <mergeCell ref="E293:G293"/>
    <mergeCell ref="J293:N293"/>
    <mergeCell ref="F275:K275"/>
    <mergeCell ref="E280:N280"/>
    <mergeCell ref="E281:N281"/>
    <mergeCell ref="E282:N282"/>
    <mergeCell ref="H256:L256"/>
    <mergeCell ref="E248:N248"/>
    <mergeCell ref="E249:N249"/>
    <mergeCell ref="E250:N250"/>
    <mergeCell ref="D253:G253"/>
    <mergeCell ref="H253:L253"/>
    <mergeCell ref="M253:N253"/>
    <mergeCell ref="E263:N263"/>
    <mergeCell ref="E241:G241"/>
    <mergeCell ref="E242:G242"/>
    <mergeCell ref="E257:G257"/>
    <mergeCell ref="H257:L257"/>
    <mergeCell ref="D244:N244"/>
    <mergeCell ref="E246:N246"/>
    <mergeCell ref="E255:G255"/>
    <mergeCell ref="H255:L255"/>
    <mergeCell ref="E256:G256"/>
    <mergeCell ref="E388:G388"/>
    <mergeCell ref="H388:L388"/>
    <mergeCell ref="E389:G389"/>
    <mergeCell ref="H389:L389"/>
    <mergeCell ref="E391:N391"/>
    <mergeCell ref="D393:N393"/>
    <mergeCell ref="E387:G387"/>
    <mergeCell ref="H387:L387"/>
    <mergeCell ref="E259:N259"/>
    <mergeCell ref="D261:N261"/>
    <mergeCell ref="D288:N288"/>
    <mergeCell ref="E292:G292"/>
    <mergeCell ref="J292:N292"/>
    <mergeCell ref="H265:I265"/>
    <mergeCell ref="F267:J267"/>
    <mergeCell ref="K267:L267"/>
    <mergeCell ref="H269:I269"/>
    <mergeCell ref="F271:K271"/>
    <mergeCell ref="F273:K273"/>
    <mergeCell ref="E294:G294"/>
    <mergeCell ref="J294:N294"/>
    <mergeCell ref="E295:G295"/>
    <mergeCell ref="J295:N295"/>
    <mergeCell ref="E296:G296"/>
    <mergeCell ref="F405:K405"/>
    <mergeCell ref="F407:K407"/>
    <mergeCell ref="E412:N412"/>
    <mergeCell ref="E413:N413"/>
    <mergeCell ref="E414:N414"/>
    <mergeCell ref="D420:N420"/>
    <mergeCell ref="E395:N395"/>
    <mergeCell ref="H397:I397"/>
    <mergeCell ref="F399:J399"/>
    <mergeCell ref="K399:L399"/>
    <mergeCell ref="H401:I401"/>
    <mergeCell ref="F403:K403"/>
    <mergeCell ref="E427:G427"/>
    <mergeCell ref="J427:N427"/>
    <mergeCell ref="E428:G428"/>
    <mergeCell ref="J428:N428"/>
    <mergeCell ref="E429:G429"/>
    <mergeCell ref="J429:N429"/>
    <mergeCell ref="E424:G424"/>
    <mergeCell ref="J424:N424"/>
    <mergeCell ref="E425:G425"/>
    <mergeCell ref="J425:N425"/>
    <mergeCell ref="E426:G426"/>
    <mergeCell ref="J426:N426"/>
    <mergeCell ref="E438:G438"/>
    <mergeCell ref="E439:G439"/>
    <mergeCell ref="E440:G440"/>
    <mergeCell ref="D442:N442"/>
    <mergeCell ref="E444:N444"/>
    <mergeCell ref="E446:N446"/>
    <mergeCell ref="E430:G430"/>
    <mergeCell ref="J430:N430"/>
    <mergeCell ref="E434:G434"/>
    <mergeCell ref="E435:G435"/>
    <mergeCell ref="E436:G436"/>
    <mergeCell ref="E437:G437"/>
    <mergeCell ref="E454:G454"/>
    <mergeCell ref="H454:L454"/>
    <mergeCell ref="E455:G455"/>
    <mergeCell ref="H455:L455"/>
    <mergeCell ref="E457:N457"/>
    <mergeCell ref="D459:N459"/>
    <mergeCell ref="E447:N447"/>
    <mergeCell ref="E448:N448"/>
    <mergeCell ref="D451:G451"/>
    <mergeCell ref="H451:L451"/>
    <mergeCell ref="M451:N451"/>
    <mergeCell ref="E453:G453"/>
    <mergeCell ref="H453:L453"/>
    <mergeCell ref="F471:K471"/>
    <mergeCell ref="F473:K473"/>
    <mergeCell ref="E478:N478"/>
    <mergeCell ref="E479:N479"/>
    <mergeCell ref="E480:N480"/>
    <mergeCell ref="D486:N486"/>
    <mergeCell ref="E461:N461"/>
    <mergeCell ref="H463:I463"/>
    <mergeCell ref="F465:J465"/>
    <mergeCell ref="K465:L465"/>
    <mergeCell ref="H467:I467"/>
    <mergeCell ref="F469:K469"/>
    <mergeCell ref="E493:G493"/>
    <mergeCell ref="J493:N493"/>
    <mergeCell ref="E494:G494"/>
    <mergeCell ref="J494:N494"/>
    <mergeCell ref="E495:G495"/>
    <mergeCell ref="J495:N495"/>
    <mergeCell ref="E490:G490"/>
    <mergeCell ref="J490:N490"/>
    <mergeCell ref="E491:G491"/>
    <mergeCell ref="J491:N491"/>
    <mergeCell ref="E492:G492"/>
    <mergeCell ref="J492:N492"/>
    <mergeCell ref="E504:G504"/>
    <mergeCell ref="E505:G505"/>
    <mergeCell ref="E506:G506"/>
    <mergeCell ref="D508:N508"/>
    <mergeCell ref="E510:N510"/>
    <mergeCell ref="E512:N512"/>
    <mergeCell ref="E496:G496"/>
    <mergeCell ref="J496:N496"/>
    <mergeCell ref="E500:G500"/>
    <mergeCell ref="E501:G501"/>
    <mergeCell ref="E502:G502"/>
    <mergeCell ref="E503:G503"/>
    <mergeCell ref="E520:G520"/>
    <mergeCell ref="H520:L520"/>
    <mergeCell ref="E521:G521"/>
    <mergeCell ref="H521:L521"/>
    <mergeCell ref="E523:N523"/>
    <mergeCell ref="D525:N525"/>
    <mergeCell ref="E513:N513"/>
    <mergeCell ref="E514:N514"/>
    <mergeCell ref="D517:G517"/>
    <mergeCell ref="H517:L517"/>
    <mergeCell ref="M517:N517"/>
    <mergeCell ref="E519:G519"/>
    <mergeCell ref="H519:L519"/>
    <mergeCell ref="F537:K537"/>
    <mergeCell ref="F539:K539"/>
    <mergeCell ref="E544:N544"/>
    <mergeCell ref="E545:N545"/>
    <mergeCell ref="E546:N546"/>
    <mergeCell ref="D552:N552"/>
    <mergeCell ref="E527:N527"/>
    <mergeCell ref="H529:I529"/>
    <mergeCell ref="F531:J531"/>
    <mergeCell ref="K531:L531"/>
    <mergeCell ref="H533:I533"/>
    <mergeCell ref="F535:K535"/>
    <mergeCell ref="E559:G559"/>
    <mergeCell ref="J559:N559"/>
    <mergeCell ref="E560:G560"/>
    <mergeCell ref="J560:N560"/>
    <mergeCell ref="E561:G561"/>
    <mergeCell ref="J561:N561"/>
    <mergeCell ref="E556:G556"/>
    <mergeCell ref="J556:N556"/>
    <mergeCell ref="E557:G557"/>
    <mergeCell ref="J557:N557"/>
    <mergeCell ref="E558:G558"/>
    <mergeCell ref="J558:N558"/>
    <mergeCell ref="E570:G570"/>
    <mergeCell ref="E571:G571"/>
    <mergeCell ref="E572:G572"/>
    <mergeCell ref="D574:N574"/>
    <mergeCell ref="E576:N576"/>
    <mergeCell ref="E578:N578"/>
    <mergeCell ref="E562:G562"/>
    <mergeCell ref="J562:N562"/>
    <mergeCell ref="E566:G566"/>
    <mergeCell ref="E567:G567"/>
    <mergeCell ref="E568:G568"/>
    <mergeCell ref="E569:G569"/>
    <mergeCell ref="E586:G586"/>
    <mergeCell ref="H586:L586"/>
    <mergeCell ref="E587:G587"/>
    <mergeCell ref="H587:L587"/>
    <mergeCell ref="E589:N589"/>
    <mergeCell ref="D591:N591"/>
    <mergeCell ref="E579:N579"/>
    <mergeCell ref="E580:N580"/>
    <mergeCell ref="D583:G583"/>
    <mergeCell ref="H583:L583"/>
    <mergeCell ref="M583:N583"/>
    <mergeCell ref="E585:G585"/>
    <mergeCell ref="H585:L585"/>
    <mergeCell ref="F603:K603"/>
    <mergeCell ref="F605:K605"/>
    <mergeCell ref="E610:N610"/>
    <mergeCell ref="E611:N611"/>
    <mergeCell ref="E612:N612"/>
    <mergeCell ref="D618:N618"/>
    <mergeCell ref="E593:N593"/>
    <mergeCell ref="H595:I595"/>
    <mergeCell ref="F597:J597"/>
    <mergeCell ref="K597:L597"/>
    <mergeCell ref="H599:I599"/>
    <mergeCell ref="F601:K601"/>
    <mergeCell ref="E625:G625"/>
    <mergeCell ref="J625:N625"/>
    <mergeCell ref="E626:G626"/>
    <mergeCell ref="J626:N626"/>
    <mergeCell ref="E627:G627"/>
    <mergeCell ref="J627:N627"/>
    <mergeCell ref="E622:G622"/>
    <mergeCell ref="J622:N622"/>
    <mergeCell ref="E623:G623"/>
    <mergeCell ref="J623:N623"/>
    <mergeCell ref="E624:G624"/>
    <mergeCell ref="J624:N624"/>
    <mergeCell ref="E636:G636"/>
    <mergeCell ref="E637:G637"/>
    <mergeCell ref="E638:G638"/>
    <mergeCell ref="D640:N640"/>
    <mergeCell ref="E642:N642"/>
    <mergeCell ref="E644:N644"/>
    <mergeCell ref="E628:G628"/>
    <mergeCell ref="J628:N628"/>
    <mergeCell ref="E632:G632"/>
    <mergeCell ref="E633:G633"/>
    <mergeCell ref="E634:G634"/>
    <mergeCell ref="E635:G635"/>
    <mergeCell ref="E652:G652"/>
    <mergeCell ref="H652:L652"/>
    <mergeCell ref="E653:G653"/>
    <mergeCell ref="H653:L653"/>
    <mergeCell ref="E655:N655"/>
    <mergeCell ref="D657:N657"/>
    <mergeCell ref="E645:N645"/>
    <mergeCell ref="E646:N646"/>
    <mergeCell ref="D649:G649"/>
    <mergeCell ref="H649:L649"/>
    <mergeCell ref="M649:N649"/>
    <mergeCell ref="E651:G651"/>
    <mergeCell ref="H651:L651"/>
    <mergeCell ref="F669:K669"/>
    <mergeCell ref="F671:K671"/>
    <mergeCell ref="E676:N676"/>
    <mergeCell ref="E677:N677"/>
    <mergeCell ref="E678:N678"/>
    <mergeCell ref="D684:N684"/>
    <mergeCell ref="E659:N659"/>
    <mergeCell ref="H661:I661"/>
    <mergeCell ref="F663:J663"/>
    <mergeCell ref="K663:L663"/>
    <mergeCell ref="H665:I665"/>
    <mergeCell ref="F667:K667"/>
    <mergeCell ref="E691:G691"/>
    <mergeCell ref="J691:N691"/>
    <mergeCell ref="E692:G692"/>
    <mergeCell ref="J692:N692"/>
    <mergeCell ref="E693:G693"/>
    <mergeCell ref="J693:N693"/>
    <mergeCell ref="E688:G688"/>
    <mergeCell ref="J688:N688"/>
    <mergeCell ref="E689:G689"/>
    <mergeCell ref="J689:N689"/>
    <mergeCell ref="E690:G690"/>
    <mergeCell ref="J690:N690"/>
    <mergeCell ref="E702:G702"/>
    <mergeCell ref="E703:G703"/>
    <mergeCell ref="E704:G704"/>
    <mergeCell ref="D706:N706"/>
    <mergeCell ref="E708:N708"/>
    <mergeCell ref="E710:N710"/>
    <mergeCell ref="E694:G694"/>
    <mergeCell ref="J694:N694"/>
    <mergeCell ref="E698:G698"/>
    <mergeCell ref="E699:G699"/>
    <mergeCell ref="E700:G700"/>
    <mergeCell ref="E701:G701"/>
    <mergeCell ref="E718:G718"/>
    <mergeCell ref="H718:L718"/>
    <mergeCell ref="E719:G719"/>
    <mergeCell ref="H719:L719"/>
    <mergeCell ref="E721:N721"/>
    <mergeCell ref="D723:N723"/>
    <mergeCell ref="E711:N711"/>
    <mergeCell ref="E712:N712"/>
    <mergeCell ref="D715:G715"/>
    <mergeCell ref="H715:L715"/>
    <mergeCell ref="M715:N715"/>
    <mergeCell ref="E717:G717"/>
    <mergeCell ref="H717:L717"/>
    <mergeCell ref="F735:K735"/>
    <mergeCell ref="F737:K737"/>
    <mergeCell ref="E742:N742"/>
    <mergeCell ref="E743:N743"/>
    <mergeCell ref="E744:N744"/>
    <mergeCell ref="D750:N750"/>
    <mergeCell ref="E725:N725"/>
    <mergeCell ref="H727:I727"/>
    <mergeCell ref="F729:J729"/>
    <mergeCell ref="K729:L729"/>
    <mergeCell ref="H731:I731"/>
    <mergeCell ref="F733:K733"/>
    <mergeCell ref="E757:G757"/>
    <mergeCell ref="J757:N757"/>
    <mergeCell ref="E758:G758"/>
    <mergeCell ref="J758:N758"/>
    <mergeCell ref="E759:G759"/>
    <mergeCell ref="J759:N759"/>
    <mergeCell ref="E754:G754"/>
    <mergeCell ref="J754:N754"/>
    <mergeCell ref="E755:G755"/>
    <mergeCell ref="J755:N755"/>
    <mergeCell ref="E756:G756"/>
    <mergeCell ref="J756:N756"/>
    <mergeCell ref="E777:N777"/>
    <mergeCell ref="E778:N778"/>
    <mergeCell ref="E766:G766"/>
    <mergeCell ref="E767:G767"/>
    <mergeCell ref="E768:G768"/>
    <mergeCell ref="E769:G769"/>
    <mergeCell ref="E770:G770"/>
    <mergeCell ref="D772:N772"/>
    <mergeCell ref="E760:G760"/>
    <mergeCell ref="J760:N760"/>
    <mergeCell ref="E764:G764"/>
    <mergeCell ref="E765:G765"/>
    <mergeCell ref="E774:N774"/>
    <mergeCell ref="E776:N776"/>
  </mergeCells>
  <phoneticPr fontId="61" type="noConversion"/>
  <conditionalFormatting sqref="I138:N143 H160:H165">
    <cfRule type="expression" dxfId="192" priority="184" stopIfTrue="1">
      <formula>$W138=TRUE</formula>
    </cfRule>
  </conditionalFormatting>
  <conditionalFormatting sqref="I160:K165">
    <cfRule type="expression" dxfId="191" priority="185" stopIfTrue="1">
      <formula>$W160=TRUE</formula>
    </cfRule>
    <cfRule type="expression" dxfId="190" priority="186" stopIfTrue="1">
      <formula>$S160=2</formula>
    </cfRule>
  </conditionalFormatting>
  <conditionalFormatting sqref="L160:N165">
    <cfRule type="expression" dxfId="189" priority="187" stopIfTrue="1">
      <formula>$W160=TRUE</formula>
    </cfRule>
    <cfRule type="expression" dxfId="188" priority="188" stopIfTrue="1">
      <formula>$S160=1</formula>
    </cfRule>
  </conditionalFormatting>
  <conditionalFormatting sqref="L71 L66 H61:I61 K56:L56 H52:I52 L75">
    <cfRule type="expression" dxfId="187" priority="189" stopIfTrue="1">
      <formula>$W52=0</formula>
    </cfRule>
    <cfRule type="expression" dxfId="186" priority="190" stopIfTrue="1">
      <formula>$W52=1</formula>
    </cfRule>
  </conditionalFormatting>
  <conditionalFormatting sqref="H23:L23 H29:L29">
    <cfRule type="expression" dxfId="185" priority="191" stopIfTrue="1">
      <formula>NOT(ISERROR(SEARCH("!",H23)))</formula>
    </cfRule>
  </conditionalFormatting>
  <conditionalFormatting sqref="E182:N184 E87:N89 H92:H93 H80:L81 J93:N93 J97:N97 H96:H97">
    <cfRule type="expression" dxfId="184" priority="192" stopIfTrue="1">
      <formula>$L$6=EUconst_NotRelevant</formula>
    </cfRule>
  </conditionalFormatting>
  <conditionalFormatting sqref="I227:N232">
    <cfRule type="expression" dxfId="183" priority="175" stopIfTrue="1">
      <formula>$W227=TRUE</formula>
    </cfRule>
  </conditionalFormatting>
  <conditionalFormatting sqref="L207 L205 H203:I203 K201:L201 H199:I199 L209">
    <cfRule type="expression" dxfId="182" priority="180" stopIfTrue="1">
      <formula>$W199=0</formula>
    </cfRule>
    <cfRule type="expression" dxfId="181" priority="181" stopIfTrue="1">
      <formula>$W199=1</formula>
    </cfRule>
  </conditionalFormatting>
  <conditionalFormatting sqref="E248:N250 E214:N216 H219:H220 H211:L211 J220:N220">
    <cfRule type="expression" dxfId="180" priority="183" stopIfTrue="1">
      <formula>$L$6=EUconst_NotRelevant</formula>
    </cfRule>
  </conditionalFormatting>
  <conditionalFormatting sqref="I293:N298">
    <cfRule type="expression" dxfId="179" priority="166" stopIfTrue="1">
      <formula>$W293=TRUE</formula>
    </cfRule>
  </conditionalFormatting>
  <conditionalFormatting sqref="L273 L271 H269:I269 K267:L267 H265:I265 L275">
    <cfRule type="expression" dxfId="178" priority="171" stopIfTrue="1">
      <formula>$W265=0</formula>
    </cfRule>
    <cfRule type="expression" dxfId="177" priority="172" stopIfTrue="1">
      <formula>$W265=1</formula>
    </cfRule>
  </conditionalFormatting>
  <conditionalFormatting sqref="E314:N316 E280:N282 H285:H286 H277:L277 J286:N286">
    <cfRule type="expression" dxfId="176" priority="174" stopIfTrue="1">
      <formula>$L$6=EUconst_NotRelevant</formula>
    </cfRule>
  </conditionalFormatting>
  <conditionalFormatting sqref="I160:N165">
    <cfRule type="expression" dxfId="175" priority="102" stopIfTrue="1">
      <formula>$S160=3</formula>
    </cfRule>
  </conditionalFormatting>
  <conditionalFormatting sqref="H237:H242">
    <cfRule type="expression" dxfId="174" priority="96" stopIfTrue="1">
      <formula>$W237=TRUE</formula>
    </cfRule>
  </conditionalFormatting>
  <conditionalFormatting sqref="I237:K242">
    <cfRule type="expression" dxfId="173" priority="97" stopIfTrue="1">
      <formula>$W237=TRUE</formula>
    </cfRule>
    <cfRule type="expression" dxfId="172" priority="98" stopIfTrue="1">
      <formula>$S237=2</formula>
    </cfRule>
  </conditionalFormatting>
  <conditionalFormatting sqref="L237:N242">
    <cfRule type="expression" dxfId="171" priority="99" stopIfTrue="1">
      <formula>$W237=TRUE</formula>
    </cfRule>
    <cfRule type="expression" dxfId="170" priority="100" stopIfTrue="1">
      <formula>$S237=1</formula>
    </cfRule>
  </conditionalFormatting>
  <conditionalFormatting sqref="I237:N242">
    <cfRule type="expression" dxfId="169" priority="95" stopIfTrue="1">
      <formula>$S237=3</formula>
    </cfRule>
  </conditionalFormatting>
  <conditionalFormatting sqref="H303:H308">
    <cfRule type="expression" dxfId="168" priority="90" stopIfTrue="1">
      <formula>$W303=TRUE</formula>
    </cfRule>
  </conditionalFormatting>
  <conditionalFormatting sqref="I303:K308">
    <cfRule type="expression" dxfId="167" priority="91" stopIfTrue="1">
      <formula>$W303=TRUE</formula>
    </cfRule>
    <cfRule type="expression" dxfId="166" priority="92" stopIfTrue="1">
      <formula>$S303=2</formula>
    </cfRule>
  </conditionalFormatting>
  <conditionalFormatting sqref="L303:N308">
    <cfRule type="expression" dxfId="165" priority="93" stopIfTrue="1">
      <formula>$W303=TRUE</formula>
    </cfRule>
    <cfRule type="expression" dxfId="164" priority="94" stopIfTrue="1">
      <formula>$S303=1</formula>
    </cfRule>
  </conditionalFormatting>
  <conditionalFormatting sqref="I303:N308">
    <cfRule type="expression" dxfId="163" priority="89" stopIfTrue="1">
      <formula>$S303=3</formula>
    </cfRule>
  </conditionalFormatting>
  <conditionalFormatting sqref="I359:N364">
    <cfRule type="expression" dxfId="162" priority="82" stopIfTrue="1">
      <formula>$W359=TRUE</formula>
    </cfRule>
  </conditionalFormatting>
  <conditionalFormatting sqref="L339 L337 H335:I335 K333:L333 H331:I331 L341">
    <cfRule type="expression" dxfId="161" priority="83" stopIfTrue="1">
      <formula>$W331=0</formula>
    </cfRule>
    <cfRule type="expression" dxfId="160" priority="84" stopIfTrue="1">
      <formula>$W331=1</formula>
    </cfRule>
  </conditionalFormatting>
  <conditionalFormatting sqref="E380:N382 E346:N348 H351:H352 H343:L343 J352:N352">
    <cfRule type="expression" dxfId="159" priority="85" stopIfTrue="1">
      <formula>$L$6=EUconst_NotRelevant</formula>
    </cfRule>
  </conditionalFormatting>
  <conditionalFormatting sqref="H369:H374">
    <cfRule type="expression" dxfId="158" priority="76" stopIfTrue="1">
      <formula>$W369=TRUE</formula>
    </cfRule>
  </conditionalFormatting>
  <conditionalFormatting sqref="I369:K374">
    <cfRule type="expression" dxfId="157" priority="77" stopIfTrue="1">
      <formula>$W369=TRUE</formula>
    </cfRule>
    <cfRule type="expression" dxfId="156" priority="78" stopIfTrue="1">
      <formula>$S369=2</formula>
    </cfRule>
  </conditionalFormatting>
  <conditionalFormatting sqref="L369:N374">
    <cfRule type="expression" dxfId="155" priority="79" stopIfTrue="1">
      <formula>$W369=TRUE</formula>
    </cfRule>
    <cfRule type="expression" dxfId="154" priority="80" stopIfTrue="1">
      <formula>$S369=1</formula>
    </cfRule>
  </conditionalFormatting>
  <conditionalFormatting sqref="I369:N374">
    <cfRule type="expression" dxfId="153" priority="75" stopIfTrue="1">
      <formula>$S369=3</formula>
    </cfRule>
  </conditionalFormatting>
  <conditionalFormatting sqref="I425:N430">
    <cfRule type="expression" dxfId="152" priority="71" stopIfTrue="1">
      <formula>$W425=TRUE</formula>
    </cfRule>
  </conditionalFormatting>
  <conditionalFormatting sqref="L405 L403 H401:I401 K399:L399 H397:I397 L407">
    <cfRule type="expression" dxfId="151" priority="72" stopIfTrue="1">
      <formula>$W397=0</formula>
    </cfRule>
    <cfRule type="expression" dxfId="150" priority="73" stopIfTrue="1">
      <formula>$W397=1</formula>
    </cfRule>
  </conditionalFormatting>
  <conditionalFormatting sqref="E446:N448 E412:N414 H417:H418 H409:L409 J418:N418">
    <cfRule type="expression" dxfId="149" priority="74" stopIfTrue="1">
      <formula>$L$6=EUconst_NotRelevant</formula>
    </cfRule>
  </conditionalFormatting>
  <conditionalFormatting sqref="H435:H440">
    <cfRule type="expression" dxfId="148" priority="65" stopIfTrue="1">
      <formula>$W435=TRUE</formula>
    </cfRule>
  </conditionalFormatting>
  <conditionalFormatting sqref="I435:K440">
    <cfRule type="expression" dxfId="147" priority="66" stopIfTrue="1">
      <formula>$W435=TRUE</formula>
    </cfRule>
    <cfRule type="expression" dxfId="146" priority="67" stopIfTrue="1">
      <formula>$S435=2</formula>
    </cfRule>
  </conditionalFormatting>
  <conditionalFormatting sqref="L435:N440">
    <cfRule type="expression" dxfId="145" priority="68" stopIfTrue="1">
      <formula>$W435=TRUE</formula>
    </cfRule>
    <cfRule type="expression" dxfId="144" priority="69" stopIfTrue="1">
      <formula>$S435=1</formula>
    </cfRule>
  </conditionalFormatting>
  <conditionalFormatting sqref="I435:N440">
    <cfRule type="expression" dxfId="143" priority="64" stopIfTrue="1">
      <formula>$S435=3</formula>
    </cfRule>
  </conditionalFormatting>
  <conditionalFormatting sqref="I491:N496">
    <cfRule type="expression" dxfId="142" priority="60" stopIfTrue="1">
      <formula>$W491=TRUE</formula>
    </cfRule>
  </conditionalFormatting>
  <conditionalFormatting sqref="L471 L469 H467:I467 K465:L465 H463:I463 L473">
    <cfRule type="expression" dxfId="141" priority="61" stopIfTrue="1">
      <formula>$W463=0</formula>
    </cfRule>
    <cfRule type="expression" dxfId="140" priority="62" stopIfTrue="1">
      <formula>$W463=1</formula>
    </cfRule>
  </conditionalFormatting>
  <conditionalFormatting sqref="E512:N514 E478:N480 H483:H484 H475:L475 J484:N484">
    <cfRule type="expression" dxfId="139" priority="63" stopIfTrue="1">
      <formula>$L$6=EUconst_NotRelevant</formula>
    </cfRule>
  </conditionalFormatting>
  <conditionalFormatting sqref="H501:H506">
    <cfRule type="expression" dxfId="138" priority="54" stopIfTrue="1">
      <formula>$W501=TRUE</formula>
    </cfRule>
  </conditionalFormatting>
  <conditionalFormatting sqref="I501:K506">
    <cfRule type="expression" dxfId="137" priority="55" stopIfTrue="1">
      <formula>$W501=TRUE</formula>
    </cfRule>
    <cfRule type="expression" dxfId="136" priority="56" stopIfTrue="1">
      <formula>$S501=2</formula>
    </cfRule>
  </conditionalFormatting>
  <conditionalFormatting sqref="L501:N506">
    <cfRule type="expression" dxfId="135" priority="57" stopIfTrue="1">
      <formula>$W501=TRUE</formula>
    </cfRule>
    <cfRule type="expression" dxfId="134" priority="58" stopIfTrue="1">
      <formula>$S501=1</formula>
    </cfRule>
  </conditionalFormatting>
  <conditionalFormatting sqref="I501:N506">
    <cfRule type="expression" dxfId="133" priority="53" stopIfTrue="1">
      <formula>$S501=3</formula>
    </cfRule>
  </conditionalFormatting>
  <conditionalFormatting sqref="I557:N562">
    <cfRule type="expression" dxfId="132" priority="49" stopIfTrue="1">
      <formula>$W557=TRUE</formula>
    </cfRule>
  </conditionalFormatting>
  <conditionalFormatting sqref="L537 L535 H533:I533 K531:L531 H529:I529 L539">
    <cfRule type="expression" dxfId="131" priority="50" stopIfTrue="1">
      <formula>$W529=0</formula>
    </cfRule>
    <cfRule type="expression" dxfId="130" priority="51" stopIfTrue="1">
      <formula>$W529=1</formula>
    </cfRule>
  </conditionalFormatting>
  <conditionalFormatting sqref="E578:N580 E544:N546 H549:H550 H541:L541 J550:N550">
    <cfRule type="expression" dxfId="129" priority="52" stopIfTrue="1">
      <formula>$L$6=EUconst_NotRelevant</formula>
    </cfRule>
  </conditionalFormatting>
  <conditionalFormatting sqref="H567:H572">
    <cfRule type="expression" dxfId="128" priority="43" stopIfTrue="1">
      <formula>$W567=TRUE</formula>
    </cfRule>
  </conditionalFormatting>
  <conditionalFormatting sqref="I567:K572">
    <cfRule type="expression" dxfId="127" priority="44" stopIfTrue="1">
      <formula>$W567=TRUE</formula>
    </cfRule>
    <cfRule type="expression" dxfId="126" priority="45" stopIfTrue="1">
      <formula>$S567=2</formula>
    </cfRule>
  </conditionalFormatting>
  <conditionalFormatting sqref="L567:N572">
    <cfRule type="expression" dxfId="125" priority="46" stopIfTrue="1">
      <formula>$W567=TRUE</formula>
    </cfRule>
    <cfRule type="expression" dxfId="124" priority="47" stopIfTrue="1">
      <formula>$S567=1</formula>
    </cfRule>
  </conditionalFormatting>
  <conditionalFormatting sqref="I567:N572">
    <cfRule type="expression" dxfId="123" priority="42" stopIfTrue="1">
      <formula>$S567=3</formula>
    </cfRule>
  </conditionalFormatting>
  <conditionalFormatting sqref="I623:N628">
    <cfRule type="expression" dxfId="122" priority="38" stopIfTrue="1">
      <formula>$W623=TRUE</formula>
    </cfRule>
  </conditionalFormatting>
  <conditionalFormatting sqref="L603 L601 H599:I599 K597:L597 H595:I595 L605">
    <cfRule type="expression" dxfId="121" priority="39" stopIfTrue="1">
      <formula>$W595=0</formula>
    </cfRule>
    <cfRule type="expression" dxfId="120" priority="40" stopIfTrue="1">
      <formula>$W595=1</formula>
    </cfRule>
  </conditionalFormatting>
  <conditionalFormatting sqref="E644:N646 E610:N612 H615:H616 H607:L607 J616:N616">
    <cfRule type="expression" dxfId="119" priority="41" stopIfTrue="1">
      <formula>$L$6=EUconst_NotRelevant</formula>
    </cfRule>
  </conditionalFormatting>
  <conditionalFormatting sqref="H633:H638">
    <cfRule type="expression" dxfId="118" priority="32" stopIfTrue="1">
      <formula>$W633=TRUE</formula>
    </cfRule>
  </conditionalFormatting>
  <conditionalFormatting sqref="I633:K638">
    <cfRule type="expression" dxfId="117" priority="33" stopIfTrue="1">
      <formula>$W633=TRUE</formula>
    </cfRule>
    <cfRule type="expression" dxfId="116" priority="34" stopIfTrue="1">
      <formula>$S633=2</formula>
    </cfRule>
  </conditionalFormatting>
  <conditionalFormatting sqref="L633:N638">
    <cfRule type="expression" dxfId="115" priority="35" stopIfTrue="1">
      <formula>$W633=TRUE</formula>
    </cfRule>
    <cfRule type="expression" dxfId="114" priority="36" stopIfTrue="1">
      <formula>$S633=1</formula>
    </cfRule>
  </conditionalFormatting>
  <conditionalFormatting sqref="I633:N638">
    <cfRule type="expression" dxfId="113" priority="31" stopIfTrue="1">
      <formula>$S633=3</formula>
    </cfRule>
  </conditionalFormatting>
  <conditionalFormatting sqref="I689:N694">
    <cfRule type="expression" dxfId="112" priority="27" stopIfTrue="1">
      <formula>$W689=TRUE</formula>
    </cfRule>
  </conditionalFormatting>
  <conditionalFormatting sqref="L669 L667 H665:I665 K663:L663 H661:I661 L671">
    <cfRule type="expression" dxfId="111" priority="28" stopIfTrue="1">
      <formula>$W661=0</formula>
    </cfRule>
    <cfRule type="expression" dxfId="110" priority="29" stopIfTrue="1">
      <formula>$W661=1</formula>
    </cfRule>
  </conditionalFormatting>
  <conditionalFormatting sqref="E710:N712 E676:N678 H681:H682 H673:L673 J682:N682">
    <cfRule type="expression" dxfId="109" priority="30" stopIfTrue="1">
      <formula>$L$6=EUconst_NotRelevant</formula>
    </cfRule>
  </conditionalFormatting>
  <conditionalFormatting sqref="H699:H704">
    <cfRule type="expression" dxfId="108" priority="21" stopIfTrue="1">
      <formula>$W699=TRUE</formula>
    </cfRule>
  </conditionalFormatting>
  <conditionalFormatting sqref="I699:K704">
    <cfRule type="expression" dxfId="107" priority="22" stopIfTrue="1">
      <formula>$W699=TRUE</formula>
    </cfRule>
    <cfRule type="expression" dxfId="106" priority="23" stopIfTrue="1">
      <formula>$S699=2</formula>
    </cfRule>
  </conditionalFormatting>
  <conditionalFormatting sqref="L699:N704">
    <cfRule type="expression" dxfId="105" priority="24" stopIfTrue="1">
      <formula>$W699=TRUE</formula>
    </cfRule>
    <cfRule type="expression" dxfId="104" priority="25" stopIfTrue="1">
      <formula>$S699=1</formula>
    </cfRule>
  </conditionalFormatting>
  <conditionalFormatting sqref="I699:N704">
    <cfRule type="expression" dxfId="103" priority="20" stopIfTrue="1">
      <formula>$S699=3</formula>
    </cfRule>
  </conditionalFormatting>
  <conditionalFormatting sqref="I755:N760">
    <cfRule type="expression" dxfId="102" priority="16" stopIfTrue="1">
      <formula>$W755=TRUE</formula>
    </cfRule>
  </conditionalFormatting>
  <conditionalFormatting sqref="L735 L733 H731:I731 K729:L729 H727:I727 L737">
    <cfRule type="expression" dxfId="101" priority="17" stopIfTrue="1">
      <formula>$W727=0</formula>
    </cfRule>
    <cfRule type="expression" dxfId="100" priority="18" stopIfTrue="1">
      <formula>$W727=1</formula>
    </cfRule>
  </conditionalFormatting>
  <conditionalFormatting sqref="E776:N778 E742:N744 H747:H748 H739:L739 J748:N748">
    <cfRule type="expression" dxfId="99" priority="19" stopIfTrue="1">
      <formula>$L$6=EUconst_NotRelevant</formula>
    </cfRule>
  </conditionalFormatting>
  <conditionalFormatting sqref="H719:L719">
    <cfRule type="expression" dxfId="98" priority="15" stopIfTrue="1">
      <formula>NOT(ISERROR(SEARCH("!",H719)))</formula>
    </cfRule>
  </conditionalFormatting>
  <conditionalFormatting sqref="H765:H770">
    <cfRule type="expression" dxfId="97" priority="10" stopIfTrue="1">
      <formula>$W765=TRUE</formula>
    </cfRule>
  </conditionalFormatting>
  <conditionalFormatting sqref="I765:K770">
    <cfRule type="expression" dxfId="96" priority="11" stopIfTrue="1">
      <formula>$W765=TRUE</formula>
    </cfRule>
    <cfRule type="expression" dxfId="95" priority="12" stopIfTrue="1">
      <formula>$S765=2</formula>
    </cfRule>
  </conditionalFormatting>
  <conditionalFormatting sqref="L765:N770">
    <cfRule type="expression" dxfId="94" priority="13" stopIfTrue="1">
      <formula>$W765=TRUE</formula>
    </cfRule>
    <cfRule type="expression" dxfId="93" priority="14" stopIfTrue="1">
      <formula>$S765=1</formula>
    </cfRule>
  </conditionalFormatting>
  <conditionalFormatting sqref="I765:N770">
    <cfRule type="expression" dxfId="92" priority="9" stopIfTrue="1">
      <formula>$S765=3</formula>
    </cfRule>
  </conditionalFormatting>
  <conditionalFormatting sqref="H191:L191">
    <cfRule type="expression" dxfId="91" priority="8" stopIfTrue="1">
      <formula>NOT(ISERROR(SEARCH("!",H191)))</formula>
    </cfRule>
  </conditionalFormatting>
  <conditionalFormatting sqref="H257:L257">
    <cfRule type="expression" dxfId="90" priority="7" stopIfTrue="1">
      <formula>NOT(ISERROR(SEARCH("!",H257)))</formula>
    </cfRule>
  </conditionalFormatting>
  <conditionalFormatting sqref="H323:L323">
    <cfRule type="expression" dxfId="89" priority="6" stopIfTrue="1">
      <formula>NOT(ISERROR(SEARCH("!",H323)))</formula>
    </cfRule>
  </conditionalFormatting>
  <conditionalFormatting sqref="H389:L389">
    <cfRule type="expression" dxfId="88" priority="5" stopIfTrue="1">
      <formula>NOT(ISERROR(SEARCH("!",H389)))</formula>
    </cfRule>
  </conditionalFormatting>
  <conditionalFormatting sqref="H455:L455">
    <cfRule type="expression" dxfId="87" priority="4" stopIfTrue="1">
      <formula>NOT(ISERROR(SEARCH("!",H455)))</formula>
    </cfRule>
  </conditionalFormatting>
  <conditionalFormatting sqref="H521:L521">
    <cfRule type="expression" dxfId="86" priority="3" stopIfTrue="1">
      <formula>NOT(ISERROR(SEARCH("!",H521)))</formula>
    </cfRule>
  </conditionalFormatting>
  <conditionalFormatting sqref="H587:L587">
    <cfRule type="expression" dxfId="85" priority="2" stopIfTrue="1">
      <formula>NOT(ISERROR(SEARCH("!",H587)))</formula>
    </cfRule>
  </conditionalFormatting>
  <conditionalFormatting sqref="H653:L653">
    <cfRule type="expression" dxfId="84" priority="1" stopIfTrue="1">
      <formula>NOT(ISERROR(SEARCH("!",H653)))</formula>
    </cfRule>
  </conditionalFormatting>
  <dataValidations count="16">
    <dataValidation type="list" allowBlank="1" showInputMessage="1" showErrorMessage="1" sqref="K160:K165 K237:K242 K303:K308 K699:K704 K369:K374 K435:K440 K501:K506 K567:K572 K633:K638 K765:K770" xr:uid="{00000000-0002-0000-0600-000000000000}">
      <formula1>CNTR_InformationSourceListISx</formula1>
    </dataValidation>
    <dataValidation type="list" allowBlank="1" showInputMessage="1" showErrorMessage="1" sqref="N160:N165 N237:N242 N303:N308 N699:N704 N369:N374 N435:N440 N501:N506 N567:N572 N633:N638 N765:N770" xr:uid="{00000000-0002-0000-0600-000001000000}">
      <formula1>AnalysisFrequency</formula1>
    </dataValidation>
    <dataValidation type="list" allowBlank="1" showInputMessage="1" sqref="L160:L165 L237:L242 L303:L308 L699:L704 L369:L374 L435:L440 L501:L506 L567:L572 L633:L638 L765:L770" xr:uid="{00000000-0002-0000-0600-000002000000}">
      <formula1>CNTR_LaboratoriesListLx</formula1>
    </dataValidation>
    <dataValidation type="list" allowBlank="1" showInputMessage="1" showErrorMessage="1" sqref="I138 I146:I147 I227 I293 I689 I359 I425 I491 I557 I623 I755" xr:uid="{00000000-0002-0000-0600-000003000000}">
      <formula1>NCVTiers</formula1>
    </dataValidation>
    <dataValidation type="list" allowBlank="1" showInputMessage="1" showErrorMessage="1" sqref="I139:I140 I148 I228:I229 I294:I295 I690:I691 I360:I361 I426:I427 I492:I493 I558:I559 I624:I625 I756:I757" xr:uid="{00000000-0002-0000-0600-000004000000}">
      <formula1>EFTiers</formula1>
    </dataValidation>
    <dataValidation type="list" allowBlank="1" showInputMessage="1" showErrorMessage="1" sqref="I141 I149 I230 I296 I692 I362 I428 I494 I560 I626 I758" xr:uid="{00000000-0002-0000-0600-000005000000}">
      <formula1>ConversionFactorTiers</formula1>
    </dataValidation>
    <dataValidation type="list" allowBlank="1" showInputMessage="1" showErrorMessage="1" sqref="I142 I150 I231 I297 I693 I363 I429 I495 I561 I627 I759" xr:uid="{00000000-0002-0000-0600-000006000000}">
      <formula1>CarbonContentTiers</formula1>
    </dataValidation>
    <dataValidation type="list" allowBlank="1" showInputMessage="1" showErrorMessage="1" sqref="I151 I143 I232 I298 I694 I364 I430 I496 I562 I628 I760" xr:uid="{00000000-0002-0000-0600-000007000000}">
      <formula1>BiomassTiers</formula1>
    </dataValidation>
    <dataValidation type="list" allowBlank="1" showInputMessage="1" showErrorMessage="1" sqref="H92 H96 H219 H285 H681 H351 H417 H483 H549 H615 H747" xr:uid="{00000000-0002-0000-0600-000008000000}">
      <formula1>ActivityDataTiers</formula1>
    </dataValidation>
    <dataValidation type="list" allowBlank="1" showInputMessage="1" showErrorMessage="1" sqref="H80:L80 H211:L211 H277:L277 H673:L673 H343:L343 H409:L409 H475:L475 H541:L541 H607:L607 H739:L739" xr:uid="{00000000-0002-0000-0600-000009000000}">
      <formula1>CNTR_MeasurementInstrumentListMIx</formula1>
    </dataValidation>
    <dataValidation type="list" allowBlank="1" showInputMessage="1" showErrorMessage="1" sqref="L71:L72 L66:L67 L75:L76 L207 L205 L209 L273 L271 L275 L669 L667 L671 L339 L337 L341 L405 L403 L407 L471 L469 L473 L537 L535 L539 L603 L601 L605 L735 L733 L737" xr:uid="{00000000-0002-0000-0600-00000A000000}">
      <formula1>EUconst_TrueFalse</formula1>
    </dataValidation>
    <dataValidation type="list" allowBlank="1" showInputMessage="1" showErrorMessage="1" sqref="H61:H62 H203 H269 H665 H335 H401 H467 H533 H599 H731" xr:uid="{00000000-0002-0000-0600-00000B000000}">
      <formula1>EUconst_OwnerInstrument</formula1>
    </dataValidation>
    <dataValidation type="list" allowBlank="1" showInputMessage="1" showErrorMessage="1" sqref="H52:H53 H199 H265 H661 H331 H397 H463 H529 H595 H727" xr:uid="{00000000-0002-0000-0600-00000C000000}">
      <formula1>EUconst_ActivityDeterminationMethod</formula1>
    </dataValidation>
    <dataValidation type="list" allowBlank="1" showInputMessage="1" showErrorMessage="1" sqref="J162:J165 J239:J242 J305:J308 J701:J704 J371:J374 J437:J440 J503:J506 J569:J572 J635:J638 J767:J770" xr:uid="{00000000-0002-0000-0600-00000D000000}">
      <formula1>PctUnits</formula1>
    </dataValidation>
    <dataValidation type="list" allowBlank="1" showInputMessage="1" showErrorMessage="1" sqref="J160 J237 J303 J699 J369 J435 J501 J567 J633 J765" xr:uid="{00000000-0002-0000-0600-00000E000000}">
      <formula1>NCVUnits</formula1>
    </dataValidation>
    <dataValidation type="list" allowBlank="1" showInputMessage="1" showErrorMessage="1" sqref="J161 J238 J304 J700 J370 J436 J502 J568 J634 J766" xr:uid="{00000000-0002-0000-0600-00000F000000}">
      <formula1>EFUnits</formula1>
    </dataValidation>
  </dataValidations>
  <hyperlinks>
    <hyperlink ref="G2:H2" location="JUMP_a_Content" display="Table of contents" xr:uid="{00000000-0004-0000-0600-000000000000}"/>
    <hyperlink ref="E4:F4" location="JUMP_E_Bottom" display="End of sheet" xr:uid="{00000000-0004-0000-0600-000001000000}"/>
    <hyperlink ref="E3:F3" location="JUMP_E_Top" display="Top of sheet" xr:uid="{00000000-0004-0000-0600-000002000000}"/>
    <hyperlink ref="F782:L782" location="JUMP_F_Top" display="JUMP_F_Top" xr:uid="{00000000-0004-0000-0600-000003000000}"/>
    <hyperlink ref="G3:H3" location="JUMP_E_1" display="1 to 5" xr:uid="{00000000-0004-0000-0600-000004000000}"/>
    <hyperlink ref="K2:L2" location="JUMP_F_Top" display="Next sheet" xr:uid="{00000000-0004-0000-0600-000005000000}"/>
    <hyperlink ref="I2:J2" location="JUMP_D_Top" display="Previous sheet" xr:uid="{00000000-0004-0000-0600-000006000000}"/>
    <hyperlink ref="K4:L4" location="JUMP_E_6" display="JUMP_E_6" xr:uid="{00000000-0004-0000-0600-000007000000}"/>
    <hyperlink ref="I3:J3" location="JUMP_E_2" display="JUMP_E_2" xr:uid="{00000000-0004-0000-0600-000008000000}"/>
    <hyperlink ref="K3:L3" location="JUMP_E_3" display="JUMP_E_3" xr:uid="{00000000-0004-0000-0600-000009000000}"/>
    <hyperlink ref="G4:H4" location="JUMP_E_4" display="JUMP_E_4" xr:uid="{00000000-0004-0000-0600-00000A000000}"/>
    <hyperlink ref="I4:J4" location="JUMP_E_5" display="JUMP_E_5" xr:uid="{00000000-0004-0000-0600-00000B000000}"/>
  </hyperlinks>
  <pageMargins left="0.78740157480314965" right="0.78740157480314965" top="0.78740157480314965" bottom="0.78740157480314965" header="0.39370078740157483" footer="0.39370078740157483"/>
  <pageSetup paperSize="9" scale="61" fitToHeight="20" orientation="portrait" r:id="rId1"/>
  <headerFooter alignWithMargins="0">
    <oddHeader>&amp;L&amp;F, &amp;A&amp;R&amp;D, &amp;T</oddHeader>
    <oddFooter>&amp;C&amp;P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indexed="15"/>
    <pageSetUpPr fitToPage="1"/>
  </sheetPr>
  <dimension ref="A1:Y527"/>
  <sheetViews>
    <sheetView topLeftCell="B1" zoomScaleNormal="100" workbookViewId="0">
      <pane ySplit="4" topLeftCell="A5" activePane="bottomLeft" state="frozen"/>
      <selection activeCell="B2" sqref="B2"/>
      <selection pane="bottomLeft" activeCell="B2" sqref="B2:D4"/>
    </sheetView>
  </sheetViews>
  <sheetFormatPr defaultColWidth="9.140625" defaultRowHeight="12.75" x14ac:dyDescent="0.2"/>
  <cols>
    <col min="1" max="1" width="2.7109375" style="65" hidden="1" customWidth="1"/>
    <col min="2" max="2" width="2.7109375" style="8" customWidth="1"/>
    <col min="3" max="3" width="4.7109375" style="8" customWidth="1"/>
    <col min="4" max="4" width="4.7109375" style="10" customWidth="1"/>
    <col min="5" max="14" width="12.7109375" style="8" customWidth="1"/>
    <col min="15" max="15" width="5" style="8" customWidth="1"/>
    <col min="16" max="16" width="27.5703125" style="65" hidden="1" customWidth="1"/>
    <col min="17" max="23" width="12.7109375" style="65" hidden="1" customWidth="1"/>
    <col min="24" max="25" width="9.140625" style="65" hidden="1" customWidth="1"/>
    <col min="26" max="16384" width="9.140625" style="8"/>
  </cols>
  <sheetData>
    <row r="1" spans="1:25" ht="13.5" hidden="1" thickBot="1" x14ac:dyDescent="0.25">
      <c r="A1" s="12" t="s">
        <v>1090</v>
      </c>
      <c r="B1" s="72"/>
      <c r="C1" s="72"/>
      <c r="D1" s="75"/>
      <c r="E1" s="72"/>
      <c r="F1" s="72"/>
      <c r="G1" s="72"/>
      <c r="H1" s="72"/>
      <c r="I1" s="72"/>
      <c r="J1" s="72"/>
      <c r="K1" s="72"/>
      <c r="L1" s="72"/>
      <c r="M1" s="72"/>
      <c r="N1" s="72"/>
      <c r="O1" s="72"/>
      <c r="P1" s="12" t="s">
        <v>1090</v>
      </c>
      <c r="Q1" s="12" t="s">
        <v>1090</v>
      </c>
      <c r="R1" s="12" t="s">
        <v>1090</v>
      </c>
      <c r="S1" s="12" t="s">
        <v>1090</v>
      </c>
      <c r="T1" s="12" t="s">
        <v>1090</v>
      </c>
      <c r="U1" s="12" t="s">
        <v>1090</v>
      </c>
      <c r="V1" s="12" t="s">
        <v>1090</v>
      </c>
      <c r="W1" s="12" t="s">
        <v>1090</v>
      </c>
      <c r="X1" s="12" t="s">
        <v>1090</v>
      </c>
      <c r="Y1" s="12" t="s">
        <v>1090</v>
      </c>
    </row>
    <row r="2" spans="1:25" ht="13.5" customHeight="1" thickBot="1" x14ac:dyDescent="0.25">
      <c r="A2" s="12"/>
      <c r="B2" s="803" t="str">
        <f>Translations!$B$551</f>
        <v>F.
Measurement Approach</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c r="P2" s="12"/>
    </row>
    <row r="3" spans="1:25" ht="12.75" customHeight="1" x14ac:dyDescent="0.2">
      <c r="A3" s="12"/>
      <c r="B3" s="806"/>
      <c r="C3" s="807"/>
      <c r="D3" s="808"/>
      <c r="E3" s="776" t="str">
        <f>Translations!$B$63</f>
        <v>Top of sheet</v>
      </c>
      <c r="F3" s="776"/>
      <c r="G3" s="776" t="str">
        <f>Translations!$B$552</f>
        <v>Measurement of emissions</v>
      </c>
      <c r="H3" s="776"/>
      <c r="I3" s="776" t="str">
        <f>Translations!$B$188</f>
        <v>Measurement points</v>
      </c>
      <c r="J3" s="776"/>
      <c r="K3" s="776"/>
      <c r="L3" s="776"/>
      <c r="M3" s="777"/>
      <c r="N3" s="778"/>
      <c r="O3" s="7"/>
      <c r="P3" s="12"/>
    </row>
    <row r="4" spans="1:25" ht="13.5" customHeight="1" thickBot="1" x14ac:dyDescent="0.25">
      <c r="A4" s="12"/>
      <c r="B4" s="809"/>
      <c r="C4" s="810"/>
      <c r="D4" s="811"/>
      <c r="E4" s="776" t="str">
        <f>Translations!$B$64</f>
        <v>End of sheet</v>
      </c>
      <c r="F4" s="776"/>
      <c r="G4" s="776" t="str">
        <f>Translations!$B$553</f>
        <v>Management &amp; Procedures</v>
      </c>
      <c r="H4" s="776"/>
      <c r="I4" s="776"/>
      <c r="J4" s="776"/>
      <c r="K4" s="776"/>
      <c r="L4" s="776"/>
      <c r="M4" s="777"/>
      <c r="N4" s="778"/>
      <c r="O4" s="7"/>
      <c r="P4" s="12"/>
    </row>
    <row r="5" spans="1:25" ht="12.75" customHeight="1" thickBot="1" x14ac:dyDescent="0.25">
      <c r="C5" s="9"/>
      <c r="F5" s="10"/>
      <c r="G5" s="10"/>
      <c r="H5" s="10"/>
      <c r="M5" s="7"/>
      <c r="N5" s="7"/>
      <c r="O5" s="7"/>
      <c r="P5" s="12"/>
      <c r="Y5" s="65" t="s">
        <v>281</v>
      </c>
    </row>
    <row r="6" spans="1:25" s="184" customFormat="1" ht="25.5" customHeight="1" thickBot="1" x14ac:dyDescent="0.25">
      <c r="A6" s="248"/>
      <c r="B6" s="34"/>
      <c r="C6" s="812" t="str">
        <f>Translations!$B$20</f>
        <v>F. Measurement Based Approaches</v>
      </c>
      <c r="D6" s="812"/>
      <c r="E6" s="812"/>
      <c r="F6" s="812"/>
      <c r="G6" s="812"/>
      <c r="H6" s="812"/>
      <c r="I6" s="812"/>
      <c r="J6" s="812"/>
      <c r="K6" s="812"/>
      <c r="L6" s="1000" t="str">
        <f>IF(OR(CNTR_InstHasMeasurement=TRUE,CNTR_InstHasN2O=TRUE,CNTR_InstHasTransferredCO2=TRUE),EUconst_Relevant,IF(COUNTA(CNTR_ListRelevantSections)&gt;0,EUconst_NotRelevant,EUconst_Relevant))</f>
        <v>relevant</v>
      </c>
      <c r="M6" s="1001"/>
      <c r="N6" s="1002"/>
      <c r="O6" s="36"/>
      <c r="P6" s="252"/>
      <c r="Q6" s="248"/>
      <c r="R6" s="248"/>
      <c r="S6" s="248"/>
      <c r="T6" s="248"/>
      <c r="U6" s="248"/>
      <c r="V6" s="248"/>
      <c r="W6" s="65"/>
      <c r="X6" s="405"/>
      <c r="Y6" s="367" t="b">
        <f>IF(L6=EUconst_NotRelevant,TRUE,FALSE)</f>
        <v>0</v>
      </c>
    </row>
    <row r="7" spans="1:25" s="184" customFormat="1" ht="5.0999999999999996" customHeight="1" x14ac:dyDescent="0.2">
      <c r="A7" s="248"/>
      <c r="B7" s="34"/>
      <c r="C7" s="216"/>
      <c r="D7" s="221"/>
      <c r="E7" s="216"/>
      <c r="F7" s="216"/>
      <c r="G7" s="216"/>
      <c r="H7" s="216"/>
      <c r="I7" s="216"/>
      <c r="J7" s="216"/>
      <c r="K7" s="216"/>
      <c r="L7" s="219"/>
      <c r="M7" s="219"/>
      <c r="N7" s="219"/>
      <c r="O7" s="36"/>
      <c r="P7" s="252"/>
      <c r="Q7" s="248"/>
      <c r="R7" s="248"/>
      <c r="S7" s="248"/>
      <c r="T7" s="248"/>
      <c r="U7" s="248"/>
      <c r="V7" s="248"/>
      <c r="W7" s="65"/>
      <c r="X7" s="405"/>
      <c r="Y7" s="405"/>
    </row>
    <row r="8" spans="1:25" x14ac:dyDescent="0.2">
      <c r="K8" s="918" t="str">
        <f>IF(L6=EUconst_NotRelevant,HYPERLINK("#JUMP_G_Top",EUconst_MsgNextSheet),HYPERLINK("",EUconst_MsgEnterThisSection))</f>
        <v>Please enter data in this section</v>
      </c>
      <c r="L8" s="918"/>
      <c r="M8" s="918"/>
      <c r="N8" s="918"/>
      <c r="O8" s="36"/>
    </row>
    <row r="9" spans="1:25" ht="5.0999999999999996" customHeight="1" x14ac:dyDescent="0.2">
      <c r="A9" s="250"/>
      <c r="B9" s="13"/>
      <c r="C9" s="13"/>
      <c r="D9" s="439"/>
      <c r="E9" s="411"/>
      <c r="F9" s="7"/>
      <c r="G9" s="411"/>
      <c r="H9" s="411"/>
      <c r="I9" s="411"/>
      <c r="J9" s="411"/>
      <c r="K9" s="411"/>
      <c r="L9" s="411"/>
      <c r="M9" s="411"/>
      <c r="N9" s="411"/>
      <c r="O9" s="36"/>
    </row>
    <row r="10" spans="1:25" s="34" customFormat="1" ht="18.75" customHeight="1" x14ac:dyDescent="0.2">
      <c r="A10" s="248"/>
      <c r="B10" s="414"/>
      <c r="C10" s="53">
        <v>9</v>
      </c>
      <c r="D10" s="884" t="str">
        <f>Translations!$B$21</f>
        <v xml:space="preserve">Measurement of CO2 and N2O emissions </v>
      </c>
      <c r="E10" s="884"/>
      <c r="F10" s="884"/>
      <c r="G10" s="884"/>
      <c r="H10" s="884"/>
      <c r="I10" s="884"/>
      <c r="J10" s="884"/>
      <c r="K10" s="884"/>
      <c r="L10" s="884"/>
      <c r="M10" s="884"/>
      <c r="N10" s="884"/>
      <c r="O10" s="36"/>
      <c r="P10" s="65"/>
      <c r="Q10" s="65"/>
      <c r="R10" s="65"/>
      <c r="S10" s="65"/>
      <c r="T10" s="65"/>
      <c r="U10" s="65"/>
      <c r="V10" s="65"/>
      <c r="W10" s="65"/>
      <c r="X10" s="248"/>
      <c r="Y10" s="248"/>
    </row>
    <row r="11" spans="1:25" ht="12.75" customHeight="1" x14ac:dyDescent="0.2">
      <c r="B11" s="417"/>
      <c r="C11" s="417"/>
      <c r="D11" s="307"/>
      <c r="E11" s="68"/>
      <c r="F11" s="440"/>
      <c r="G11" s="440"/>
      <c r="H11" s="440"/>
      <c r="I11" s="440"/>
      <c r="J11" s="440"/>
      <c r="K11" s="440"/>
      <c r="L11" s="440"/>
      <c r="M11" s="440"/>
      <c r="N11" s="440"/>
      <c r="O11" s="36"/>
    </row>
    <row r="12" spans="1:25" ht="12.75" customHeight="1" x14ac:dyDescent="0.2">
      <c r="B12" s="417"/>
      <c r="C12" s="417"/>
      <c r="D12" s="307"/>
      <c r="E12" s="798" t="str">
        <f>Translations!$B$554</f>
        <v>Note: This section is to be completed for continuous measurement of CO2 emissions as well as N2O emissions.</v>
      </c>
      <c r="F12" s="798"/>
      <c r="G12" s="798"/>
      <c r="H12" s="798"/>
      <c r="I12" s="798"/>
      <c r="J12" s="798"/>
      <c r="K12" s="798"/>
      <c r="L12" s="798"/>
      <c r="M12" s="798"/>
      <c r="N12" s="798"/>
      <c r="O12" s="36"/>
    </row>
    <row r="13" spans="1:25" ht="12.75" customHeight="1" x14ac:dyDescent="0.2">
      <c r="B13" s="417"/>
      <c r="C13" s="417"/>
      <c r="D13" s="307"/>
      <c r="E13" s="798" t="str">
        <f>Translations!$B$1200</f>
        <v>Furthermore some of the information required for the monitoring of transferred CO2 and N2O, as well as inherent CO2 is to be reported here.</v>
      </c>
      <c r="F13" s="798"/>
      <c r="G13" s="798"/>
      <c r="H13" s="798"/>
      <c r="I13" s="798"/>
      <c r="J13" s="798"/>
      <c r="K13" s="798"/>
      <c r="L13" s="798"/>
      <c r="M13" s="798"/>
      <c r="N13" s="798"/>
      <c r="O13" s="36"/>
    </row>
    <row r="14" spans="1:25" ht="12.75" customHeight="1" x14ac:dyDescent="0.2">
      <c r="B14" s="417"/>
      <c r="C14" s="417"/>
      <c r="D14" s="441"/>
      <c r="E14" s="417"/>
      <c r="F14" s="417"/>
      <c r="G14" s="417"/>
      <c r="H14" s="417"/>
      <c r="I14" s="417"/>
      <c r="J14" s="417"/>
      <c r="K14" s="417"/>
      <c r="L14" s="417"/>
      <c r="M14" s="417"/>
      <c r="N14" s="417"/>
      <c r="O14" s="36"/>
    </row>
    <row r="15" spans="1:25" ht="16.5" customHeight="1" x14ac:dyDescent="0.2">
      <c r="B15" s="417"/>
      <c r="C15" s="417"/>
      <c r="D15" s="13" t="s">
        <v>1018</v>
      </c>
      <c r="E15" s="949" t="str">
        <f>Translations!$B$556</f>
        <v>Description of the measurement based approach</v>
      </c>
      <c r="F15" s="949"/>
      <c r="G15" s="949"/>
      <c r="H15" s="949"/>
      <c r="I15" s="949"/>
      <c r="J15" s="949"/>
      <c r="K15" s="949"/>
      <c r="L15" s="949"/>
      <c r="M15" s="949"/>
      <c r="N15" s="949"/>
      <c r="O15" s="36"/>
    </row>
    <row r="16" spans="1:25" ht="25.5" customHeight="1" x14ac:dyDescent="0.2">
      <c r="B16" s="417"/>
      <c r="C16" s="417"/>
      <c r="D16" s="13"/>
      <c r="E16" s="869" t="str">
        <f>Translations!$B$557</f>
        <v>Please provide a concise description of the measurement approach used to determine your annual CO2 or N2O emissions in the text box below. If N2O is measured, include the approach for converting these emissions into CO2(e) data.</v>
      </c>
      <c r="F16" s="869"/>
      <c r="G16" s="869"/>
      <c r="H16" s="869"/>
      <c r="I16" s="869"/>
      <c r="J16" s="869"/>
      <c r="K16" s="869"/>
      <c r="L16" s="869"/>
      <c r="M16" s="869"/>
      <c r="N16" s="869"/>
      <c r="O16" s="36"/>
    </row>
    <row r="17" spans="1:25" ht="38.85" customHeight="1" x14ac:dyDescent="0.2">
      <c r="B17" s="417"/>
      <c r="C17" s="417"/>
      <c r="D17" s="307"/>
      <c r="E17" s="869" t="str">
        <f>Translations!$B$558</f>
        <v xml:space="preserve">Your description should include the type of instrument(s) used, whether measurements are carried out under wet or dry conditions; the formulae for applying correction factors (p, T, O2 and H2O). Where EN 14181 is applied, the calibration factors required for QAL2 procedures should be given. If flue gas volume is calculated, please describe briefly the method for determination of the flue gas volume. </v>
      </c>
      <c r="F17" s="869"/>
      <c r="G17" s="869"/>
      <c r="H17" s="869"/>
      <c r="I17" s="869"/>
      <c r="J17" s="869"/>
      <c r="K17" s="869"/>
      <c r="L17" s="869"/>
      <c r="M17" s="869"/>
      <c r="N17" s="869"/>
      <c r="O17" s="36"/>
    </row>
    <row r="18" spans="1:25" ht="25.5" customHeight="1" x14ac:dyDescent="0.2">
      <c r="B18" s="417"/>
      <c r="C18" s="417"/>
      <c r="D18" s="307"/>
      <c r="E18" s="869" t="str">
        <f>Translations!$B$559</f>
        <v>Please describe how annual emissions are determined based on concentration and flue gas flow data, taking into account the frequency of determination of concentration and flue gas flow. Include also how data is substituted where no valid hour of data can be determined.</v>
      </c>
      <c r="F18" s="869"/>
      <c r="G18" s="869"/>
      <c r="H18" s="869"/>
      <c r="I18" s="869"/>
      <c r="J18" s="869"/>
      <c r="K18" s="869"/>
      <c r="L18" s="869"/>
      <c r="M18" s="869"/>
      <c r="N18" s="869"/>
      <c r="O18" s="36"/>
    </row>
    <row r="19" spans="1:25" ht="12.75" customHeight="1" x14ac:dyDescent="0.2">
      <c r="B19" s="417"/>
      <c r="C19" s="417"/>
      <c r="D19" s="307"/>
      <c r="E19" s="898" t="str">
        <f>Translations!$B$1355</f>
        <v>If applicable, please describe also the methodology by which emissions are zero-rated (Article 43(4) to (4c)) for subtraction from the total emissions.</v>
      </c>
      <c r="F19" s="898"/>
      <c r="G19" s="898"/>
      <c r="H19" s="898"/>
      <c r="I19" s="898"/>
      <c r="J19" s="898"/>
      <c r="K19" s="898"/>
      <c r="L19" s="898"/>
      <c r="M19" s="898"/>
      <c r="N19" s="898"/>
      <c r="O19" s="36"/>
    </row>
    <row r="20" spans="1:25" s="112" customFormat="1" ht="25.5" customHeight="1" x14ac:dyDescent="0.2">
      <c r="A20" s="65"/>
      <c r="C20" s="331"/>
      <c r="E20" s="869" t="str">
        <f>Translations!$B$195</f>
        <v>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v>
      </c>
      <c r="F20" s="869"/>
      <c r="G20" s="869"/>
      <c r="H20" s="869"/>
      <c r="I20" s="869"/>
      <c r="J20" s="869"/>
      <c r="K20" s="869"/>
      <c r="L20" s="869"/>
      <c r="M20" s="869"/>
      <c r="N20" s="869"/>
      <c r="O20" s="36"/>
      <c r="P20" s="349"/>
      <c r="Q20" s="349"/>
      <c r="R20" s="349"/>
      <c r="S20" s="349"/>
      <c r="T20" s="349"/>
      <c r="U20" s="349"/>
      <c r="V20" s="349"/>
      <c r="W20" s="349"/>
      <c r="X20" s="349"/>
      <c r="Y20" s="349"/>
    </row>
    <row r="21" spans="1:25" ht="5.0999999999999996" customHeight="1" x14ac:dyDescent="0.2">
      <c r="B21" s="417"/>
      <c r="C21" s="417"/>
      <c r="D21" s="441"/>
      <c r="E21" s="7"/>
      <c r="F21" s="431"/>
      <c r="G21" s="431"/>
      <c r="H21" s="431"/>
      <c r="I21" s="431"/>
      <c r="J21" s="431"/>
      <c r="K21" s="431"/>
      <c r="L21" s="431"/>
      <c r="M21" s="417"/>
      <c r="N21" s="417"/>
      <c r="O21" s="36"/>
    </row>
    <row r="22" spans="1:25" ht="12.75" customHeight="1" x14ac:dyDescent="0.2">
      <c r="B22" s="417"/>
      <c r="C22" s="417"/>
      <c r="D22" s="441"/>
      <c r="E22" s="936"/>
      <c r="F22" s="937"/>
      <c r="G22" s="937"/>
      <c r="H22" s="937"/>
      <c r="I22" s="937"/>
      <c r="J22" s="937"/>
      <c r="K22" s="937"/>
      <c r="L22" s="937"/>
      <c r="M22" s="937"/>
      <c r="N22" s="938"/>
      <c r="O22" s="36"/>
    </row>
    <row r="23" spans="1:25" ht="12.75" customHeight="1" x14ac:dyDescent="0.2">
      <c r="B23" s="417"/>
      <c r="C23" s="417"/>
      <c r="D23" s="441"/>
      <c r="E23" s="863"/>
      <c r="F23" s="864"/>
      <c r="G23" s="864"/>
      <c r="H23" s="864"/>
      <c r="I23" s="864"/>
      <c r="J23" s="864"/>
      <c r="K23" s="864"/>
      <c r="L23" s="864"/>
      <c r="M23" s="864"/>
      <c r="N23" s="865"/>
      <c r="O23" s="36"/>
    </row>
    <row r="24" spans="1:25" ht="12.75" customHeight="1" x14ac:dyDescent="0.2">
      <c r="B24" s="417"/>
      <c r="C24" s="417"/>
      <c r="D24" s="441"/>
      <c r="E24" s="863"/>
      <c r="F24" s="864"/>
      <c r="G24" s="864"/>
      <c r="H24" s="864"/>
      <c r="I24" s="864"/>
      <c r="J24" s="864"/>
      <c r="K24" s="864"/>
      <c r="L24" s="864"/>
      <c r="M24" s="864"/>
      <c r="N24" s="865"/>
      <c r="O24" s="36"/>
    </row>
    <row r="25" spans="1:25" ht="12.75" customHeight="1" x14ac:dyDescent="0.2">
      <c r="B25" s="417"/>
      <c r="C25" s="417"/>
      <c r="D25" s="441"/>
      <c r="E25" s="863"/>
      <c r="F25" s="864"/>
      <c r="G25" s="864"/>
      <c r="H25" s="864"/>
      <c r="I25" s="864"/>
      <c r="J25" s="864"/>
      <c r="K25" s="864"/>
      <c r="L25" s="864"/>
      <c r="M25" s="864"/>
      <c r="N25" s="865"/>
      <c r="O25" s="36"/>
    </row>
    <row r="26" spans="1:25" ht="12.75" customHeight="1" x14ac:dyDescent="0.2">
      <c r="B26" s="417"/>
      <c r="C26" s="417"/>
      <c r="D26" s="441"/>
      <c r="E26" s="863"/>
      <c r="F26" s="864"/>
      <c r="G26" s="864"/>
      <c r="H26" s="864"/>
      <c r="I26" s="864"/>
      <c r="J26" s="864"/>
      <c r="K26" s="864"/>
      <c r="L26" s="864"/>
      <c r="M26" s="864"/>
      <c r="N26" s="865"/>
      <c r="O26" s="36"/>
    </row>
    <row r="27" spans="1:25" ht="12.75" customHeight="1" x14ac:dyDescent="0.2">
      <c r="B27" s="417"/>
      <c r="C27" s="417"/>
      <c r="D27" s="441"/>
      <c r="E27" s="863"/>
      <c r="F27" s="864"/>
      <c r="G27" s="864"/>
      <c r="H27" s="864"/>
      <c r="I27" s="864"/>
      <c r="J27" s="864"/>
      <c r="K27" s="864"/>
      <c r="L27" s="864"/>
      <c r="M27" s="864"/>
      <c r="N27" s="865"/>
      <c r="O27" s="36"/>
    </row>
    <row r="28" spans="1:25" ht="12.75" customHeight="1" x14ac:dyDescent="0.2">
      <c r="B28" s="417"/>
      <c r="C28" s="417"/>
      <c r="D28" s="441"/>
      <c r="E28" s="863"/>
      <c r="F28" s="864"/>
      <c r="G28" s="864"/>
      <c r="H28" s="864"/>
      <c r="I28" s="864"/>
      <c r="J28" s="864"/>
      <c r="K28" s="864"/>
      <c r="L28" s="864"/>
      <c r="M28" s="864"/>
      <c r="N28" s="865"/>
      <c r="O28" s="36"/>
    </row>
    <row r="29" spans="1:25" ht="12.75" customHeight="1" x14ac:dyDescent="0.2">
      <c r="B29" s="417"/>
      <c r="C29" s="417"/>
      <c r="D29" s="441"/>
      <c r="E29" s="863"/>
      <c r="F29" s="864"/>
      <c r="G29" s="864"/>
      <c r="H29" s="864"/>
      <c r="I29" s="864"/>
      <c r="J29" s="864"/>
      <c r="K29" s="864"/>
      <c r="L29" s="864"/>
      <c r="M29" s="864"/>
      <c r="N29" s="865"/>
      <c r="O29" s="36"/>
    </row>
    <row r="30" spans="1:25" ht="12.75" customHeight="1" x14ac:dyDescent="0.2">
      <c r="B30" s="417"/>
      <c r="C30" s="417"/>
      <c r="D30" s="441"/>
      <c r="E30" s="863"/>
      <c r="F30" s="864"/>
      <c r="G30" s="864"/>
      <c r="H30" s="864"/>
      <c r="I30" s="864"/>
      <c r="J30" s="864"/>
      <c r="K30" s="864"/>
      <c r="L30" s="864"/>
      <c r="M30" s="864"/>
      <c r="N30" s="865"/>
      <c r="O30" s="36"/>
    </row>
    <row r="31" spans="1:25" ht="12.75" customHeight="1" x14ac:dyDescent="0.2">
      <c r="B31" s="417"/>
      <c r="C31" s="417"/>
      <c r="D31" s="441"/>
      <c r="E31" s="863"/>
      <c r="F31" s="864"/>
      <c r="G31" s="864"/>
      <c r="H31" s="864"/>
      <c r="I31" s="864"/>
      <c r="J31" s="864"/>
      <c r="K31" s="864"/>
      <c r="L31" s="864"/>
      <c r="M31" s="864"/>
      <c r="N31" s="865"/>
      <c r="O31" s="36"/>
    </row>
    <row r="32" spans="1:25" ht="12.75" customHeight="1" x14ac:dyDescent="0.2">
      <c r="B32" s="417"/>
      <c r="C32" s="417"/>
      <c r="D32" s="441"/>
      <c r="E32" s="863"/>
      <c r="F32" s="864"/>
      <c r="G32" s="864"/>
      <c r="H32" s="864"/>
      <c r="I32" s="864"/>
      <c r="J32" s="864"/>
      <c r="K32" s="864"/>
      <c r="L32" s="864"/>
      <c r="M32" s="864"/>
      <c r="N32" s="865"/>
      <c r="O32" s="36"/>
    </row>
    <row r="33" spans="2:25" ht="12.75" customHeight="1" x14ac:dyDescent="0.2">
      <c r="B33" s="417"/>
      <c r="C33" s="417"/>
      <c r="D33" s="441"/>
      <c r="E33" s="863"/>
      <c r="F33" s="864"/>
      <c r="G33" s="864"/>
      <c r="H33" s="864"/>
      <c r="I33" s="864"/>
      <c r="J33" s="864"/>
      <c r="K33" s="864"/>
      <c r="L33" s="864"/>
      <c r="M33" s="864"/>
      <c r="N33" s="865"/>
      <c r="O33" s="36"/>
    </row>
    <row r="34" spans="2:25" ht="12.75" customHeight="1" x14ac:dyDescent="0.2">
      <c r="B34" s="417"/>
      <c r="C34" s="417"/>
      <c r="D34" s="441"/>
      <c r="E34" s="863"/>
      <c r="F34" s="864"/>
      <c r="G34" s="864"/>
      <c r="H34" s="864"/>
      <c r="I34" s="864"/>
      <c r="J34" s="864"/>
      <c r="K34" s="864"/>
      <c r="L34" s="864"/>
      <c r="M34" s="864"/>
      <c r="N34" s="865"/>
      <c r="O34" s="36"/>
    </row>
    <row r="35" spans="2:25" ht="12.75" customHeight="1" x14ac:dyDescent="0.2">
      <c r="B35" s="417"/>
      <c r="C35" s="417"/>
      <c r="D35" s="441"/>
      <c r="E35" s="863"/>
      <c r="F35" s="864"/>
      <c r="G35" s="864"/>
      <c r="H35" s="864"/>
      <c r="I35" s="864"/>
      <c r="J35" s="864"/>
      <c r="K35" s="864"/>
      <c r="L35" s="864"/>
      <c r="M35" s="864"/>
      <c r="N35" s="865"/>
      <c r="O35" s="36"/>
    </row>
    <row r="36" spans="2:25" ht="12.75" customHeight="1" x14ac:dyDescent="0.2">
      <c r="B36" s="417"/>
      <c r="C36" s="417"/>
      <c r="D36" s="441"/>
      <c r="E36" s="863"/>
      <c r="F36" s="864"/>
      <c r="G36" s="864"/>
      <c r="H36" s="864"/>
      <c r="I36" s="864"/>
      <c r="J36" s="864"/>
      <c r="K36" s="864"/>
      <c r="L36" s="864"/>
      <c r="M36" s="864"/>
      <c r="N36" s="865"/>
      <c r="O36" s="36"/>
    </row>
    <row r="37" spans="2:25" ht="12.75" customHeight="1" x14ac:dyDescent="0.2">
      <c r="B37" s="417"/>
      <c r="C37" s="417"/>
      <c r="D37" s="441"/>
      <c r="E37" s="863"/>
      <c r="F37" s="864"/>
      <c r="G37" s="864"/>
      <c r="H37" s="864"/>
      <c r="I37" s="864"/>
      <c r="J37" s="864"/>
      <c r="K37" s="864"/>
      <c r="L37" s="864"/>
      <c r="M37" s="864"/>
      <c r="N37" s="865"/>
      <c r="O37" s="36"/>
    </row>
    <row r="38" spans="2:25" ht="12.75" customHeight="1" x14ac:dyDescent="0.2">
      <c r="B38" s="417"/>
      <c r="C38" s="417"/>
      <c r="D38" s="441"/>
      <c r="E38" s="863"/>
      <c r="F38" s="864"/>
      <c r="G38" s="864"/>
      <c r="H38" s="864"/>
      <c r="I38" s="864"/>
      <c r="J38" s="864"/>
      <c r="K38" s="864"/>
      <c r="L38" s="864"/>
      <c r="M38" s="864"/>
      <c r="N38" s="865"/>
      <c r="O38" s="36"/>
    </row>
    <row r="39" spans="2:25" ht="12.75" customHeight="1" x14ac:dyDescent="0.2">
      <c r="B39" s="417"/>
      <c r="C39" s="417"/>
      <c r="D39" s="441"/>
      <c r="E39" s="863"/>
      <c r="F39" s="864"/>
      <c r="G39" s="864"/>
      <c r="H39" s="864"/>
      <c r="I39" s="864"/>
      <c r="J39" s="864"/>
      <c r="K39" s="864"/>
      <c r="L39" s="864"/>
      <c r="M39" s="864"/>
      <c r="N39" s="865"/>
      <c r="O39" s="36"/>
    </row>
    <row r="40" spans="2:25" ht="12.75" customHeight="1" x14ac:dyDescent="0.2">
      <c r="B40" s="417"/>
      <c r="C40" s="417"/>
      <c r="D40" s="441"/>
      <c r="E40" s="863"/>
      <c r="F40" s="864"/>
      <c r="G40" s="864"/>
      <c r="H40" s="864"/>
      <c r="I40" s="864"/>
      <c r="J40" s="864"/>
      <c r="K40" s="864"/>
      <c r="L40" s="864"/>
      <c r="M40" s="864"/>
      <c r="N40" s="865"/>
      <c r="O40" s="36"/>
    </row>
    <row r="41" spans="2:25" ht="12.75" customHeight="1" x14ac:dyDescent="0.2">
      <c r="B41" s="417"/>
      <c r="C41" s="417"/>
      <c r="D41" s="441"/>
      <c r="E41" s="866"/>
      <c r="F41" s="867"/>
      <c r="G41" s="867"/>
      <c r="H41" s="867"/>
      <c r="I41" s="867"/>
      <c r="J41" s="867"/>
      <c r="K41" s="867"/>
      <c r="L41" s="867"/>
      <c r="M41" s="867"/>
      <c r="N41" s="868"/>
      <c r="O41" s="36"/>
    </row>
    <row r="42" spans="2:25" ht="12.75" customHeight="1" x14ac:dyDescent="0.2">
      <c r="B42" s="417"/>
      <c r="C42" s="417"/>
      <c r="D42" s="441"/>
      <c r="E42" s="411"/>
      <c r="F42" s="411"/>
      <c r="G42" s="411"/>
      <c r="H42" s="411"/>
      <c r="I42" s="411"/>
      <c r="J42" s="411"/>
      <c r="K42" s="411"/>
      <c r="L42" s="411"/>
      <c r="M42" s="417"/>
      <c r="N42" s="417"/>
      <c r="O42" s="36"/>
    </row>
    <row r="43" spans="2:25" ht="12.75" customHeight="1" x14ac:dyDescent="0.2">
      <c r="B43" s="417"/>
      <c r="C43" s="417"/>
      <c r="D43" s="277" t="s">
        <v>1020</v>
      </c>
      <c r="E43" s="949" t="str">
        <f>Translations!$B$561</f>
        <v>Process diagram where requested by the Competent Authority:</v>
      </c>
      <c r="F43" s="949"/>
      <c r="G43" s="949"/>
      <c r="H43" s="949"/>
      <c r="I43" s="925"/>
      <c r="J43" s="907"/>
      <c r="K43" s="907"/>
      <c r="L43" s="907"/>
      <c r="M43" s="907"/>
      <c r="N43" s="907"/>
      <c r="O43" s="36"/>
      <c r="V43" s="359"/>
      <c r="Y43" s="354" t="b">
        <f>CNTR_SmallEmitter=TRUE</f>
        <v>0</v>
      </c>
    </row>
    <row r="44" spans="2:25" ht="25.5" customHeight="1" x14ac:dyDescent="0.2">
      <c r="B44" s="417"/>
      <c r="C44" s="417"/>
      <c r="D44" s="441"/>
      <c r="E44" s="869" t="str">
        <f>Translations!$B$562</f>
        <v>Please provide a process diagram containing all relevant emission points during typical operation and during 'non-typical' operations, i.e. restrictive and transition phases, including breakdown periods or commissioning phases.</v>
      </c>
      <c r="F44" s="996"/>
      <c r="G44" s="996"/>
      <c r="H44" s="996"/>
      <c r="I44" s="996"/>
      <c r="J44" s="996"/>
      <c r="K44" s="996"/>
      <c r="L44" s="996"/>
      <c r="M44" s="996"/>
      <c r="N44" s="996"/>
      <c r="O44" s="36"/>
    </row>
    <row r="45" spans="2:25" ht="12.75" customHeight="1" x14ac:dyDescent="0.2">
      <c r="B45" s="417"/>
      <c r="C45" s="417"/>
      <c r="D45" s="441"/>
      <c r="E45" s="432"/>
      <c r="F45" s="432"/>
      <c r="G45" s="432"/>
      <c r="H45" s="432"/>
      <c r="I45" s="432"/>
      <c r="J45" s="432"/>
      <c r="K45" s="432"/>
      <c r="L45" s="432"/>
      <c r="M45" s="432"/>
      <c r="N45" s="432"/>
      <c r="O45" s="36"/>
    </row>
    <row r="46" spans="2:25" ht="12.75" customHeight="1" x14ac:dyDescent="0.2">
      <c r="B46" s="417"/>
      <c r="C46" s="417"/>
      <c r="D46" s="13" t="s">
        <v>554</v>
      </c>
      <c r="E46" s="717" t="str">
        <f>Translations!$B$563</f>
        <v>Specification and location of measurement systems for measurement points:</v>
      </c>
      <c r="F46" s="732"/>
      <c r="G46" s="732"/>
      <c r="H46" s="732"/>
      <c r="I46" s="732"/>
      <c r="J46" s="732"/>
      <c r="K46" s="732"/>
      <c r="L46" s="732"/>
      <c r="M46" s="732"/>
      <c r="N46" s="732"/>
      <c r="O46" s="36"/>
    </row>
    <row r="47" spans="2:25" ht="25.5" customHeight="1" x14ac:dyDescent="0.2">
      <c r="B47" s="417"/>
      <c r="C47" s="417"/>
      <c r="D47" s="14"/>
      <c r="E47" s="869" t="str">
        <f>Translations!$B$564</f>
        <v>Please describe the specification and location of the measurement systems to be used for each emission source where emissions are determined by measurement, and for measurement points for transfer of CO2.</v>
      </c>
      <c r="F47" s="996"/>
      <c r="G47" s="996"/>
      <c r="H47" s="996"/>
      <c r="I47" s="996"/>
      <c r="J47" s="996"/>
      <c r="K47" s="996"/>
      <c r="L47" s="996"/>
      <c r="M47" s="996"/>
      <c r="N47" s="996"/>
      <c r="O47" s="36"/>
      <c r="P47" s="352"/>
      <c r="Q47" s="468"/>
    </row>
    <row r="48" spans="2:25" ht="25.5" customHeight="1" x14ac:dyDescent="0.2">
      <c r="B48" s="417"/>
      <c r="C48" s="417"/>
      <c r="D48" s="14"/>
      <c r="E48" s="869" t="str">
        <f>Translations!$B$565</f>
        <v>Include also instruments for auxiliary parameters, such as e.g. O2 content and moisture, and in case of indirect measurements, also concentration measurement instruments for other constituents of the gas than CO2.</v>
      </c>
      <c r="F48" s="996"/>
      <c r="G48" s="996"/>
      <c r="H48" s="996"/>
      <c r="I48" s="996"/>
      <c r="J48" s="996"/>
      <c r="K48" s="996"/>
      <c r="L48" s="996"/>
      <c r="M48" s="996"/>
      <c r="N48" s="996"/>
      <c r="O48" s="36"/>
      <c r="P48" s="352"/>
      <c r="Q48" s="468"/>
    </row>
    <row r="49" spans="1:23" ht="12.75" customHeight="1" x14ac:dyDescent="0.2">
      <c r="B49" s="417"/>
      <c r="C49" s="417"/>
      <c r="D49" s="14"/>
      <c r="E49" s="869" t="str">
        <f>Translations!$B$349</f>
        <v>Under "Location" you should specify where the meter is found in the installation, and how it is identified in the process flow chart.</v>
      </c>
      <c r="F49" s="996"/>
      <c r="G49" s="996"/>
      <c r="H49" s="996"/>
      <c r="I49" s="996"/>
      <c r="J49" s="996"/>
      <c r="K49" s="996"/>
      <c r="L49" s="996"/>
      <c r="M49" s="996"/>
      <c r="N49" s="996"/>
      <c r="O49" s="36"/>
      <c r="P49" s="352"/>
      <c r="Q49" s="468"/>
    </row>
    <row r="50" spans="1:23" ht="38.25" customHeight="1" x14ac:dyDescent="0.2">
      <c r="B50" s="417"/>
      <c r="C50" s="417"/>
      <c r="D50" s="14"/>
      <c r="E50" s="869" t="str">
        <f>Translations!$B$356</f>
        <v>All instruments used must be clearly identifiable using a unique ID (such as the serial number of the instrument). However, exchange of instruments (e.g. necessary as consequence of a damage) will not constitute a significant change of the monitoring plan within the meaning of Article 15(3). The unique identification should therefore be documented separately from the monitoring plan. Please make sure that you establish an appropriate written procedure for this purpose.</v>
      </c>
      <c r="F50" s="996"/>
      <c r="G50" s="996"/>
      <c r="H50" s="996"/>
      <c r="I50" s="996"/>
      <c r="J50" s="996"/>
      <c r="K50" s="996"/>
      <c r="L50" s="996"/>
      <c r="M50" s="996"/>
      <c r="N50" s="996"/>
      <c r="O50" s="36"/>
      <c r="P50" s="352"/>
      <c r="Q50" s="468"/>
    </row>
    <row r="51" spans="1:23" ht="25.5" customHeight="1" x14ac:dyDescent="0.2">
      <c r="B51" s="417"/>
      <c r="C51" s="417"/>
      <c r="D51" s="14"/>
      <c r="E51" s="869" t="str">
        <f>Translations!$B$350</f>
        <v>For each measuring instrument please enter the specified uncertainty, including the range this uncertainty is related to, as given in the manufacturer's specification. In some cases an uncertainty may be specified for two different ranges. In that case please enter both of them.</v>
      </c>
      <c r="F51" s="996"/>
      <c r="G51" s="996"/>
      <c r="H51" s="996"/>
      <c r="I51" s="996"/>
      <c r="J51" s="996"/>
      <c r="K51" s="996"/>
      <c r="L51" s="996"/>
      <c r="M51" s="996"/>
      <c r="N51" s="996"/>
      <c r="O51" s="36"/>
      <c r="P51" s="352"/>
      <c r="Q51" s="468"/>
    </row>
    <row r="52" spans="1:23" ht="12.75" customHeight="1" x14ac:dyDescent="0.2">
      <c r="B52" s="417"/>
      <c r="C52" s="417"/>
      <c r="D52" s="417"/>
      <c r="E52" s="869" t="str">
        <f>Translations!$B$351</f>
        <v>The typical use range refers to the range the relevant measuring instrument is usually used in your installation.</v>
      </c>
      <c r="F52" s="996"/>
      <c r="G52" s="996"/>
      <c r="H52" s="996"/>
      <c r="I52" s="996"/>
      <c r="J52" s="996"/>
      <c r="K52" s="996"/>
      <c r="L52" s="996"/>
      <c r="M52" s="996"/>
      <c r="N52" s="996"/>
      <c r="O52" s="36"/>
      <c r="P52" s="352"/>
      <c r="Q52" s="469"/>
      <c r="R52" s="253"/>
      <c r="S52" s="352"/>
    </row>
    <row r="53" spans="1:23" ht="12.75" customHeight="1" x14ac:dyDescent="0.2">
      <c r="B53" s="417"/>
      <c r="C53" s="417"/>
      <c r="D53" s="417"/>
      <c r="E53" s="869" t="str">
        <f>Translations!$B$353</f>
        <v>"Type of measuring instrument": Please select the appropriate type from the drop-down list, or enter a more appropriate type.</v>
      </c>
      <c r="F53" s="996"/>
      <c r="G53" s="996"/>
      <c r="H53" s="996"/>
      <c r="I53" s="996"/>
      <c r="J53" s="996"/>
      <c r="K53" s="996"/>
      <c r="L53" s="996"/>
      <c r="M53" s="996"/>
      <c r="N53" s="996"/>
      <c r="O53" s="36"/>
      <c r="P53" s="352"/>
      <c r="Q53" s="469"/>
      <c r="R53" s="253"/>
      <c r="S53" s="352"/>
    </row>
    <row r="54" spans="1:23" ht="25.5" customHeight="1" x14ac:dyDescent="0.2">
      <c r="B54" s="417"/>
      <c r="C54" s="417"/>
      <c r="D54" s="417"/>
      <c r="E54" s="827" t="str">
        <f>Translations!$B$566</f>
        <v>The list of instruments entered here will be available as a drop-down list for each emission source in section 10 below, where the relevant measuring instruments used are to be referenced.</v>
      </c>
      <c r="F54" s="732"/>
      <c r="G54" s="732"/>
      <c r="H54" s="732"/>
      <c r="I54" s="732"/>
      <c r="J54" s="732"/>
      <c r="K54" s="732"/>
      <c r="L54" s="732"/>
      <c r="M54" s="732"/>
      <c r="N54" s="732"/>
      <c r="O54" s="36"/>
      <c r="P54" s="352"/>
    </row>
    <row r="55" spans="1:23" ht="25.5" customHeight="1" x14ac:dyDescent="0.2">
      <c r="B55" s="417"/>
      <c r="C55" s="417"/>
      <c r="D55" s="417"/>
      <c r="E55" s="827" t="str">
        <f>Translations!$B$355</f>
        <v>In case of gas flow meters please refer to Nm³/h if the p/T compensation is implemented into the instrument and relate to m³ in operating state if the p/T compensation is done by a separate instrument. In the latter case please also list those separate instruments.</v>
      </c>
      <c r="F55" s="732"/>
      <c r="G55" s="732"/>
      <c r="H55" s="732"/>
      <c r="I55" s="732"/>
      <c r="J55" s="732"/>
      <c r="K55" s="732"/>
      <c r="L55" s="732"/>
      <c r="M55" s="732"/>
      <c r="N55" s="732"/>
      <c r="O55" s="36"/>
      <c r="P55" s="352"/>
    </row>
    <row r="56" spans="1:23" ht="25.5" customHeight="1" x14ac:dyDescent="0.2">
      <c r="B56" s="417"/>
      <c r="C56" s="417"/>
      <c r="D56" s="417"/>
      <c r="E56" s="827" t="str">
        <f>Translations!$B$567</f>
        <v>The measurement frequency should indicate the frequency of data points produced by the instrument before the data is aggregated to give hourly averages or averages of shorter periods.</v>
      </c>
      <c r="F56" s="732"/>
      <c r="G56" s="732"/>
      <c r="H56" s="732"/>
      <c r="I56" s="732"/>
      <c r="J56" s="732"/>
      <c r="K56" s="732"/>
      <c r="L56" s="732"/>
      <c r="M56" s="732"/>
      <c r="N56" s="732"/>
      <c r="O56" s="36"/>
      <c r="P56" s="352"/>
    </row>
    <row r="57" spans="1:23" ht="12.75" customHeight="1" x14ac:dyDescent="0.2">
      <c r="B57" s="417"/>
      <c r="C57" s="417"/>
      <c r="D57" s="441"/>
      <c r="E57" s="411"/>
      <c r="F57" s="411"/>
      <c r="G57" s="411"/>
      <c r="H57" s="411"/>
      <c r="I57" s="411"/>
      <c r="J57" s="411"/>
      <c r="K57" s="411"/>
      <c r="L57" s="411"/>
      <c r="M57" s="417"/>
      <c r="N57" s="417"/>
      <c r="O57" s="36"/>
    </row>
    <row r="58" spans="1:23" ht="25.5" customHeight="1" x14ac:dyDescent="0.2">
      <c r="B58" s="417"/>
      <c r="C58" s="1110" t="str">
        <f>Translations!$B$357</f>
        <v>Ref</v>
      </c>
      <c r="D58" s="1111"/>
      <c r="E58" s="926" t="str">
        <f>Translations!$B$358</f>
        <v>Type of measuring instrument</v>
      </c>
      <c r="F58" s="795"/>
      <c r="G58" s="1121" t="str">
        <f>Translations!$B$359</f>
        <v>location (internal ID)</v>
      </c>
      <c r="H58" s="963" t="str">
        <f>Translations!$B$360</f>
        <v>Measurement range</v>
      </c>
      <c r="I58" s="964"/>
      <c r="J58" s="965"/>
      <c r="K58" s="1121" t="str">
        <f>Translations!$B$361</f>
        <v>Specified
uncertainty
(+/-%)</v>
      </c>
      <c r="L58" s="963" t="str">
        <f>Translations!$B$362</f>
        <v>Typical use range</v>
      </c>
      <c r="M58" s="965"/>
      <c r="N58" s="1121" t="str">
        <f>Translations!$B$568</f>
        <v>Measurement frequency</v>
      </c>
      <c r="O58" s="36"/>
      <c r="P58" s="23"/>
      <c r="Q58" s="23"/>
      <c r="R58" s="23"/>
      <c r="S58" s="23"/>
      <c r="T58" s="23"/>
      <c r="U58" s="23"/>
      <c r="V58" s="23"/>
      <c r="W58" s="23"/>
    </row>
    <row r="59" spans="1:23" x14ac:dyDescent="0.2">
      <c r="B59" s="417"/>
      <c r="C59" s="1110"/>
      <c r="D59" s="1111"/>
      <c r="E59" s="926"/>
      <c r="F59" s="795"/>
      <c r="G59" s="1122"/>
      <c r="H59" s="118" t="str">
        <f>Translations!$B$363</f>
        <v>unit</v>
      </c>
      <c r="I59" s="118" t="str">
        <f>Translations!$B$364</f>
        <v>lower end</v>
      </c>
      <c r="J59" s="118" t="str">
        <f>Translations!$B$365</f>
        <v>upper end</v>
      </c>
      <c r="K59" s="1122"/>
      <c r="L59" s="118" t="str">
        <f>Translations!$B$364</f>
        <v>lower end</v>
      </c>
      <c r="M59" s="118" t="str">
        <f>Translations!$B$365</f>
        <v>upper end</v>
      </c>
      <c r="N59" s="1122"/>
      <c r="O59" s="36"/>
      <c r="P59" s="23"/>
      <c r="Q59" s="23"/>
      <c r="S59" s="352" t="s">
        <v>1231</v>
      </c>
      <c r="T59" s="352" t="s">
        <v>1231</v>
      </c>
      <c r="U59" s="352" t="s">
        <v>1231</v>
      </c>
      <c r="V59" s="470" t="s">
        <v>1231</v>
      </c>
      <c r="W59" s="23"/>
    </row>
    <row r="60" spans="1:23" x14ac:dyDescent="0.2">
      <c r="A60" s="12" t="s">
        <v>1373</v>
      </c>
      <c r="B60" s="417"/>
      <c r="C60" s="1125" t="s">
        <v>1483</v>
      </c>
      <c r="D60" s="1111"/>
      <c r="E60" s="873" t="str">
        <f>Translations!$B$569</f>
        <v>CO2 concentration (NDIR)</v>
      </c>
      <c r="F60" s="1116"/>
      <c r="G60" s="1114" t="str">
        <f>Translations!$B$570</f>
        <v>Stack 1 platform A (chart: St.1-A)</v>
      </c>
      <c r="H60" s="994" t="str">
        <f>Translations!$B$1201</f>
        <v>g CO2/Nm³</v>
      </c>
      <c r="I60" s="232">
        <v>0</v>
      </c>
      <c r="J60" s="232">
        <v>250</v>
      </c>
      <c r="K60" s="232">
        <v>5.5</v>
      </c>
      <c r="L60" s="994">
        <v>25</v>
      </c>
      <c r="M60" s="994">
        <v>200</v>
      </c>
      <c r="N60" s="994" t="str">
        <f>Translations!$B$571</f>
        <v>1 per second</v>
      </c>
      <c r="O60" s="36"/>
      <c r="P60" s="23"/>
      <c r="Q60" s="23"/>
      <c r="S60" s="352"/>
      <c r="T60" s="352"/>
      <c r="U60" s="352"/>
      <c r="V60" s="470"/>
      <c r="W60" s="23"/>
    </row>
    <row r="61" spans="1:23" x14ac:dyDescent="0.2">
      <c r="A61" s="12" t="s">
        <v>1373</v>
      </c>
      <c r="B61" s="417"/>
      <c r="C61" s="1125"/>
      <c r="D61" s="1111"/>
      <c r="E61" s="873"/>
      <c r="F61" s="1116"/>
      <c r="G61" s="1115"/>
      <c r="H61" s="995"/>
      <c r="I61" s="398"/>
      <c r="J61" s="398"/>
      <c r="K61" s="233"/>
      <c r="L61" s="1120"/>
      <c r="M61" s="995"/>
      <c r="N61" s="995"/>
      <c r="O61" s="36"/>
      <c r="P61" s="23"/>
      <c r="Q61" s="23"/>
      <c r="S61" s="352"/>
      <c r="T61" s="352"/>
      <c r="U61" s="352"/>
      <c r="V61" s="470"/>
      <c r="W61" s="23"/>
    </row>
    <row r="62" spans="1:23" x14ac:dyDescent="0.2">
      <c r="A62" s="12" t="s">
        <v>1373</v>
      </c>
      <c r="B62" s="417"/>
      <c r="C62" s="1125" t="s">
        <v>1484</v>
      </c>
      <c r="D62" s="1111"/>
      <c r="E62" s="873" t="str">
        <f>Translations!$B$572</f>
        <v>Flow measurement (averaging pitot tube)</v>
      </c>
      <c r="F62" s="1116"/>
      <c r="G62" s="1114" t="str">
        <f>Translations!$B$570</f>
        <v>Stack 1 platform A (chart: St.1-A)</v>
      </c>
      <c r="H62" s="994" t="s">
        <v>795</v>
      </c>
      <c r="I62" s="232">
        <v>10</v>
      </c>
      <c r="J62" s="388">
        <v>10000</v>
      </c>
      <c r="K62" s="399">
        <v>4</v>
      </c>
      <c r="L62" s="1117">
        <v>1000</v>
      </c>
      <c r="M62" s="1117">
        <v>8000</v>
      </c>
      <c r="N62" s="994" t="str">
        <f>Translations!$B$571</f>
        <v>1 per second</v>
      </c>
      <c r="O62" s="36"/>
      <c r="P62" s="23"/>
      <c r="Q62" s="23"/>
      <c r="S62" s="352"/>
      <c r="T62" s="352"/>
      <c r="U62" s="352"/>
      <c r="V62" s="470"/>
      <c r="W62" s="23"/>
    </row>
    <row r="63" spans="1:23" ht="13.5" thickBot="1" x14ac:dyDescent="0.25">
      <c r="A63" s="12" t="s">
        <v>1373</v>
      </c>
      <c r="B63" s="417"/>
      <c r="C63" s="1125"/>
      <c r="D63" s="1111"/>
      <c r="E63" s="873"/>
      <c r="F63" s="1116"/>
      <c r="G63" s="1115"/>
      <c r="H63" s="995"/>
      <c r="I63" s="398"/>
      <c r="J63" s="398"/>
      <c r="K63" s="233"/>
      <c r="L63" s="1119"/>
      <c r="M63" s="1118"/>
      <c r="N63" s="995"/>
      <c r="O63" s="36"/>
      <c r="P63" s="23"/>
      <c r="Q63" s="23"/>
      <c r="S63" s="352"/>
      <c r="T63" s="352"/>
      <c r="U63" s="352"/>
      <c r="V63" s="470"/>
      <c r="W63" s="23"/>
    </row>
    <row r="64" spans="1:23" x14ac:dyDescent="0.2">
      <c r="B64" s="417"/>
      <c r="C64" s="1110" t="s">
        <v>345</v>
      </c>
      <c r="D64" s="1111"/>
      <c r="E64" s="861"/>
      <c r="F64" s="1113"/>
      <c r="G64" s="1123"/>
      <c r="H64" s="992"/>
      <c r="I64" s="202"/>
      <c r="J64" s="202"/>
      <c r="K64" s="202"/>
      <c r="L64" s="992"/>
      <c r="M64" s="992"/>
      <c r="N64" s="992"/>
      <c r="O64" s="36"/>
      <c r="P64" s="23"/>
      <c r="Q64" s="23"/>
      <c r="R64" s="65">
        <v>1</v>
      </c>
      <c r="S64" s="1108">
        <v>1</v>
      </c>
      <c r="T64" s="1109" t="str">
        <f>IF(ISBLANK(E64),"",MAX(T$60:T63)+1)</f>
        <v/>
      </c>
      <c r="U64" s="1109" t="str">
        <f>IF(ISBLANK(E64),"",C64 &amp; ": " &amp;E64)</f>
        <v/>
      </c>
      <c r="V64" s="356" t="str">
        <f t="shared" ref="V64:V85" si="0">IF(COUNTIF($T$61:$T$85,R64)=1,INDEX($U$61:$U$85,MATCH(R64,$T$61:$T$85,0)),EUconst_NA)</f>
        <v>n.a.</v>
      </c>
      <c r="W64" s="23"/>
    </row>
    <row r="65" spans="2:23" x14ac:dyDescent="0.2">
      <c r="B65" s="417"/>
      <c r="C65" s="1110"/>
      <c r="D65" s="1111"/>
      <c r="E65" s="861"/>
      <c r="F65" s="1113"/>
      <c r="G65" s="1124"/>
      <c r="H65" s="993"/>
      <c r="I65" s="203"/>
      <c r="J65" s="203"/>
      <c r="K65" s="204"/>
      <c r="L65" s="1112"/>
      <c r="M65" s="993"/>
      <c r="N65" s="993"/>
      <c r="O65" s="36"/>
      <c r="P65" s="23"/>
      <c r="Q65" s="23"/>
      <c r="R65" s="65">
        <v>2</v>
      </c>
      <c r="S65" s="1108"/>
      <c r="T65" s="1109"/>
      <c r="U65" s="1109"/>
      <c r="V65" s="358" t="str">
        <f t="shared" si="0"/>
        <v>n.a.</v>
      </c>
      <c r="W65" s="23"/>
    </row>
    <row r="66" spans="2:23" x14ac:dyDescent="0.2">
      <c r="B66" s="417"/>
      <c r="C66" s="1110" t="s">
        <v>346</v>
      </c>
      <c r="D66" s="1111"/>
      <c r="E66" s="861"/>
      <c r="F66" s="1113"/>
      <c r="G66" s="1123"/>
      <c r="H66" s="992"/>
      <c r="I66" s="202"/>
      <c r="J66" s="202"/>
      <c r="K66" s="202"/>
      <c r="L66" s="992"/>
      <c r="M66" s="992"/>
      <c r="N66" s="992"/>
      <c r="O66" s="36"/>
      <c r="P66" s="23"/>
      <c r="Q66" s="23"/>
      <c r="R66" s="65">
        <v>3</v>
      </c>
      <c r="S66" s="1108">
        <v>2</v>
      </c>
      <c r="T66" s="1109" t="str">
        <f>IF(ISBLANK(E66),"",MAX(T$60:T65)+1)</f>
        <v/>
      </c>
      <c r="U66" s="1109" t="str">
        <f>IF(ISBLANK(E66),"",C66 &amp; ": " &amp;E66)</f>
        <v/>
      </c>
      <c r="V66" s="358" t="str">
        <f t="shared" si="0"/>
        <v>n.a.</v>
      </c>
      <c r="W66" s="23"/>
    </row>
    <row r="67" spans="2:23" x14ac:dyDescent="0.2">
      <c r="B67" s="417"/>
      <c r="C67" s="1110"/>
      <c r="D67" s="1111"/>
      <c r="E67" s="861"/>
      <c r="F67" s="1113"/>
      <c r="G67" s="1124"/>
      <c r="H67" s="993"/>
      <c r="I67" s="203"/>
      <c r="J67" s="203"/>
      <c r="K67" s="204"/>
      <c r="L67" s="1112"/>
      <c r="M67" s="993"/>
      <c r="N67" s="993"/>
      <c r="O67" s="36"/>
      <c r="P67" s="23"/>
      <c r="Q67" s="23"/>
      <c r="R67" s="65">
        <v>4</v>
      </c>
      <c r="S67" s="1108"/>
      <c r="T67" s="1109"/>
      <c r="U67" s="1109"/>
      <c r="V67" s="358" t="str">
        <f t="shared" si="0"/>
        <v>n.a.</v>
      </c>
      <c r="W67" s="23"/>
    </row>
    <row r="68" spans="2:23" x14ac:dyDescent="0.2">
      <c r="B68" s="417"/>
      <c r="C68" s="1110" t="s">
        <v>347</v>
      </c>
      <c r="D68" s="1111"/>
      <c r="E68" s="861"/>
      <c r="F68" s="1113"/>
      <c r="G68" s="1123"/>
      <c r="H68" s="992"/>
      <c r="I68" s="202"/>
      <c r="J68" s="202"/>
      <c r="K68" s="202"/>
      <c r="L68" s="992"/>
      <c r="M68" s="992"/>
      <c r="N68" s="992"/>
      <c r="O68" s="36"/>
      <c r="P68" s="23"/>
      <c r="Q68" s="23"/>
      <c r="R68" s="65">
        <v>5</v>
      </c>
      <c r="S68" s="1108">
        <v>3</v>
      </c>
      <c r="T68" s="1109" t="str">
        <f>IF(ISBLANK(E68),"",MAX(T$60:T67)+1)</f>
        <v/>
      </c>
      <c r="U68" s="1109" t="str">
        <f>IF(ISBLANK(E68),"",C68 &amp; ": " &amp;E68)</f>
        <v/>
      </c>
      <c r="V68" s="358" t="str">
        <f t="shared" si="0"/>
        <v>n.a.</v>
      </c>
      <c r="W68" s="23"/>
    </row>
    <row r="69" spans="2:23" x14ac:dyDescent="0.2">
      <c r="B69" s="417"/>
      <c r="C69" s="1110"/>
      <c r="D69" s="1111"/>
      <c r="E69" s="861"/>
      <c r="F69" s="1113"/>
      <c r="G69" s="1124"/>
      <c r="H69" s="993"/>
      <c r="I69" s="203"/>
      <c r="J69" s="203"/>
      <c r="K69" s="204"/>
      <c r="L69" s="1112"/>
      <c r="M69" s="993"/>
      <c r="N69" s="993"/>
      <c r="O69" s="36"/>
      <c r="P69" s="23"/>
      <c r="Q69" s="23"/>
      <c r="R69" s="65">
        <v>6</v>
      </c>
      <c r="S69" s="1108"/>
      <c r="T69" s="1109"/>
      <c r="U69" s="1109"/>
      <c r="V69" s="358" t="str">
        <f t="shared" si="0"/>
        <v>n.a.</v>
      </c>
      <c r="W69" s="23"/>
    </row>
    <row r="70" spans="2:23" x14ac:dyDescent="0.2">
      <c r="B70" s="417"/>
      <c r="C70" s="1110" t="s">
        <v>348</v>
      </c>
      <c r="D70" s="1111"/>
      <c r="E70" s="861"/>
      <c r="F70" s="1113"/>
      <c r="G70" s="1123"/>
      <c r="H70" s="992"/>
      <c r="I70" s="202"/>
      <c r="J70" s="202"/>
      <c r="K70" s="202"/>
      <c r="L70" s="992"/>
      <c r="M70" s="992"/>
      <c r="N70" s="992"/>
      <c r="O70" s="36"/>
      <c r="P70" s="23"/>
      <c r="Q70" s="23"/>
      <c r="R70" s="65">
        <v>7</v>
      </c>
      <c r="S70" s="1108">
        <v>4</v>
      </c>
      <c r="T70" s="1109" t="str">
        <f>IF(ISBLANK(E70),"",MAX(T$60:T69)+1)</f>
        <v/>
      </c>
      <c r="U70" s="1109" t="str">
        <f>IF(ISBLANK(E70),"",C70 &amp; ": " &amp;E70)</f>
        <v/>
      </c>
      <c r="V70" s="358" t="str">
        <f t="shared" si="0"/>
        <v>n.a.</v>
      </c>
      <c r="W70" s="23"/>
    </row>
    <row r="71" spans="2:23" x14ac:dyDescent="0.2">
      <c r="B71" s="417"/>
      <c r="C71" s="1110"/>
      <c r="D71" s="1111"/>
      <c r="E71" s="861"/>
      <c r="F71" s="1113"/>
      <c r="G71" s="1124"/>
      <c r="H71" s="993"/>
      <c r="I71" s="203"/>
      <c r="J71" s="203"/>
      <c r="K71" s="204"/>
      <c r="L71" s="1112"/>
      <c r="M71" s="993"/>
      <c r="N71" s="993"/>
      <c r="O71" s="36"/>
      <c r="P71" s="23"/>
      <c r="Q71" s="23"/>
      <c r="R71" s="65">
        <v>8</v>
      </c>
      <c r="S71" s="1108"/>
      <c r="T71" s="1109"/>
      <c r="U71" s="1109"/>
      <c r="V71" s="358" t="str">
        <f t="shared" si="0"/>
        <v>n.a.</v>
      </c>
      <c r="W71" s="23"/>
    </row>
    <row r="72" spans="2:23" x14ac:dyDescent="0.2">
      <c r="B72" s="417"/>
      <c r="C72" s="1110" t="s">
        <v>349</v>
      </c>
      <c r="D72" s="1111"/>
      <c r="E72" s="861"/>
      <c r="F72" s="1113"/>
      <c r="G72" s="1123"/>
      <c r="H72" s="992"/>
      <c r="I72" s="202"/>
      <c r="J72" s="202"/>
      <c r="K72" s="202"/>
      <c r="L72" s="992"/>
      <c r="M72" s="992"/>
      <c r="N72" s="992"/>
      <c r="O72" s="36"/>
      <c r="P72" s="23"/>
      <c r="Q72" s="23"/>
      <c r="R72" s="65">
        <v>9</v>
      </c>
      <c r="S72" s="1108">
        <v>5</v>
      </c>
      <c r="T72" s="1109" t="str">
        <f>IF(ISBLANK(E72),"",MAX(T$60:T71)+1)</f>
        <v/>
      </c>
      <c r="U72" s="1109" t="str">
        <f>IF(ISBLANK(E72),"",C72 &amp; ": " &amp;E72)</f>
        <v/>
      </c>
      <c r="V72" s="358" t="str">
        <f t="shared" si="0"/>
        <v>n.a.</v>
      </c>
      <c r="W72" s="23"/>
    </row>
    <row r="73" spans="2:23" x14ac:dyDescent="0.2">
      <c r="B73" s="417"/>
      <c r="C73" s="1110"/>
      <c r="D73" s="1111"/>
      <c r="E73" s="861"/>
      <c r="F73" s="1113"/>
      <c r="G73" s="1124"/>
      <c r="H73" s="993"/>
      <c r="I73" s="203"/>
      <c r="J73" s="203"/>
      <c r="K73" s="204"/>
      <c r="L73" s="1112"/>
      <c r="M73" s="993"/>
      <c r="N73" s="993"/>
      <c r="O73" s="36"/>
      <c r="P73" s="23"/>
      <c r="Q73" s="23"/>
      <c r="R73" s="65">
        <v>10</v>
      </c>
      <c r="S73" s="1108"/>
      <c r="T73" s="1109"/>
      <c r="U73" s="1109"/>
      <c r="V73" s="358" t="str">
        <f t="shared" si="0"/>
        <v>n.a.</v>
      </c>
      <c r="W73" s="23"/>
    </row>
    <row r="74" spans="2:23" x14ac:dyDescent="0.2">
      <c r="B74" s="417"/>
      <c r="C74" s="1110" t="s">
        <v>1489</v>
      </c>
      <c r="D74" s="1111"/>
      <c r="E74" s="861"/>
      <c r="F74" s="1113"/>
      <c r="G74" s="1123"/>
      <c r="H74" s="992"/>
      <c r="I74" s="202"/>
      <c r="J74" s="202"/>
      <c r="K74" s="202"/>
      <c r="L74" s="992"/>
      <c r="M74" s="992"/>
      <c r="N74" s="992"/>
      <c r="O74" s="36"/>
      <c r="P74" s="23"/>
      <c r="Q74" s="23"/>
      <c r="R74" s="65">
        <v>11</v>
      </c>
      <c r="S74" s="1108">
        <v>6</v>
      </c>
      <c r="T74" s="1109" t="str">
        <f>IF(ISBLANK(E74),"",MAX(T$60:T73)+1)</f>
        <v/>
      </c>
      <c r="U74" s="1109" t="str">
        <f>IF(ISBLANK(E74),"",C74 &amp; ": " &amp;E74)</f>
        <v/>
      </c>
      <c r="V74" s="358" t="str">
        <f t="shared" si="0"/>
        <v>n.a.</v>
      </c>
      <c r="W74" s="23"/>
    </row>
    <row r="75" spans="2:23" x14ac:dyDescent="0.2">
      <c r="B75" s="417"/>
      <c r="C75" s="1110"/>
      <c r="D75" s="1111"/>
      <c r="E75" s="861"/>
      <c r="F75" s="1113"/>
      <c r="G75" s="1124"/>
      <c r="H75" s="993"/>
      <c r="I75" s="203"/>
      <c r="J75" s="203"/>
      <c r="K75" s="204"/>
      <c r="L75" s="1112"/>
      <c r="M75" s="993"/>
      <c r="N75" s="993"/>
      <c r="O75" s="36"/>
      <c r="P75" s="23"/>
      <c r="Q75" s="23"/>
      <c r="R75" s="65">
        <v>12</v>
      </c>
      <c r="S75" s="1108"/>
      <c r="T75" s="1109"/>
      <c r="U75" s="1109"/>
      <c r="V75" s="358" t="str">
        <f t="shared" si="0"/>
        <v>n.a.</v>
      </c>
      <c r="W75" s="23"/>
    </row>
    <row r="76" spans="2:23" x14ac:dyDescent="0.2">
      <c r="B76" s="417"/>
      <c r="C76" s="1110" t="s">
        <v>1490</v>
      </c>
      <c r="D76" s="1111"/>
      <c r="E76" s="861"/>
      <c r="F76" s="1113"/>
      <c r="G76" s="1123"/>
      <c r="H76" s="992"/>
      <c r="I76" s="202"/>
      <c r="J76" s="202"/>
      <c r="K76" s="202"/>
      <c r="L76" s="992"/>
      <c r="M76" s="992"/>
      <c r="N76" s="992"/>
      <c r="O76" s="36"/>
      <c r="P76" s="23"/>
      <c r="Q76" s="23"/>
      <c r="R76" s="65">
        <v>13</v>
      </c>
      <c r="S76" s="1108">
        <v>7</v>
      </c>
      <c r="T76" s="1109" t="str">
        <f>IF(ISBLANK(E76),"",MAX(T$60:T75)+1)</f>
        <v/>
      </c>
      <c r="U76" s="1109" t="str">
        <f>IF(ISBLANK(E76),"",C76 &amp; ": " &amp;E76)</f>
        <v/>
      </c>
      <c r="V76" s="358" t="str">
        <f t="shared" si="0"/>
        <v>n.a.</v>
      </c>
      <c r="W76" s="23"/>
    </row>
    <row r="77" spans="2:23" x14ac:dyDescent="0.2">
      <c r="B77" s="417"/>
      <c r="C77" s="1110"/>
      <c r="D77" s="1111"/>
      <c r="E77" s="861"/>
      <c r="F77" s="1113"/>
      <c r="G77" s="1124"/>
      <c r="H77" s="993"/>
      <c r="I77" s="203"/>
      <c r="J77" s="203"/>
      <c r="K77" s="204"/>
      <c r="L77" s="1112"/>
      <c r="M77" s="993"/>
      <c r="N77" s="993"/>
      <c r="O77" s="36"/>
      <c r="P77" s="23"/>
      <c r="Q77" s="23"/>
      <c r="R77" s="65">
        <v>14</v>
      </c>
      <c r="S77" s="1108"/>
      <c r="T77" s="1109"/>
      <c r="U77" s="1109"/>
      <c r="V77" s="358" t="str">
        <f t="shared" si="0"/>
        <v>n.a.</v>
      </c>
      <c r="W77" s="23"/>
    </row>
    <row r="78" spans="2:23" x14ac:dyDescent="0.2">
      <c r="B78" s="417"/>
      <c r="C78" s="1110" t="s">
        <v>1491</v>
      </c>
      <c r="D78" s="1111"/>
      <c r="E78" s="861"/>
      <c r="F78" s="1113"/>
      <c r="G78" s="1123"/>
      <c r="H78" s="992"/>
      <c r="I78" s="202"/>
      <c r="J78" s="202"/>
      <c r="K78" s="202"/>
      <c r="L78" s="992"/>
      <c r="M78" s="992"/>
      <c r="N78" s="992"/>
      <c r="O78" s="36"/>
      <c r="P78" s="23"/>
      <c r="Q78" s="23"/>
      <c r="R78" s="65">
        <v>15</v>
      </c>
      <c r="S78" s="1108">
        <v>8</v>
      </c>
      <c r="T78" s="1109" t="str">
        <f>IF(ISBLANK(E78),"",MAX(T$60:T77)+1)</f>
        <v/>
      </c>
      <c r="U78" s="1109" t="str">
        <f>IF(ISBLANK(E78),"",C78 &amp; ": " &amp;E78)</f>
        <v/>
      </c>
      <c r="V78" s="358" t="str">
        <f t="shared" si="0"/>
        <v>n.a.</v>
      </c>
      <c r="W78" s="23"/>
    </row>
    <row r="79" spans="2:23" x14ac:dyDescent="0.2">
      <c r="B79" s="417"/>
      <c r="C79" s="1110"/>
      <c r="D79" s="1111"/>
      <c r="E79" s="861"/>
      <c r="F79" s="1113"/>
      <c r="G79" s="1124"/>
      <c r="H79" s="993"/>
      <c r="I79" s="203"/>
      <c r="J79" s="203"/>
      <c r="K79" s="204"/>
      <c r="L79" s="1112"/>
      <c r="M79" s="993"/>
      <c r="N79" s="993"/>
      <c r="O79" s="36"/>
      <c r="P79" s="23"/>
      <c r="Q79" s="23"/>
      <c r="R79" s="65">
        <v>16</v>
      </c>
      <c r="S79" s="1108"/>
      <c r="T79" s="1109"/>
      <c r="U79" s="1109"/>
      <c r="V79" s="358" t="str">
        <f t="shared" si="0"/>
        <v>n.a.</v>
      </c>
      <c r="W79" s="23"/>
    </row>
    <row r="80" spans="2:23" x14ac:dyDescent="0.2">
      <c r="B80" s="417"/>
      <c r="C80" s="1110" t="s">
        <v>1492</v>
      </c>
      <c r="D80" s="1111"/>
      <c r="E80" s="861"/>
      <c r="F80" s="1113"/>
      <c r="G80" s="1123"/>
      <c r="H80" s="992"/>
      <c r="I80" s="202"/>
      <c r="J80" s="202"/>
      <c r="K80" s="202"/>
      <c r="L80" s="992"/>
      <c r="M80" s="992"/>
      <c r="N80" s="992"/>
      <c r="O80" s="36"/>
      <c r="P80" s="23"/>
      <c r="Q80" s="23"/>
      <c r="R80" s="65">
        <v>17</v>
      </c>
      <c r="S80" s="1108">
        <v>9</v>
      </c>
      <c r="T80" s="1109" t="str">
        <f>IF(ISBLANK(E80),"",MAX(T$60:T79)+1)</f>
        <v/>
      </c>
      <c r="U80" s="1109" t="str">
        <f>IF(ISBLANK(E80),"",C80 &amp; ": " &amp;E80)</f>
        <v/>
      </c>
      <c r="V80" s="358" t="str">
        <f t="shared" si="0"/>
        <v>n.a.</v>
      </c>
      <c r="W80" s="23"/>
    </row>
    <row r="81" spans="1:25" x14ac:dyDescent="0.2">
      <c r="B81" s="417"/>
      <c r="C81" s="1110"/>
      <c r="D81" s="1111"/>
      <c r="E81" s="861"/>
      <c r="F81" s="1113"/>
      <c r="G81" s="1124"/>
      <c r="H81" s="993"/>
      <c r="I81" s="203"/>
      <c r="J81" s="203"/>
      <c r="K81" s="204"/>
      <c r="L81" s="1112"/>
      <c r="M81" s="993"/>
      <c r="N81" s="993"/>
      <c r="O81" s="36"/>
      <c r="P81" s="23"/>
      <c r="Q81" s="23"/>
      <c r="R81" s="65">
        <v>18</v>
      </c>
      <c r="S81" s="1108"/>
      <c r="T81" s="1109"/>
      <c r="U81" s="1109"/>
      <c r="V81" s="358" t="str">
        <f t="shared" si="0"/>
        <v>n.a.</v>
      </c>
      <c r="W81" s="23"/>
    </row>
    <row r="82" spans="1:25" x14ac:dyDescent="0.2">
      <c r="B82" s="417"/>
      <c r="C82" s="1110" t="s">
        <v>1493</v>
      </c>
      <c r="D82" s="1111"/>
      <c r="E82" s="861"/>
      <c r="F82" s="1113"/>
      <c r="G82" s="1123"/>
      <c r="H82" s="992"/>
      <c r="I82" s="202"/>
      <c r="J82" s="202"/>
      <c r="K82" s="202"/>
      <c r="L82" s="992"/>
      <c r="M82" s="992"/>
      <c r="N82" s="992"/>
      <c r="O82" s="36"/>
      <c r="P82" s="23"/>
      <c r="Q82" s="23"/>
      <c r="R82" s="65">
        <v>19</v>
      </c>
      <c r="S82" s="1108">
        <v>10</v>
      </c>
      <c r="T82" s="1109" t="str">
        <f>IF(ISBLANK(E82),"",MAX(T$60:T81)+1)</f>
        <v/>
      </c>
      <c r="U82" s="1109" t="str">
        <f>IF(ISBLANK(E82),"",C82 &amp; ": " &amp;E82)</f>
        <v/>
      </c>
      <c r="V82" s="358" t="str">
        <f t="shared" si="0"/>
        <v>n.a.</v>
      </c>
      <c r="W82" s="23"/>
    </row>
    <row r="83" spans="1:25" x14ac:dyDescent="0.2">
      <c r="B83" s="417"/>
      <c r="C83" s="1110"/>
      <c r="D83" s="1111"/>
      <c r="E83" s="861"/>
      <c r="F83" s="1113"/>
      <c r="G83" s="1124"/>
      <c r="H83" s="993"/>
      <c r="I83" s="203"/>
      <c r="J83" s="203"/>
      <c r="K83" s="204"/>
      <c r="L83" s="1112"/>
      <c r="M83" s="993"/>
      <c r="N83" s="993"/>
      <c r="O83" s="36"/>
      <c r="P83" s="23"/>
      <c r="Q83" s="23"/>
      <c r="R83" s="65">
        <v>20</v>
      </c>
      <c r="S83" s="1108"/>
      <c r="T83" s="1109"/>
      <c r="U83" s="1109"/>
      <c r="V83" s="358" t="str">
        <f t="shared" si="0"/>
        <v>n.a.</v>
      </c>
      <c r="W83" s="23"/>
    </row>
    <row r="84" spans="1:25" hidden="1" x14ac:dyDescent="0.2">
      <c r="A84" s="65" t="s">
        <v>1090</v>
      </c>
      <c r="B84" s="417"/>
      <c r="C84" s="1110"/>
      <c r="D84" s="1111"/>
      <c r="E84" s="861"/>
      <c r="F84" s="908"/>
      <c r="G84" s="1123"/>
      <c r="H84" s="992"/>
      <c r="I84" s="202"/>
      <c r="J84" s="202"/>
      <c r="K84" s="202"/>
      <c r="L84" s="992"/>
      <c r="M84" s="992"/>
      <c r="N84" s="992"/>
      <c r="O84" s="36"/>
      <c r="P84" s="23"/>
      <c r="Q84" s="23"/>
      <c r="S84" s="1108"/>
      <c r="T84" s="1109" t="str">
        <f>IF(ISBLANK(E84),"",MAX(T$60:T83)+1)</f>
        <v/>
      </c>
      <c r="U84" s="1109" t="str">
        <f>IF(ISBLANK(E84),"",C84 &amp; ": " &amp;E84)</f>
        <v/>
      </c>
      <c r="V84" s="358" t="str">
        <f t="shared" si="0"/>
        <v>n.a.</v>
      </c>
      <c r="W84" s="23"/>
    </row>
    <row r="85" spans="1:25" ht="13.5" hidden="1" thickBot="1" x14ac:dyDescent="0.25">
      <c r="A85" s="65" t="s">
        <v>1090</v>
      </c>
      <c r="B85" s="417"/>
      <c r="C85" s="1110"/>
      <c r="D85" s="1111"/>
      <c r="E85" s="861"/>
      <c r="F85" s="908"/>
      <c r="G85" s="1124"/>
      <c r="H85" s="993"/>
      <c r="I85" s="203"/>
      <c r="J85" s="203"/>
      <c r="K85" s="204"/>
      <c r="L85" s="1126"/>
      <c r="M85" s="993"/>
      <c r="N85" s="993"/>
      <c r="O85" s="36"/>
      <c r="P85" s="23"/>
      <c r="Q85" s="23"/>
      <c r="S85" s="1108"/>
      <c r="T85" s="1109"/>
      <c r="U85" s="1109"/>
      <c r="V85" s="368" t="str">
        <f t="shared" si="0"/>
        <v>n.a.</v>
      </c>
      <c r="W85" s="23"/>
    </row>
    <row r="86" spans="1:25" s="316" customFormat="1" ht="12.75" customHeight="1" x14ac:dyDescent="0.2">
      <c r="A86" s="65" t="s">
        <v>7</v>
      </c>
      <c r="B86" s="417"/>
      <c r="C86" s="417"/>
      <c r="D86" s="417"/>
      <c r="E86" s="411"/>
      <c r="F86" s="411"/>
      <c r="G86" s="411"/>
      <c r="H86" s="411"/>
      <c r="I86" s="411"/>
      <c r="J86" s="411"/>
      <c r="K86" s="411"/>
      <c r="L86" s="411"/>
      <c r="M86" s="417"/>
      <c r="N86" s="417"/>
      <c r="O86" s="36"/>
      <c r="P86" s="65"/>
      <c r="Q86" s="65"/>
      <c r="R86" s="65"/>
      <c r="S86" s="65"/>
      <c r="T86" s="65"/>
      <c r="U86" s="65"/>
      <c r="V86" s="359"/>
      <c r="W86" s="65"/>
      <c r="X86" s="317"/>
      <c r="Y86" s="317"/>
    </row>
    <row r="87" spans="1:25" s="316" customFormat="1" ht="5.0999999999999996" customHeight="1" x14ac:dyDescent="0.2">
      <c r="A87" s="12"/>
      <c r="B87" s="417"/>
      <c r="C87" s="430"/>
      <c r="D87" s="14"/>
      <c r="E87" s="417"/>
      <c r="F87" s="417"/>
      <c r="G87" s="1016" t="str">
        <f>Translations!$B$368</f>
        <v>Click "+" to add more measurement instruments</v>
      </c>
      <c r="H87" s="1017"/>
      <c r="I87" s="1017"/>
      <c r="J87" s="1017"/>
      <c r="K87" s="1018"/>
      <c r="L87" s="417"/>
      <c r="M87" s="322"/>
      <c r="N87" s="417"/>
      <c r="O87" s="36"/>
      <c r="P87" s="65"/>
      <c r="Q87" s="65"/>
      <c r="R87" s="65"/>
      <c r="S87" s="65"/>
      <c r="T87" s="65"/>
      <c r="U87" s="369"/>
      <c r="V87" s="65"/>
      <c r="W87" s="65"/>
      <c r="X87" s="317"/>
      <c r="Y87" s="317"/>
    </row>
    <row r="88" spans="1:25" s="316" customFormat="1" ht="12.75" customHeight="1" x14ac:dyDescent="0.2">
      <c r="A88" s="12"/>
      <c r="B88" s="417"/>
      <c r="C88" s="430"/>
      <c r="D88" s="14"/>
      <c r="E88" s="417"/>
      <c r="F88" s="417"/>
      <c r="G88" s="1019"/>
      <c r="H88" s="1020"/>
      <c r="I88" s="1020"/>
      <c r="J88" s="1020"/>
      <c r="K88" s="1021"/>
      <c r="L88" s="417"/>
      <c r="M88" s="322"/>
      <c r="N88" s="417"/>
      <c r="O88" s="36"/>
      <c r="P88" s="65"/>
      <c r="Q88" s="65"/>
      <c r="R88" s="65"/>
      <c r="S88" s="65"/>
      <c r="T88" s="65"/>
      <c r="U88" s="369"/>
      <c r="V88" s="65"/>
      <c r="W88" s="65"/>
      <c r="X88" s="317"/>
      <c r="Y88" s="317"/>
    </row>
    <row r="89" spans="1:25" s="316" customFormat="1" ht="5.0999999999999996" customHeight="1" x14ac:dyDescent="0.2">
      <c r="A89" s="12"/>
      <c r="B89" s="417"/>
      <c r="C89" s="430"/>
      <c r="D89" s="14"/>
      <c r="E89" s="417"/>
      <c r="F89" s="417"/>
      <c r="G89" s="1022"/>
      <c r="H89" s="1023"/>
      <c r="I89" s="1023"/>
      <c r="J89" s="1023"/>
      <c r="K89" s="1024"/>
      <c r="L89" s="417"/>
      <c r="M89" s="322"/>
      <c r="N89" s="417"/>
      <c r="O89" s="36"/>
      <c r="P89" s="65"/>
      <c r="Q89" s="65"/>
      <c r="R89" s="65"/>
      <c r="S89" s="65"/>
      <c r="T89" s="65"/>
      <c r="U89" s="369"/>
      <c r="V89" s="65"/>
      <c r="W89" s="65"/>
      <c r="X89" s="317"/>
      <c r="Y89" s="317"/>
    </row>
    <row r="90" spans="1:25" s="316" customFormat="1" ht="12.75" customHeight="1" x14ac:dyDescent="0.2">
      <c r="A90" s="65"/>
      <c r="B90" s="417"/>
      <c r="C90" s="417"/>
      <c r="D90" s="417"/>
      <c r="E90" s="417"/>
      <c r="F90" s="417"/>
      <c r="G90" s="417"/>
      <c r="H90" s="417"/>
      <c r="I90" s="417"/>
      <c r="J90" s="417"/>
      <c r="K90" s="417"/>
      <c r="L90" s="417"/>
      <c r="M90" s="417"/>
      <c r="N90" s="417"/>
      <c r="O90" s="36"/>
      <c r="P90" s="65"/>
      <c r="Q90" s="65"/>
      <c r="R90" s="65"/>
      <c r="S90" s="65"/>
      <c r="T90" s="65"/>
      <c r="U90" s="65"/>
      <c r="V90" s="65"/>
      <c r="W90" s="65"/>
      <c r="X90" s="317"/>
      <c r="Y90" s="317"/>
    </row>
    <row r="91" spans="1:25" s="316" customFormat="1" ht="12.75" customHeight="1" x14ac:dyDescent="0.2">
      <c r="A91" s="65"/>
      <c r="B91" s="417"/>
      <c r="C91" s="417"/>
      <c r="D91" s="98" t="s">
        <v>1022</v>
      </c>
      <c r="E91" s="949" t="str">
        <f>Translations!$B$369</f>
        <v>Uncertainty calculations assessment document title and reference:</v>
      </c>
      <c r="F91" s="949"/>
      <c r="G91" s="949"/>
      <c r="H91" s="949"/>
      <c r="I91" s="925"/>
      <c r="J91" s="870"/>
      <c r="K91" s="1036"/>
      <c r="L91" s="1036"/>
      <c r="M91" s="1036"/>
      <c r="N91" s="972"/>
      <c r="O91" s="36"/>
      <c r="P91" s="65"/>
      <c r="Q91" s="65"/>
      <c r="R91" s="65"/>
      <c r="S91" s="65"/>
      <c r="T91" s="65"/>
      <c r="U91" s="65"/>
      <c r="V91" s="359"/>
      <c r="W91" s="355" t="b">
        <f>CNTR_SmallEmitter=TRUE</f>
        <v>0</v>
      </c>
      <c r="X91" s="317"/>
      <c r="Y91" s="317"/>
    </row>
    <row r="92" spans="1:25" s="316" customFormat="1" ht="25.5" customHeight="1" x14ac:dyDescent="0.2">
      <c r="A92" s="65"/>
      <c r="B92" s="417"/>
      <c r="C92" s="417"/>
      <c r="D92" s="417"/>
      <c r="E92" s="869" t="str">
        <f>Translations!$B$370</f>
        <v xml:space="preserve">You must provide evidence to demonstrate compliance with the applied tiers, in accordance with Article 12. Please list references to uncertainty calculations and/or schematics in the box above. </v>
      </c>
      <c r="F92" s="996"/>
      <c r="G92" s="996"/>
      <c r="H92" s="996"/>
      <c r="I92" s="996"/>
      <c r="J92" s="996"/>
      <c r="K92" s="996"/>
      <c r="L92" s="996"/>
      <c r="M92" s="996"/>
      <c r="N92" s="996"/>
      <c r="O92" s="36"/>
      <c r="P92" s="65"/>
      <c r="Q92" s="65"/>
      <c r="R92" s="65"/>
      <c r="S92" s="65"/>
      <c r="T92" s="65"/>
      <c r="U92" s="65"/>
      <c r="V92" s="65"/>
      <c r="W92" s="65"/>
      <c r="X92" s="317"/>
      <c r="Y92" s="317"/>
    </row>
    <row r="93" spans="1:25" s="316" customFormat="1" ht="12.75" customHeight="1" x14ac:dyDescent="0.2">
      <c r="A93" s="65"/>
      <c r="B93" s="417"/>
      <c r="C93" s="417"/>
      <c r="D93" s="417"/>
      <c r="E93" s="798" t="str">
        <f>Translations!$B$371</f>
        <v>Note that in accordance with Article 47(3), installation with low emissions do not have to submit this document to the CA.</v>
      </c>
      <c r="F93" s="1033"/>
      <c r="G93" s="1033"/>
      <c r="H93" s="1033"/>
      <c r="I93" s="1033"/>
      <c r="J93" s="1033"/>
      <c r="K93" s="1033"/>
      <c r="L93" s="1033"/>
      <c r="M93" s="1033"/>
      <c r="N93" s="1033"/>
      <c r="O93" s="36"/>
      <c r="P93" s="65"/>
      <c r="Q93" s="65"/>
      <c r="R93" s="65"/>
      <c r="S93" s="65"/>
      <c r="T93" s="65"/>
      <c r="U93" s="65"/>
      <c r="V93" s="65"/>
      <c r="W93" s="65"/>
      <c r="X93" s="317"/>
      <c r="Y93" s="317"/>
    </row>
    <row r="94" spans="1:25" ht="12.75" customHeight="1" x14ac:dyDescent="0.2">
      <c r="B94" s="417"/>
      <c r="C94" s="417"/>
      <c r="D94" s="441"/>
      <c r="E94" s="411"/>
      <c r="F94" s="411"/>
      <c r="G94" s="411"/>
      <c r="H94" s="411"/>
      <c r="I94" s="411"/>
      <c r="J94" s="411"/>
      <c r="K94" s="411"/>
      <c r="L94" s="411"/>
      <c r="M94" s="417"/>
      <c r="N94" s="417"/>
      <c r="O94" s="36"/>
    </row>
    <row r="95" spans="1:25" s="316" customFormat="1" ht="12.75" customHeight="1" x14ac:dyDescent="0.2">
      <c r="A95" s="65"/>
      <c r="B95" s="417"/>
      <c r="C95" s="417"/>
      <c r="D95" s="14" t="s">
        <v>1023</v>
      </c>
      <c r="E95" s="717" t="str">
        <f>Translations!$B$573</f>
        <v>Laboratories and methods used for application of continuous measurement methods:</v>
      </c>
      <c r="F95" s="732"/>
      <c r="G95" s="732"/>
      <c r="H95" s="732"/>
      <c r="I95" s="732"/>
      <c r="J95" s="732"/>
      <c r="K95" s="732"/>
      <c r="L95" s="732"/>
      <c r="M95" s="732"/>
      <c r="N95" s="732"/>
      <c r="O95" s="36"/>
      <c r="P95" s="349"/>
      <c r="Q95" s="349"/>
      <c r="R95" s="65"/>
      <c r="S95" s="65"/>
      <c r="T95" s="65"/>
      <c r="U95" s="65"/>
      <c r="V95" s="65"/>
      <c r="W95" s="65"/>
      <c r="X95" s="317"/>
      <c r="Y95" s="317"/>
    </row>
    <row r="96" spans="1:25" s="316" customFormat="1" ht="38.85" customHeight="1" x14ac:dyDescent="0.2">
      <c r="A96" s="65"/>
      <c r="B96" s="417"/>
      <c r="C96" s="417"/>
      <c r="D96" s="417"/>
      <c r="E96" s="869" t="str">
        <f>Translations!$B$384</f>
        <v>Please list the methods to be used for analysing fuels and materials for the determination of all calculation factors where applicable due to the selected tier. Where the laboratory is not accredited according to EN ISO/IEC 17025, you have to provide evidence that the laboratory is technically competent in accordance with Article 34. For this purpose please provide reference to an attached document.</v>
      </c>
      <c r="F96" s="996"/>
      <c r="G96" s="996"/>
      <c r="H96" s="996"/>
      <c r="I96" s="996"/>
      <c r="J96" s="996"/>
      <c r="K96" s="996"/>
      <c r="L96" s="996"/>
      <c r="M96" s="996"/>
      <c r="N96" s="996"/>
      <c r="O96" s="36"/>
      <c r="P96" s="472"/>
      <c r="Q96" s="472"/>
      <c r="R96" s="65"/>
      <c r="S96" s="65"/>
      <c r="T96" s="65"/>
      <c r="U96" s="65"/>
      <c r="V96" s="65"/>
      <c r="W96" s="65"/>
      <c r="X96" s="317"/>
      <c r="Y96" s="317"/>
    </row>
    <row r="97" spans="1:25" s="316" customFormat="1" ht="12.75" customHeight="1" x14ac:dyDescent="0.2">
      <c r="A97" s="65"/>
      <c r="B97" s="417"/>
      <c r="C97" s="417"/>
      <c r="D97" s="417"/>
      <c r="E97" s="869" t="str">
        <f>Translations!$B$574</f>
        <v>This list will be available as a drop-down below in section 10 for referencing the analytical methods to the relevant measurement points.</v>
      </c>
      <c r="F97" s="996"/>
      <c r="G97" s="996"/>
      <c r="H97" s="996"/>
      <c r="I97" s="996"/>
      <c r="J97" s="996"/>
      <c r="K97" s="996"/>
      <c r="L97" s="996"/>
      <c r="M97" s="996"/>
      <c r="N97" s="996"/>
      <c r="O97" s="36"/>
      <c r="P97" s="473"/>
      <c r="Q97" s="473"/>
      <c r="R97" s="474"/>
      <c r="S97" s="352"/>
      <c r="T97" s="65"/>
      <c r="U97" s="65"/>
      <c r="V97" s="65"/>
      <c r="W97" s="65"/>
      <c r="X97" s="317"/>
      <c r="Y97" s="317"/>
    </row>
    <row r="98" spans="1:25" s="316" customFormat="1" ht="12.75" customHeight="1" x14ac:dyDescent="0.2">
      <c r="A98" s="65"/>
      <c r="B98" s="417"/>
      <c r="C98" s="430"/>
      <c r="D98" s="14"/>
      <c r="E98" s="798" t="str">
        <f>Translations!$B$135</f>
        <v>For showing/hiding examples, press the "Examples" button in the navigation area.</v>
      </c>
      <c r="F98" s="917"/>
      <c r="G98" s="917"/>
      <c r="H98" s="917"/>
      <c r="I98" s="917"/>
      <c r="J98" s="917"/>
      <c r="K98" s="917"/>
      <c r="L98" s="917"/>
      <c r="M98" s="917"/>
      <c r="N98" s="917"/>
      <c r="O98" s="36"/>
      <c r="P98" s="65"/>
      <c r="Q98" s="65"/>
      <c r="R98" s="65"/>
      <c r="S98" s="65"/>
      <c r="T98" s="65"/>
      <c r="U98" s="65"/>
      <c r="V98" s="65"/>
      <c r="W98" s="65"/>
      <c r="X98" s="317"/>
      <c r="Y98" s="317"/>
    </row>
    <row r="99" spans="1:25" s="316" customFormat="1" ht="5.0999999999999996" customHeight="1" x14ac:dyDescent="0.2">
      <c r="A99" s="65"/>
      <c r="B99" s="417"/>
      <c r="C99" s="417"/>
      <c r="D99" s="417"/>
      <c r="E99" s="417"/>
      <c r="F99" s="417"/>
      <c r="G99" s="417"/>
      <c r="H99" s="417"/>
      <c r="I99" s="417"/>
      <c r="J99" s="417"/>
      <c r="K99" s="417"/>
      <c r="L99" s="417"/>
      <c r="M99" s="417"/>
      <c r="N99" s="417"/>
      <c r="O99" s="36"/>
      <c r="P99" s="65"/>
      <c r="Q99" s="65"/>
      <c r="R99" s="373"/>
      <c r="S99" s="65"/>
      <c r="T99" s="65"/>
      <c r="U99" s="65"/>
      <c r="V99" s="65"/>
      <c r="W99" s="65"/>
      <c r="X99" s="317"/>
      <c r="Y99" s="317"/>
    </row>
    <row r="100" spans="1:25" s="316" customFormat="1" ht="45" customHeight="1" x14ac:dyDescent="0.2">
      <c r="A100" s="65"/>
      <c r="B100" s="417"/>
      <c r="C100" s="417"/>
      <c r="D100" s="417"/>
      <c r="E100" s="344" t="str">
        <f>Translations!$B$387</f>
        <v>Lab Ref</v>
      </c>
      <c r="F100" s="879" t="str">
        <f>Translations!$B$388</f>
        <v>Name of laboratory</v>
      </c>
      <c r="G100" s="906"/>
      <c r="H100" s="407" t="str">
        <f>Translations!$B$389</f>
        <v>Parameter</v>
      </c>
      <c r="I100" s="926" t="str">
        <f>Translations!$B$390</f>
        <v>Method of analysis
(include procedure reference and brief description of method)</v>
      </c>
      <c r="J100" s="927"/>
      <c r="K100" s="927"/>
      <c r="L100" s="344" t="str">
        <f>Translations!$B$391</f>
        <v>Is lab EN ISO/IEC 17025 accredited for this analysis?</v>
      </c>
      <c r="M100" s="926" t="str">
        <f>Translations!$B$392</f>
        <v>If no, reference the evidence to be submitted</v>
      </c>
      <c r="N100" s="927"/>
      <c r="O100" s="36"/>
      <c r="P100" s="65"/>
      <c r="Q100" s="475"/>
      <c r="R100" s="373"/>
      <c r="S100" s="65"/>
      <c r="T100" s="352" t="s">
        <v>1231</v>
      </c>
      <c r="U100" s="65"/>
      <c r="V100" s="352" t="s">
        <v>1231</v>
      </c>
      <c r="W100" s="352" t="s">
        <v>1231</v>
      </c>
      <c r="X100" s="317"/>
      <c r="Y100" s="317"/>
    </row>
    <row r="101" spans="1:25" s="316" customFormat="1" ht="12.75" customHeight="1" x14ac:dyDescent="0.2">
      <c r="A101" s="12" t="s">
        <v>1373</v>
      </c>
      <c r="B101" s="417"/>
      <c r="C101" s="417"/>
      <c r="D101" s="417"/>
      <c r="E101" s="211" t="s">
        <v>94</v>
      </c>
      <c r="F101" s="911" t="str">
        <f>Translations!$B$393</f>
        <v>Example lab</v>
      </c>
      <c r="G101" s="1007"/>
      <c r="H101" s="408" t="str">
        <f>Translations!$B$575</f>
        <v>QAL procedures</v>
      </c>
      <c r="I101" s="911" t="str">
        <f>Translations!$B$576</f>
        <v>EN 14181</v>
      </c>
      <c r="J101" s="1008"/>
      <c r="K101" s="1007"/>
      <c r="L101" s="211" t="b">
        <v>1</v>
      </c>
      <c r="M101" s="1006"/>
      <c r="N101" s="1007"/>
      <c r="O101" s="36"/>
      <c r="P101" s="65"/>
      <c r="Q101" s="475"/>
      <c r="R101" s="373"/>
      <c r="S101" s="65"/>
      <c r="T101" s="352"/>
      <c r="U101" s="65"/>
      <c r="V101" s="352"/>
      <c r="W101" s="352"/>
      <c r="X101" s="317"/>
      <c r="Y101" s="317"/>
    </row>
    <row r="102" spans="1:25" s="316" customFormat="1" ht="25.5" customHeight="1" thickBot="1" x14ac:dyDescent="0.25">
      <c r="A102" s="12" t="s">
        <v>1373</v>
      </c>
      <c r="B102" s="417"/>
      <c r="C102" s="417"/>
      <c r="D102" s="417"/>
      <c r="E102" s="211" t="s">
        <v>95</v>
      </c>
      <c r="F102" s="911" t="str">
        <f>Translations!$B$396</f>
        <v>Example lab 2</v>
      </c>
      <c r="G102" s="1007"/>
      <c r="H102" s="408" t="str">
        <f>Translations!$B$577</f>
        <v>CO2 concentration</v>
      </c>
      <c r="I102" s="911" t="str">
        <f>Translations!$B$578</f>
        <v>ISO 12039</v>
      </c>
      <c r="J102" s="1008"/>
      <c r="K102" s="1007"/>
      <c r="L102" s="211" t="b">
        <v>0</v>
      </c>
      <c r="M102" s="911" t="str">
        <f>Translations!$B$399</f>
        <v>Lab_competence.pdf, 2/3/2012</v>
      </c>
      <c r="N102" s="1007"/>
      <c r="O102" s="36"/>
      <c r="P102" s="65"/>
      <c r="Q102" s="475"/>
      <c r="R102" s="373"/>
      <c r="S102" s="65"/>
      <c r="T102" s="352"/>
      <c r="U102" s="65"/>
      <c r="V102" s="352"/>
      <c r="W102" s="352"/>
      <c r="X102" s="317"/>
      <c r="Y102" s="317"/>
    </row>
    <row r="103" spans="1:25" s="316" customFormat="1" ht="12.75" customHeight="1" x14ac:dyDescent="0.2">
      <c r="A103" s="65"/>
      <c r="B103" s="417"/>
      <c r="C103" s="417"/>
      <c r="D103" s="417"/>
      <c r="E103" s="434" t="s">
        <v>421</v>
      </c>
      <c r="F103" s="870"/>
      <c r="G103" s="972"/>
      <c r="H103" s="205"/>
      <c r="I103" s="817"/>
      <c r="J103" s="817"/>
      <c r="K103" s="817"/>
      <c r="L103" s="199"/>
      <c r="M103" s="817"/>
      <c r="N103" s="817"/>
      <c r="O103" s="36"/>
      <c r="P103" s="65"/>
      <c r="Q103" s="476"/>
      <c r="R103" s="373"/>
      <c r="S103" s="65"/>
      <c r="T103" s="372">
        <v>1</v>
      </c>
      <c r="U103" s="65"/>
      <c r="V103" s="471" t="str">
        <f>IF(ISBLANK(F103),"",MAX(V$102:V102)+1)</f>
        <v/>
      </c>
      <c r="W103" s="477" t="str">
        <f t="shared" ref="W103:W118" si="1">IF(COUNTIF($V$103:$V$118,T103)=1,INDEX($E$103:$E$118,MATCH(T103,$V$103:$V$118,0))&amp; ": " &amp;INDEX($F$103:$F$118,MATCH(T103,$V$103:$V$118,0)),EUconst_NA)</f>
        <v>n.a.</v>
      </c>
      <c r="X103" s="317"/>
      <c r="Y103" s="317"/>
    </row>
    <row r="104" spans="1:25" s="316" customFormat="1" ht="12.75" customHeight="1" x14ac:dyDescent="0.2">
      <c r="A104" s="65"/>
      <c r="B104" s="417"/>
      <c r="C104" s="417"/>
      <c r="D104" s="417"/>
      <c r="E104" s="434" t="s">
        <v>422</v>
      </c>
      <c r="F104" s="870"/>
      <c r="G104" s="972"/>
      <c r="H104" s="205"/>
      <c r="I104" s="817"/>
      <c r="J104" s="817"/>
      <c r="K104" s="817"/>
      <c r="L104" s="199"/>
      <c r="M104" s="817"/>
      <c r="N104" s="817"/>
      <c r="O104" s="36"/>
      <c r="P104" s="65"/>
      <c r="Q104" s="476"/>
      <c r="R104" s="373"/>
      <c r="S104" s="65"/>
      <c r="T104" s="372">
        <v>2</v>
      </c>
      <c r="U104" s="65"/>
      <c r="V104" s="471" t="str">
        <f>IF(ISBLANK(F104),"",MAX(V$102:V103)+1)</f>
        <v/>
      </c>
      <c r="W104" s="478" t="str">
        <f t="shared" si="1"/>
        <v>n.a.</v>
      </c>
      <c r="X104" s="317"/>
      <c r="Y104" s="317"/>
    </row>
    <row r="105" spans="1:25" s="316" customFormat="1" ht="12.75" customHeight="1" x14ac:dyDescent="0.2">
      <c r="A105" s="65"/>
      <c r="B105" s="417"/>
      <c r="C105" s="417"/>
      <c r="D105" s="417"/>
      <c r="E105" s="434" t="s">
        <v>423</v>
      </c>
      <c r="F105" s="870"/>
      <c r="G105" s="972"/>
      <c r="H105" s="205"/>
      <c r="I105" s="817"/>
      <c r="J105" s="817"/>
      <c r="K105" s="817"/>
      <c r="L105" s="199"/>
      <c r="M105" s="817"/>
      <c r="N105" s="817"/>
      <c r="O105" s="36"/>
      <c r="P105" s="65"/>
      <c r="Q105" s="476"/>
      <c r="R105" s="373"/>
      <c r="S105" s="65"/>
      <c r="T105" s="372">
        <v>3</v>
      </c>
      <c r="U105" s="65"/>
      <c r="V105" s="471" t="str">
        <f>IF(ISBLANK(F105),"",MAX(V$102:V104)+1)</f>
        <v/>
      </c>
      <c r="W105" s="478" t="str">
        <f t="shared" si="1"/>
        <v>n.a.</v>
      </c>
      <c r="X105" s="317"/>
      <c r="Y105" s="317"/>
    </row>
    <row r="106" spans="1:25" s="316" customFormat="1" ht="12.75" customHeight="1" x14ac:dyDescent="0.2">
      <c r="A106" s="65"/>
      <c r="B106" s="417"/>
      <c r="C106" s="417"/>
      <c r="D106" s="417"/>
      <c r="E106" s="434" t="s">
        <v>424</v>
      </c>
      <c r="F106" s="870"/>
      <c r="G106" s="972"/>
      <c r="H106" s="205"/>
      <c r="I106" s="817"/>
      <c r="J106" s="817"/>
      <c r="K106" s="817"/>
      <c r="L106" s="199"/>
      <c r="M106" s="817"/>
      <c r="N106" s="817"/>
      <c r="O106" s="36"/>
      <c r="P106" s="65"/>
      <c r="Q106" s="476"/>
      <c r="R106" s="373"/>
      <c r="S106" s="65"/>
      <c r="T106" s="372">
        <v>4</v>
      </c>
      <c r="U106" s="65"/>
      <c r="V106" s="471" t="str">
        <f>IF(ISBLANK(F106),"",MAX(V$102:V105)+1)</f>
        <v/>
      </c>
      <c r="W106" s="478" t="str">
        <f t="shared" si="1"/>
        <v>n.a.</v>
      </c>
      <c r="X106" s="317"/>
      <c r="Y106" s="317"/>
    </row>
    <row r="107" spans="1:25" s="316" customFormat="1" ht="12.75" customHeight="1" x14ac:dyDescent="0.2">
      <c r="A107" s="65"/>
      <c r="B107" s="417"/>
      <c r="C107" s="417"/>
      <c r="D107" s="417"/>
      <c r="E107" s="434" t="s">
        <v>425</v>
      </c>
      <c r="F107" s="870"/>
      <c r="G107" s="972"/>
      <c r="H107" s="205"/>
      <c r="I107" s="817"/>
      <c r="J107" s="817"/>
      <c r="K107" s="817"/>
      <c r="L107" s="199"/>
      <c r="M107" s="817"/>
      <c r="N107" s="817"/>
      <c r="O107" s="36"/>
      <c r="P107" s="65"/>
      <c r="Q107" s="476"/>
      <c r="R107" s="373"/>
      <c r="S107" s="65"/>
      <c r="T107" s="372">
        <v>5</v>
      </c>
      <c r="U107" s="65"/>
      <c r="V107" s="471" t="str">
        <f>IF(ISBLANK(F107),"",MAX(V$102:V106)+1)</f>
        <v/>
      </c>
      <c r="W107" s="478" t="str">
        <f t="shared" si="1"/>
        <v>n.a.</v>
      </c>
      <c r="X107" s="317"/>
      <c r="Y107" s="317"/>
    </row>
    <row r="108" spans="1:25" s="316" customFormat="1" ht="12.75" customHeight="1" x14ac:dyDescent="0.2">
      <c r="A108" s="65"/>
      <c r="B108" s="417"/>
      <c r="C108" s="417"/>
      <c r="D108" s="417"/>
      <c r="E108" s="434" t="s">
        <v>426</v>
      </c>
      <c r="F108" s="870"/>
      <c r="G108" s="972"/>
      <c r="H108" s="205"/>
      <c r="I108" s="817"/>
      <c r="J108" s="817"/>
      <c r="K108" s="817"/>
      <c r="L108" s="199"/>
      <c r="M108" s="817"/>
      <c r="N108" s="817"/>
      <c r="O108" s="36"/>
      <c r="P108" s="65"/>
      <c r="Q108" s="476"/>
      <c r="R108" s="373"/>
      <c r="S108" s="65"/>
      <c r="T108" s="372">
        <v>6</v>
      </c>
      <c r="U108" s="65"/>
      <c r="V108" s="471" t="str">
        <f>IF(ISBLANK(F108),"",MAX(V$102:V107)+1)</f>
        <v/>
      </c>
      <c r="W108" s="478" t="str">
        <f t="shared" si="1"/>
        <v>n.a.</v>
      </c>
      <c r="X108" s="317"/>
      <c r="Y108" s="317"/>
    </row>
    <row r="109" spans="1:25" s="316" customFormat="1" ht="12.75" customHeight="1" x14ac:dyDescent="0.2">
      <c r="A109" s="65"/>
      <c r="B109" s="417"/>
      <c r="C109" s="417"/>
      <c r="D109" s="417"/>
      <c r="E109" s="434" t="s">
        <v>427</v>
      </c>
      <c r="F109" s="870"/>
      <c r="G109" s="972"/>
      <c r="H109" s="205"/>
      <c r="I109" s="817"/>
      <c r="J109" s="817"/>
      <c r="K109" s="817"/>
      <c r="L109" s="199"/>
      <c r="M109" s="817"/>
      <c r="N109" s="817"/>
      <c r="O109" s="36"/>
      <c r="P109" s="65"/>
      <c r="Q109" s="476"/>
      <c r="R109" s="373"/>
      <c r="S109" s="65"/>
      <c r="T109" s="372">
        <v>7</v>
      </c>
      <c r="U109" s="65"/>
      <c r="V109" s="471" t="str">
        <f>IF(ISBLANK(F109),"",MAX(V$102:V108)+1)</f>
        <v/>
      </c>
      <c r="W109" s="478" t="str">
        <f t="shared" si="1"/>
        <v>n.a.</v>
      </c>
      <c r="X109" s="317"/>
      <c r="Y109" s="317"/>
    </row>
    <row r="110" spans="1:25" s="316" customFormat="1" ht="12.75" customHeight="1" x14ac:dyDescent="0.2">
      <c r="A110" s="65"/>
      <c r="B110" s="417"/>
      <c r="C110" s="417"/>
      <c r="D110" s="417"/>
      <c r="E110" s="434" t="s">
        <v>428</v>
      </c>
      <c r="F110" s="870"/>
      <c r="G110" s="972"/>
      <c r="H110" s="205"/>
      <c r="I110" s="817"/>
      <c r="J110" s="817"/>
      <c r="K110" s="817"/>
      <c r="L110" s="199"/>
      <c r="M110" s="817"/>
      <c r="N110" s="817"/>
      <c r="O110" s="36"/>
      <c r="P110" s="65"/>
      <c r="Q110" s="476"/>
      <c r="R110" s="373"/>
      <c r="S110" s="65"/>
      <c r="T110" s="372">
        <v>8</v>
      </c>
      <c r="U110" s="65"/>
      <c r="V110" s="471" t="str">
        <f>IF(ISBLANK(F110),"",MAX(V$102:V109)+1)</f>
        <v/>
      </c>
      <c r="W110" s="478" t="str">
        <f t="shared" si="1"/>
        <v>n.a.</v>
      </c>
      <c r="X110" s="317"/>
      <c r="Y110" s="317"/>
    </row>
    <row r="111" spans="1:25" s="316" customFormat="1" ht="12.75" customHeight="1" x14ac:dyDescent="0.2">
      <c r="A111" s="65"/>
      <c r="B111" s="417"/>
      <c r="C111" s="417"/>
      <c r="D111" s="417"/>
      <c r="E111" s="434" t="s">
        <v>429</v>
      </c>
      <c r="F111" s="870"/>
      <c r="G111" s="972"/>
      <c r="H111" s="205"/>
      <c r="I111" s="817"/>
      <c r="J111" s="817"/>
      <c r="K111" s="817"/>
      <c r="L111" s="199"/>
      <c r="M111" s="817"/>
      <c r="N111" s="817"/>
      <c r="O111" s="36"/>
      <c r="P111" s="65"/>
      <c r="Q111" s="476"/>
      <c r="R111" s="373"/>
      <c r="S111" s="65"/>
      <c r="T111" s="372">
        <v>9</v>
      </c>
      <c r="U111" s="65"/>
      <c r="V111" s="471" t="str">
        <f>IF(ISBLANK(F111),"",MAX(V$102:V110)+1)</f>
        <v/>
      </c>
      <c r="W111" s="478" t="str">
        <f t="shared" si="1"/>
        <v>n.a.</v>
      </c>
      <c r="X111" s="317"/>
      <c r="Y111" s="317"/>
    </row>
    <row r="112" spans="1:25" s="316" customFormat="1" ht="12.75" customHeight="1" x14ac:dyDescent="0.2">
      <c r="A112" s="65"/>
      <c r="B112" s="417"/>
      <c r="C112" s="417"/>
      <c r="D112" s="417"/>
      <c r="E112" s="434" t="s">
        <v>430</v>
      </c>
      <c r="F112" s="870"/>
      <c r="G112" s="972"/>
      <c r="H112" s="205"/>
      <c r="I112" s="817"/>
      <c r="J112" s="817"/>
      <c r="K112" s="817"/>
      <c r="L112" s="199"/>
      <c r="M112" s="817"/>
      <c r="N112" s="817"/>
      <c r="O112" s="36"/>
      <c r="P112" s="65"/>
      <c r="Q112" s="476"/>
      <c r="R112" s="373"/>
      <c r="S112" s="65"/>
      <c r="T112" s="372">
        <v>10</v>
      </c>
      <c r="U112" s="65"/>
      <c r="V112" s="471" t="str">
        <f>IF(ISBLANK(F112),"",MAX(V$102:V111)+1)</f>
        <v/>
      </c>
      <c r="W112" s="478" t="str">
        <f t="shared" si="1"/>
        <v>n.a.</v>
      </c>
      <c r="X112" s="317"/>
      <c r="Y112" s="317"/>
    </row>
    <row r="113" spans="1:25" s="316" customFormat="1" ht="12.75" customHeight="1" x14ac:dyDescent="0.2">
      <c r="A113" s="65"/>
      <c r="B113" s="417"/>
      <c r="C113" s="417"/>
      <c r="D113" s="417"/>
      <c r="E113" s="434" t="s">
        <v>431</v>
      </c>
      <c r="F113" s="870"/>
      <c r="G113" s="972"/>
      <c r="H113" s="205"/>
      <c r="I113" s="817"/>
      <c r="J113" s="817"/>
      <c r="K113" s="817"/>
      <c r="L113" s="199"/>
      <c r="M113" s="817"/>
      <c r="N113" s="817"/>
      <c r="O113" s="36"/>
      <c r="P113" s="65"/>
      <c r="Q113" s="476"/>
      <c r="R113" s="373"/>
      <c r="S113" s="65"/>
      <c r="T113" s="372">
        <v>11</v>
      </c>
      <c r="U113" s="65"/>
      <c r="V113" s="471" t="str">
        <f>IF(ISBLANK(F113),"",MAX(V$102:V112)+1)</f>
        <v/>
      </c>
      <c r="W113" s="478" t="str">
        <f t="shared" si="1"/>
        <v>n.a.</v>
      </c>
      <c r="X113" s="317"/>
      <c r="Y113" s="317"/>
    </row>
    <row r="114" spans="1:25" s="316" customFormat="1" ht="12.75" customHeight="1" x14ac:dyDescent="0.2">
      <c r="A114" s="65"/>
      <c r="B114" s="417"/>
      <c r="C114" s="417"/>
      <c r="D114" s="417"/>
      <c r="E114" s="434" t="s">
        <v>432</v>
      </c>
      <c r="F114" s="870"/>
      <c r="G114" s="972"/>
      <c r="H114" s="205"/>
      <c r="I114" s="817"/>
      <c r="J114" s="817"/>
      <c r="K114" s="817"/>
      <c r="L114" s="199"/>
      <c r="M114" s="817"/>
      <c r="N114" s="817"/>
      <c r="O114" s="36"/>
      <c r="P114" s="65"/>
      <c r="Q114" s="476"/>
      <c r="R114" s="373"/>
      <c r="S114" s="65"/>
      <c r="T114" s="372">
        <v>12</v>
      </c>
      <c r="U114" s="65"/>
      <c r="V114" s="471" t="str">
        <f>IF(ISBLANK(F114),"",MAX(V$102:V113)+1)</f>
        <v/>
      </c>
      <c r="W114" s="478" t="str">
        <f t="shared" si="1"/>
        <v>n.a.</v>
      </c>
      <c r="X114" s="317"/>
      <c r="Y114" s="317"/>
    </row>
    <row r="115" spans="1:25" s="316" customFormat="1" ht="12.75" customHeight="1" x14ac:dyDescent="0.2">
      <c r="A115" s="65"/>
      <c r="B115" s="417"/>
      <c r="C115" s="417"/>
      <c r="D115" s="417"/>
      <c r="E115" s="434" t="s">
        <v>433</v>
      </c>
      <c r="F115" s="870"/>
      <c r="G115" s="972"/>
      <c r="H115" s="205"/>
      <c r="I115" s="817"/>
      <c r="J115" s="817"/>
      <c r="K115" s="817"/>
      <c r="L115" s="199"/>
      <c r="M115" s="817"/>
      <c r="N115" s="817"/>
      <c r="O115" s="36"/>
      <c r="P115" s="65"/>
      <c r="Q115" s="476"/>
      <c r="R115" s="373"/>
      <c r="S115" s="65"/>
      <c r="T115" s="372">
        <v>13</v>
      </c>
      <c r="U115" s="65"/>
      <c r="V115" s="471" t="str">
        <f>IF(ISBLANK(F115),"",MAX(V$102:V114)+1)</f>
        <v/>
      </c>
      <c r="W115" s="478" t="str">
        <f t="shared" si="1"/>
        <v>n.a.</v>
      </c>
      <c r="X115" s="317"/>
      <c r="Y115" s="317"/>
    </row>
    <row r="116" spans="1:25" s="316" customFormat="1" ht="12.75" customHeight="1" x14ac:dyDescent="0.2">
      <c r="A116" s="65"/>
      <c r="B116" s="417"/>
      <c r="C116" s="417"/>
      <c r="D116" s="417"/>
      <c r="E116" s="434" t="s">
        <v>434</v>
      </c>
      <c r="F116" s="870"/>
      <c r="G116" s="972"/>
      <c r="H116" s="205"/>
      <c r="I116" s="817"/>
      <c r="J116" s="817"/>
      <c r="K116" s="817"/>
      <c r="L116" s="199"/>
      <c r="M116" s="817"/>
      <c r="N116" s="817"/>
      <c r="O116" s="36"/>
      <c r="P116" s="65"/>
      <c r="Q116" s="476"/>
      <c r="R116" s="373"/>
      <c r="S116" s="65"/>
      <c r="T116" s="372">
        <v>14</v>
      </c>
      <c r="U116" s="65"/>
      <c r="V116" s="471" t="str">
        <f>IF(ISBLANK(F116),"",MAX(V$102:V115)+1)</f>
        <v/>
      </c>
      <c r="W116" s="478" t="str">
        <f t="shared" si="1"/>
        <v>n.a.</v>
      </c>
      <c r="X116" s="317"/>
      <c r="Y116" s="317"/>
    </row>
    <row r="117" spans="1:25" s="316" customFormat="1" ht="12.75" customHeight="1" x14ac:dyDescent="0.2">
      <c r="A117" s="65"/>
      <c r="B117" s="417"/>
      <c r="C117" s="417"/>
      <c r="D117" s="417"/>
      <c r="E117" s="434" t="s">
        <v>93</v>
      </c>
      <c r="F117" s="870"/>
      <c r="G117" s="972"/>
      <c r="H117" s="205"/>
      <c r="I117" s="817"/>
      <c r="J117" s="817"/>
      <c r="K117" s="817"/>
      <c r="L117" s="199"/>
      <c r="M117" s="817"/>
      <c r="N117" s="817"/>
      <c r="O117" s="36"/>
      <c r="P117" s="65"/>
      <c r="Q117" s="476"/>
      <c r="R117" s="373"/>
      <c r="S117" s="65"/>
      <c r="T117" s="372">
        <v>15</v>
      </c>
      <c r="U117" s="65"/>
      <c r="V117" s="471" t="str">
        <f>IF(ISBLANK(F117),"",MAX(V$102:V116)+1)</f>
        <v/>
      </c>
      <c r="W117" s="478" t="str">
        <f t="shared" si="1"/>
        <v>n.a.</v>
      </c>
      <c r="X117" s="317"/>
      <c r="Y117" s="317"/>
    </row>
    <row r="118" spans="1:25" s="316" customFormat="1" ht="12.75" hidden="1" customHeight="1" x14ac:dyDescent="0.2">
      <c r="A118" s="12" t="s">
        <v>1090</v>
      </c>
      <c r="B118" s="417"/>
      <c r="C118" s="417"/>
      <c r="D118" s="417"/>
      <c r="E118" s="435"/>
      <c r="F118" s="870"/>
      <c r="G118" s="972"/>
      <c r="H118" s="205"/>
      <c r="I118" s="817"/>
      <c r="J118" s="817"/>
      <c r="K118" s="817"/>
      <c r="L118" s="199"/>
      <c r="M118" s="817"/>
      <c r="N118" s="817"/>
      <c r="O118" s="36"/>
      <c r="P118" s="65"/>
      <c r="Q118" s="476"/>
      <c r="R118" s="373"/>
      <c r="S118" s="65"/>
      <c r="T118" s="372"/>
      <c r="U118" s="65"/>
      <c r="V118" s="471" t="str">
        <f>IF(ISBLANK(F118),"",MAX(V$102:V117)+1)</f>
        <v/>
      </c>
      <c r="W118" s="478" t="str">
        <f t="shared" si="1"/>
        <v>n.a.</v>
      </c>
      <c r="X118" s="317"/>
      <c r="Y118" s="317"/>
    </row>
    <row r="119" spans="1:25" s="316" customFormat="1" ht="12.75" customHeight="1" x14ac:dyDescent="0.2">
      <c r="A119" s="12" t="s">
        <v>3</v>
      </c>
      <c r="B119" s="417"/>
      <c r="C119" s="417"/>
      <c r="D119" s="417"/>
      <c r="E119" s="417"/>
      <c r="F119" s="417"/>
      <c r="G119" s="417"/>
      <c r="H119" s="417"/>
      <c r="I119" s="417"/>
      <c r="J119" s="417"/>
      <c r="K119" s="417"/>
      <c r="L119" s="417"/>
      <c r="M119" s="417"/>
      <c r="N119" s="417"/>
      <c r="O119" s="36"/>
      <c r="P119" s="65"/>
      <c r="Q119" s="65"/>
      <c r="R119" s="65"/>
      <c r="S119" s="65"/>
      <c r="T119" s="65"/>
      <c r="U119" s="65"/>
      <c r="V119" s="65"/>
      <c r="W119" s="65"/>
      <c r="X119" s="317"/>
      <c r="Y119" s="317"/>
    </row>
    <row r="120" spans="1:25" s="316" customFormat="1" ht="5.0999999999999996" customHeight="1" x14ac:dyDescent="0.2">
      <c r="A120" s="12"/>
      <c r="B120" s="417"/>
      <c r="C120" s="430"/>
      <c r="D120" s="14"/>
      <c r="E120" s="417"/>
      <c r="F120" s="417"/>
      <c r="G120" s="1025" t="str">
        <f>Translations!$B$400</f>
        <v>Click "+" to add more methods &amp; laboratories</v>
      </c>
      <c r="H120" s="1026"/>
      <c r="I120" s="1026"/>
      <c r="J120" s="1026"/>
      <c r="K120" s="1027"/>
      <c r="L120" s="417"/>
      <c r="M120" s="322"/>
      <c r="N120" s="417"/>
      <c r="O120" s="36"/>
      <c r="P120" s="65"/>
      <c r="Q120" s="65"/>
      <c r="R120" s="65"/>
      <c r="S120" s="65"/>
      <c r="T120" s="65"/>
      <c r="U120" s="369"/>
      <c r="V120" s="65"/>
      <c r="W120" s="65"/>
      <c r="X120" s="317"/>
      <c r="Y120" s="317"/>
    </row>
    <row r="121" spans="1:25" s="316" customFormat="1" ht="12.75" customHeight="1" x14ac:dyDescent="0.2">
      <c r="A121" s="12"/>
      <c r="B121" s="417"/>
      <c r="C121" s="430"/>
      <c r="D121" s="14"/>
      <c r="E121" s="417"/>
      <c r="F121" s="417"/>
      <c r="G121" s="1028"/>
      <c r="H121" s="1029"/>
      <c r="I121" s="1029"/>
      <c r="J121" s="1029"/>
      <c r="K121" s="854"/>
      <c r="L121" s="417"/>
      <c r="M121" s="322"/>
      <c r="N121" s="417"/>
      <c r="O121" s="36"/>
      <c r="P121" s="65"/>
      <c r="Q121" s="65"/>
      <c r="R121" s="65"/>
      <c r="S121" s="65"/>
      <c r="T121" s="65"/>
      <c r="U121" s="369"/>
      <c r="V121" s="65"/>
      <c r="W121" s="65"/>
      <c r="X121" s="317"/>
      <c r="Y121" s="317"/>
    </row>
    <row r="122" spans="1:25" s="316" customFormat="1" ht="5.0999999999999996" customHeight="1" x14ac:dyDescent="0.2">
      <c r="A122" s="12"/>
      <c r="B122" s="417"/>
      <c r="C122" s="430"/>
      <c r="D122" s="14"/>
      <c r="E122" s="417"/>
      <c r="F122" s="417"/>
      <c r="G122" s="1030"/>
      <c r="H122" s="1031"/>
      <c r="I122" s="1031"/>
      <c r="J122" s="1031"/>
      <c r="K122" s="1032"/>
      <c r="L122" s="417"/>
      <c r="M122" s="322"/>
      <c r="N122" s="417"/>
      <c r="O122" s="36"/>
      <c r="P122" s="65"/>
      <c r="Q122" s="65"/>
      <c r="R122" s="65"/>
      <c r="S122" s="65"/>
      <c r="T122" s="65"/>
      <c r="U122" s="369"/>
      <c r="V122" s="65"/>
      <c r="W122" s="65"/>
      <c r="X122" s="317"/>
      <c r="Y122" s="317"/>
    </row>
    <row r="123" spans="1:25" ht="12.75" customHeight="1" x14ac:dyDescent="0.2">
      <c r="B123" s="417"/>
      <c r="C123" s="417"/>
      <c r="D123" s="441"/>
      <c r="E123" s="411"/>
      <c r="F123" s="411"/>
      <c r="G123" s="411"/>
      <c r="H123" s="411"/>
      <c r="I123" s="411"/>
      <c r="J123" s="411"/>
      <c r="K123" s="411"/>
      <c r="L123" s="411"/>
      <c r="M123" s="417"/>
      <c r="N123" s="417"/>
      <c r="O123" s="36"/>
      <c r="P123" s="23"/>
      <c r="Q123" s="23"/>
      <c r="R123" s="23"/>
      <c r="S123" s="23"/>
      <c r="T123" s="23"/>
      <c r="U123" s="23"/>
      <c r="V123" s="23"/>
      <c r="W123" s="23"/>
    </row>
    <row r="124" spans="1:25" ht="5.0999999999999996" customHeight="1" x14ac:dyDescent="0.2">
      <c r="B124" s="417"/>
      <c r="C124" s="417"/>
      <c r="D124" s="441"/>
      <c r="E124" s="411"/>
      <c r="F124" s="411"/>
      <c r="G124" s="411"/>
      <c r="H124" s="411"/>
      <c r="I124" s="411"/>
      <c r="J124" s="411"/>
      <c r="K124" s="411"/>
      <c r="L124" s="411"/>
      <c r="M124" s="417"/>
      <c r="N124" s="417"/>
      <c r="O124" s="36"/>
      <c r="P124" s="23"/>
      <c r="Q124" s="23"/>
      <c r="R124" s="23"/>
      <c r="S124" s="23"/>
      <c r="T124" s="23"/>
      <c r="U124" s="23"/>
      <c r="V124" s="23"/>
      <c r="W124" s="23"/>
    </row>
    <row r="125" spans="1:25" s="34" customFormat="1" ht="18.75" customHeight="1" x14ac:dyDescent="0.2">
      <c r="A125" s="248"/>
      <c r="B125" s="414"/>
      <c r="C125" s="53">
        <v>10</v>
      </c>
      <c r="D125" s="884" t="str">
        <f>Translations!$B$22</f>
        <v>Details for measurement points</v>
      </c>
      <c r="E125" s="884"/>
      <c r="F125" s="884"/>
      <c r="G125" s="884"/>
      <c r="H125" s="884"/>
      <c r="I125" s="884"/>
      <c r="J125" s="884"/>
      <c r="K125" s="884"/>
      <c r="L125" s="884"/>
      <c r="M125" s="884"/>
      <c r="N125" s="884"/>
      <c r="O125" s="36"/>
      <c r="P125" s="23"/>
      <c r="Q125" s="23"/>
      <c r="R125" s="23"/>
      <c r="S125" s="23"/>
      <c r="T125" s="23"/>
      <c r="U125" s="23"/>
      <c r="V125" s="23"/>
      <c r="W125" s="23"/>
      <c r="X125" s="248"/>
      <c r="Y125" s="248"/>
    </row>
    <row r="126" spans="1:25" ht="12.75" customHeight="1" x14ac:dyDescent="0.2">
      <c r="B126" s="417"/>
      <c r="C126" s="417"/>
      <c r="D126" s="441"/>
      <c r="E126" s="411"/>
      <c r="F126" s="411"/>
      <c r="G126" s="411"/>
      <c r="H126" s="411"/>
      <c r="I126" s="411"/>
      <c r="J126" s="411"/>
      <c r="K126" s="411"/>
      <c r="L126" s="411"/>
      <c r="M126" s="417"/>
      <c r="N126" s="417"/>
      <c r="O126" s="36"/>
      <c r="P126" s="23"/>
      <c r="Q126" s="23"/>
      <c r="R126" s="23"/>
      <c r="S126" s="23"/>
      <c r="T126" s="23"/>
      <c r="U126" s="23"/>
      <c r="V126" s="23"/>
      <c r="W126" s="23"/>
    </row>
    <row r="127" spans="1:25" ht="12.75" customHeight="1" x14ac:dyDescent="0.2">
      <c r="B127" s="417"/>
      <c r="C127" s="417"/>
      <c r="D127" s="769" t="str">
        <f>Translations!$B$579</f>
        <v>Please note that the guiding text is only displayed for the first measurement point.</v>
      </c>
      <c r="E127" s="767"/>
      <c r="F127" s="767"/>
      <c r="G127" s="767"/>
      <c r="H127" s="767"/>
      <c r="I127" s="767"/>
      <c r="J127" s="767"/>
      <c r="K127" s="767"/>
      <c r="L127" s="767"/>
      <c r="M127" s="767"/>
      <c r="N127" s="767"/>
      <c r="O127" s="36"/>
      <c r="P127" s="23"/>
      <c r="Q127" s="23"/>
      <c r="R127" s="23"/>
      <c r="S127" s="23"/>
      <c r="T127" s="23"/>
      <c r="U127" s="23"/>
      <c r="V127" s="23"/>
      <c r="W127" s="23"/>
    </row>
    <row r="128" spans="1:25" ht="12.75" customHeight="1" x14ac:dyDescent="0.2">
      <c r="B128" s="417"/>
      <c r="C128" s="417"/>
      <c r="D128" s="769" t="str">
        <f>Translations!$B$580</f>
        <v>If you want to display data for further measurement points, please click on the "+" signs at the left (data grouping function).</v>
      </c>
      <c r="E128" s="767"/>
      <c r="F128" s="767"/>
      <c r="G128" s="767"/>
      <c r="H128" s="767"/>
      <c r="I128" s="767"/>
      <c r="J128" s="767"/>
      <c r="K128" s="767"/>
      <c r="L128" s="767"/>
      <c r="M128" s="767"/>
      <c r="N128" s="767"/>
      <c r="O128" s="36"/>
      <c r="P128" s="23"/>
      <c r="Q128" s="23"/>
      <c r="R128" s="23"/>
      <c r="S128" s="23"/>
      <c r="T128" s="23"/>
      <c r="U128" s="23"/>
      <c r="V128" s="23"/>
      <c r="W128" s="23"/>
    </row>
    <row r="129" spans="1:25" ht="12.75" customHeight="1" x14ac:dyDescent="0.2">
      <c r="B129" s="417"/>
      <c r="C129" s="417"/>
      <c r="D129" s="769" t="str">
        <f>Translations!$B$581</f>
        <v>For adding further measurement points, please go to section 6.d in sheet C_InstallationDescription, and use the macro there.</v>
      </c>
      <c r="E129" s="767"/>
      <c r="F129" s="767"/>
      <c r="G129" s="767"/>
      <c r="H129" s="767"/>
      <c r="I129" s="767"/>
      <c r="J129" s="767"/>
      <c r="K129" s="767"/>
      <c r="L129" s="767"/>
      <c r="M129" s="767"/>
      <c r="N129" s="767"/>
      <c r="O129" s="36"/>
      <c r="P129" s="23"/>
      <c r="Q129" s="23"/>
      <c r="R129" s="23"/>
      <c r="S129" s="23"/>
      <c r="T129" s="23"/>
      <c r="U129" s="23"/>
      <c r="V129" s="23"/>
      <c r="W129" s="23"/>
    </row>
    <row r="130" spans="1:25" ht="12.75" customHeight="1" x14ac:dyDescent="0.2">
      <c r="B130" s="417"/>
      <c r="C130" s="417"/>
      <c r="D130" s="769" t="str">
        <f>Translations!$B$135</f>
        <v>For showing/hiding examples, press the "Examples" button in the navigation area.</v>
      </c>
      <c r="E130" s="767"/>
      <c r="F130" s="767"/>
      <c r="G130" s="767"/>
      <c r="H130" s="767"/>
      <c r="I130" s="767"/>
      <c r="J130" s="767"/>
      <c r="K130" s="767"/>
      <c r="L130" s="767"/>
      <c r="M130" s="767"/>
      <c r="N130" s="767"/>
      <c r="O130" s="36"/>
      <c r="P130" s="23"/>
      <c r="Q130" s="23"/>
      <c r="R130" s="23"/>
      <c r="S130" s="23"/>
      <c r="T130" s="23"/>
      <c r="U130" s="23"/>
      <c r="V130" s="23"/>
      <c r="W130" s="23"/>
    </row>
    <row r="131" spans="1:25" ht="12.75" customHeight="1" x14ac:dyDescent="0.2">
      <c r="B131" s="417"/>
      <c r="C131" s="417"/>
      <c r="D131" s="769" t="str">
        <f>Translations!$B$582</f>
        <v>The example is integrated in the first measurement point.</v>
      </c>
      <c r="E131" s="767"/>
      <c r="F131" s="767"/>
      <c r="G131" s="767"/>
      <c r="H131" s="767"/>
      <c r="I131" s="767"/>
      <c r="J131" s="767"/>
      <c r="K131" s="767"/>
      <c r="L131" s="767"/>
      <c r="M131" s="767"/>
      <c r="N131" s="767"/>
      <c r="O131" s="36"/>
      <c r="P131" s="23"/>
      <c r="Q131" s="23"/>
      <c r="R131" s="23"/>
      <c r="S131" s="23"/>
      <c r="T131" s="23"/>
      <c r="U131" s="23"/>
      <c r="V131" s="23"/>
      <c r="W131" s="23"/>
    </row>
    <row r="132" spans="1:25" ht="12.75" customHeight="1" x14ac:dyDescent="0.2">
      <c r="B132" s="417"/>
      <c r="C132" s="417"/>
      <c r="D132" s="441"/>
      <c r="E132" s="411"/>
      <c r="F132" s="411"/>
      <c r="G132" s="411"/>
      <c r="H132" s="411"/>
      <c r="I132" s="411"/>
      <c r="J132" s="411"/>
      <c r="K132" s="411"/>
      <c r="L132" s="411"/>
      <c r="M132" s="417"/>
      <c r="N132" s="417"/>
      <c r="O132" s="36"/>
      <c r="P132" s="23"/>
      <c r="Q132" s="23"/>
      <c r="R132" s="23"/>
      <c r="S132" s="23"/>
      <c r="T132" s="23"/>
      <c r="U132" s="23"/>
      <c r="V132" s="23"/>
      <c r="W132" s="23"/>
    </row>
    <row r="133" spans="1:25" ht="12.75" customHeight="1" thickBot="1" x14ac:dyDescent="0.25">
      <c r="B133" s="417"/>
      <c r="C133" s="54"/>
      <c r="D133" s="55"/>
      <c r="E133" s="56"/>
      <c r="F133" s="54"/>
      <c r="G133" s="57"/>
      <c r="H133" s="57"/>
      <c r="I133" s="57"/>
      <c r="J133" s="57"/>
      <c r="K133" s="57"/>
      <c r="L133" s="57"/>
      <c r="M133" s="57"/>
      <c r="N133" s="57"/>
      <c r="O133" s="36"/>
      <c r="P133" s="23"/>
      <c r="Q133" s="23"/>
      <c r="R133" s="23"/>
      <c r="S133" s="23"/>
      <c r="T133" s="23"/>
      <c r="U133" s="23"/>
      <c r="V133" s="23"/>
      <c r="W133" s="23"/>
    </row>
    <row r="134" spans="1:25" ht="12.75" customHeight="1" thickBot="1" x14ac:dyDescent="0.25">
      <c r="B134" s="417"/>
      <c r="C134" s="417"/>
      <c r="D134" s="441"/>
      <c r="E134" s="411"/>
      <c r="F134" s="411"/>
      <c r="G134" s="411"/>
      <c r="H134" s="411"/>
      <c r="I134" s="411"/>
      <c r="J134" s="411"/>
      <c r="K134" s="411"/>
      <c r="L134" s="411"/>
      <c r="M134" s="417"/>
      <c r="N134" s="417"/>
      <c r="O134" s="36"/>
      <c r="P134" s="23"/>
      <c r="Q134" s="23"/>
      <c r="R134" s="23"/>
      <c r="S134" s="23"/>
      <c r="T134" s="23"/>
      <c r="U134" s="23"/>
      <c r="V134" s="23"/>
      <c r="W134" s="23"/>
      <c r="Y134" s="65" t="s">
        <v>727</v>
      </c>
    </row>
    <row r="135" spans="1:25" s="186" customFormat="1" ht="15" customHeight="1" thickBot="1" x14ac:dyDescent="0.25">
      <c r="A135" s="248"/>
      <c r="B135" s="34"/>
      <c r="C135" s="35" t="str">
        <f>"M"&amp;Q135</f>
        <v>M1</v>
      </c>
      <c r="D135" s="1040" t="str">
        <f>CONCATENATE(EUconst_MeasurementPoint," ",Q135,":")</f>
        <v>Measurement Point 1:</v>
      </c>
      <c r="E135" s="1040"/>
      <c r="F135" s="1040"/>
      <c r="G135" s="1066"/>
      <c r="H135" s="1067" t="str">
        <f>IF(INDEX(C_InstallationDescription!$F$171:$F$176,MATCH(C135,C_InstallationDescription!$E$171:$E$176,0))&gt;0,INDEX(C_InstallationDescription!$F$171:$F$176,MATCH(C135,C_InstallationDescription!$E$171:$E$176,0)),"")</f>
        <v/>
      </c>
      <c r="I135" s="1067"/>
      <c r="J135" s="1067"/>
      <c r="K135" s="1067"/>
      <c r="L135" s="1068"/>
      <c r="M135" s="1069" t="str">
        <f>IF(U135=TRUE,V135,"")</f>
        <v/>
      </c>
      <c r="N135" s="1070"/>
      <c r="O135" s="36"/>
      <c r="P135" s="252"/>
      <c r="Q135" s="33">
        <v>1</v>
      </c>
      <c r="R135" s="37"/>
      <c r="S135" s="40" t="b">
        <f>IF(INDEX(C_InstallationDescription!$M:$M,MATCH(Q137,C_InstallationDescription!$Q:$Q,0))="",FALSE,TRUE)</f>
        <v>0</v>
      </c>
      <c r="T135" s="372" t="str">
        <f>IF(S135=TRUE,INDEX(C_InstallationDescription!$M:$M,MATCH(Q137,C_InstallationDescription!$Q:$Q,0)),"")</f>
        <v/>
      </c>
      <c r="U135" s="40" t="b">
        <f>IF(INDEX(C_InstallationDescription!$N:$N,MATCH(Q137,C_InstallationDescription!$Q:$Q,0))="",FALSE,TRUE)</f>
        <v>0</v>
      </c>
      <c r="V135" s="372" t="str">
        <f>IF(U135=TRUE,INDEX(C_InstallationDescription!$N:$N,MATCH(Q137,C_InstallationDescription!$Q:$Q,0)),"")</f>
        <v/>
      </c>
      <c r="W135" s="37"/>
      <c r="X135" s="37"/>
      <c r="Y135" s="40" t="s">
        <v>420</v>
      </c>
    </row>
    <row r="136" spans="1:25" s="24" customFormat="1" ht="5.0999999999999996" customHeight="1" thickBot="1" x14ac:dyDescent="0.25">
      <c r="A136" s="65"/>
      <c r="B136" s="8"/>
      <c r="C136" s="8"/>
      <c r="D136" s="10"/>
      <c r="E136" s="8"/>
      <c r="F136" s="8"/>
      <c r="G136" s="8"/>
      <c r="H136" s="8"/>
      <c r="I136" s="8"/>
      <c r="J136" s="8"/>
      <c r="K136" s="8"/>
      <c r="L136" s="8"/>
      <c r="M136" s="7"/>
      <c r="N136" s="7"/>
      <c r="O136" s="36"/>
      <c r="P136" s="12"/>
      <c r="Q136" s="12"/>
      <c r="R136" s="23"/>
      <c r="S136" s="23"/>
      <c r="T136" s="23"/>
      <c r="U136" s="23"/>
      <c r="V136" s="23"/>
      <c r="W136" s="23"/>
      <c r="X136" s="23"/>
      <c r="Y136" s="23"/>
    </row>
    <row r="137" spans="1:25" s="24" customFormat="1" ht="13.5" thickBot="1" x14ac:dyDescent="0.25">
      <c r="A137" s="23"/>
      <c r="D137" s="13" t="s">
        <v>1018</v>
      </c>
      <c r="E137" s="825" t="str">
        <f>Translations!$B$583</f>
        <v>Operation type:</v>
      </c>
      <c r="F137" s="825"/>
      <c r="G137" s="1100"/>
      <c r="H137" s="1101"/>
      <c r="I137" s="1101"/>
      <c r="J137" s="1101"/>
      <c r="K137" s="14"/>
      <c r="L137" s="14"/>
      <c r="M137" s="1069" t="str">
        <f>IF(S135=TRUE,T135,"")</f>
        <v/>
      </c>
      <c r="N137" s="1070"/>
      <c r="O137" s="36"/>
      <c r="P137" s="23"/>
      <c r="Q137" s="32" t="str">
        <f>EUconst_CNTR_SourceCategory&amp;C135</f>
        <v>SourceCategory_M1</v>
      </c>
      <c r="R137" s="23"/>
      <c r="S137" s="23"/>
      <c r="T137" s="23"/>
      <c r="U137" s="23"/>
      <c r="V137" s="23"/>
      <c r="W137" s="23"/>
      <c r="X137" s="23"/>
      <c r="Y137" s="23"/>
    </row>
    <row r="138" spans="1:25" s="24" customFormat="1" ht="5.0999999999999996" customHeight="1" thickBot="1" x14ac:dyDescent="0.25">
      <c r="A138" s="12" t="s">
        <v>1373</v>
      </c>
      <c r="B138" s="8"/>
      <c r="C138" s="8"/>
      <c r="D138" s="10"/>
      <c r="E138" s="8"/>
      <c r="F138" s="8"/>
      <c r="G138" s="8"/>
      <c r="H138" s="8"/>
      <c r="I138" s="8"/>
      <c r="J138" s="8"/>
      <c r="K138" s="8"/>
      <c r="L138" s="8"/>
      <c r="M138" s="7"/>
      <c r="N138" s="7"/>
      <c r="O138" s="36"/>
      <c r="P138" s="12"/>
      <c r="Q138" s="12"/>
      <c r="R138" s="23"/>
      <c r="S138" s="23"/>
      <c r="T138" s="23"/>
      <c r="U138" s="23"/>
      <c r="V138" s="23"/>
      <c r="W138" s="23"/>
      <c r="X138" s="23"/>
      <c r="Y138" s="23"/>
    </row>
    <row r="139" spans="1:25" s="186" customFormat="1" ht="15" customHeight="1" thickBot="1" x14ac:dyDescent="0.25">
      <c r="A139" s="12" t="s">
        <v>1373</v>
      </c>
      <c r="B139" s="34"/>
      <c r="C139" s="35"/>
      <c r="D139" s="1127" t="str">
        <f>Translations!$B$452</f>
        <v>Example data:</v>
      </c>
      <c r="E139" s="1127"/>
      <c r="F139" s="1127"/>
      <c r="G139" s="1128"/>
      <c r="H139" s="1129" t="str">
        <f>Translations!$B$279</f>
        <v>Stack of coal fired boiler, measurement platform A</v>
      </c>
      <c r="I139" s="1129"/>
      <c r="J139" s="1129"/>
      <c r="K139" s="1129"/>
      <c r="L139" s="1130"/>
      <c r="M139" s="1106" t="s">
        <v>1588</v>
      </c>
      <c r="N139" s="1107"/>
      <c r="O139" s="36"/>
      <c r="P139" s="252"/>
      <c r="Q139" s="23"/>
      <c r="R139" s="23"/>
      <c r="S139" s="23"/>
      <c r="T139" s="23"/>
      <c r="U139" s="23"/>
      <c r="V139" s="23"/>
      <c r="W139" s="37"/>
      <c r="X139" s="37"/>
      <c r="Y139" s="37"/>
    </row>
    <row r="140" spans="1:25" s="24" customFormat="1" ht="5.0999999999999996" customHeight="1" thickBot="1" x14ac:dyDescent="0.25">
      <c r="A140" s="12" t="s">
        <v>1373</v>
      </c>
      <c r="B140" s="8"/>
      <c r="C140" s="8"/>
      <c r="D140" s="10"/>
      <c r="E140" s="8"/>
      <c r="F140" s="8"/>
      <c r="G140" s="8"/>
      <c r="H140" s="8"/>
      <c r="I140" s="8"/>
      <c r="J140" s="8"/>
      <c r="K140" s="8"/>
      <c r="L140" s="8"/>
      <c r="M140" s="7"/>
      <c r="N140" s="7"/>
      <c r="O140" s="36"/>
      <c r="P140" s="12"/>
      <c r="Q140" s="23"/>
      <c r="R140" s="23"/>
      <c r="S140" s="23"/>
      <c r="T140" s="23"/>
      <c r="U140" s="23"/>
      <c r="V140" s="23"/>
      <c r="W140" s="23"/>
      <c r="X140" s="23"/>
      <c r="Y140" s="23"/>
    </row>
    <row r="141" spans="1:25" s="24" customFormat="1" ht="13.5" thickBot="1" x14ac:dyDescent="0.25">
      <c r="A141" s="12" t="s">
        <v>1373</v>
      </c>
      <c r="D141" s="13"/>
      <c r="E141" s="825"/>
      <c r="F141" s="825"/>
      <c r="G141" s="1100"/>
      <c r="H141" s="1089" t="str">
        <f>Translations!$B$584</f>
        <v>Typical and non-typical operation</v>
      </c>
      <c r="I141" s="1089"/>
      <c r="J141" s="1089"/>
      <c r="K141" s="14"/>
      <c r="L141" s="14"/>
      <c r="M141" s="1106" t="str">
        <f>Translations!$B$313</f>
        <v>Major</v>
      </c>
      <c r="N141" s="1107"/>
      <c r="O141" s="36"/>
      <c r="P141" s="23"/>
      <c r="Q141" s="23"/>
      <c r="R141" s="23"/>
      <c r="S141" s="23"/>
      <c r="T141" s="23"/>
      <c r="U141" s="23"/>
      <c r="V141" s="23"/>
      <c r="W141" s="23"/>
      <c r="X141" s="23"/>
      <c r="Y141" s="23"/>
    </row>
    <row r="142" spans="1:25" s="24" customFormat="1" ht="5.0999999999999996" customHeight="1" x14ac:dyDescent="0.2">
      <c r="A142" s="12" t="s">
        <v>1373</v>
      </c>
      <c r="B142" s="8"/>
      <c r="C142" s="8"/>
      <c r="D142" s="10"/>
      <c r="E142" s="8"/>
      <c r="F142" s="8"/>
      <c r="G142" s="8"/>
      <c r="H142" s="8"/>
      <c r="I142" s="8"/>
      <c r="J142" s="8"/>
      <c r="K142" s="8"/>
      <c r="L142" s="8"/>
      <c r="M142" s="7"/>
      <c r="N142" s="7"/>
      <c r="O142" s="36"/>
      <c r="P142" s="12"/>
      <c r="Q142" s="12"/>
      <c r="R142" s="23"/>
      <c r="S142" s="23"/>
      <c r="T142" s="23"/>
      <c r="U142" s="23"/>
      <c r="V142" s="23"/>
      <c r="W142" s="23"/>
      <c r="X142" s="23"/>
      <c r="Y142" s="23"/>
    </row>
    <row r="143" spans="1:25" s="24" customFormat="1" ht="25.5" customHeight="1" x14ac:dyDescent="0.2">
      <c r="A143" s="23"/>
      <c r="D143" s="13"/>
      <c r="E143" s="869" t="str">
        <f>Translations!$B$585</f>
        <v>Please select here if this measurement point is an emission/measurement point during typical operation or non-typical operation (during restrictive and transition phases, including breakdown periods or commissioning phases).</v>
      </c>
      <c r="F143" s="869"/>
      <c r="G143" s="869"/>
      <c r="H143" s="869"/>
      <c r="I143" s="869"/>
      <c r="J143" s="869"/>
      <c r="K143" s="869"/>
      <c r="L143" s="869"/>
      <c r="M143" s="869"/>
      <c r="N143" s="869"/>
      <c r="O143" s="36"/>
      <c r="P143" s="23"/>
      <c r="Q143" s="23"/>
      <c r="R143" s="23"/>
      <c r="S143" s="23"/>
      <c r="T143" s="23"/>
      <c r="U143" s="23"/>
      <c r="V143" s="23"/>
      <c r="W143" s="6" t="s">
        <v>101</v>
      </c>
      <c r="X143" s="23"/>
      <c r="Y143" s="23"/>
    </row>
    <row r="144" spans="1:25" s="24" customFormat="1" ht="12.75" customHeight="1" x14ac:dyDescent="0.2">
      <c r="A144" s="23"/>
      <c r="D144" s="222"/>
      <c r="E144" s="869" t="str">
        <f>Translations!$B$586</f>
        <v>The information in the green fields is taken automatically from point 6(d) in sheet C_InstallationDescription.</v>
      </c>
      <c r="F144" s="869"/>
      <c r="G144" s="869"/>
      <c r="H144" s="869"/>
      <c r="I144" s="869"/>
      <c r="J144" s="869"/>
      <c r="K144" s="869"/>
      <c r="L144" s="869"/>
      <c r="M144" s="869"/>
      <c r="N144" s="869"/>
      <c r="O144" s="36"/>
      <c r="P144" s="23"/>
      <c r="Q144" s="23"/>
      <c r="R144" s="23"/>
      <c r="S144" s="23"/>
      <c r="T144" s="23"/>
      <c r="U144" s="23"/>
      <c r="V144" s="23"/>
      <c r="W144" s="23"/>
      <c r="X144" s="23"/>
      <c r="Y144" s="23"/>
    </row>
    <row r="145" spans="1:25" s="24" customFormat="1" ht="5.0999999999999996" customHeight="1" x14ac:dyDescent="0.2">
      <c r="A145" s="23"/>
      <c r="D145" s="222"/>
      <c r="O145" s="36"/>
      <c r="P145" s="23"/>
      <c r="Q145" s="23"/>
      <c r="R145" s="23"/>
      <c r="S145" s="23"/>
      <c r="T145" s="23"/>
      <c r="U145" s="23"/>
      <c r="V145" s="23"/>
      <c r="W145" s="23"/>
      <c r="X145" s="23"/>
      <c r="Y145" s="23"/>
    </row>
    <row r="146" spans="1:25" s="24" customFormat="1" ht="12.75" customHeight="1" x14ac:dyDescent="0.2">
      <c r="A146" s="23"/>
      <c r="D146" s="1040" t="str">
        <f>Translations!$B$446</f>
        <v>Automatic guidance on applicable tiers:</v>
      </c>
      <c r="E146" s="1040"/>
      <c r="F146" s="1040"/>
      <c r="G146" s="1040"/>
      <c r="H146" s="1040"/>
      <c r="I146" s="1040"/>
      <c r="J146" s="1040"/>
      <c r="K146" s="1040"/>
      <c r="L146" s="1040"/>
      <c r="M146" s="1040"/>
      <c r="N146" s="1040"/>
      <c r="O146" s="36"/>
      <c r="P146" s="23"/>
      <c r="Q146" s="23"/>
      <c r="R146" s="23"/>
      <c r="S146" s="23"/>
      <c r="T146" s="23"/>
      <c r="U146" s="23"/>
      <c r="V146" s="23"/>
      <c r="W146" s="23"/>
      <c r="X146" s="23"/>
      <c r="Y146" s="23"/>
    </row>
    <row r="147" spans="1:25" s="24" customFormat="1" ht="5.0999999999999996" customHeight="1" x14ac:dyDescent="0.2">
      <c r="A147" s="23"/>
      <c r="D147" s="13"/>
      <c r="E147" s="129"/>
      <c r="F147" s="129"/>
      <c r="G147" s="129"/>
      <c r="H147" s="129"/>
      <c r="I147" s="129"/>
      <c r="J147" s="129"/>
      <c r="K147" s="129"/>
      <c r="L147" s="129"/>
      <c r="M147" s="129"/>
      <c r="N147" s="129"/>
      <c r="O147" s="36"/>
      <c r="P147" s="23"/>
      <c r="Q147" s="23"/>
      <c r="R147" s="23"/>
      <c r="S147" s="23"/>
      <c r="T147" s="23"/>
      <c r="U147" s="23"/>
      <c r="V147" s="23"/>
      <c r="W147" s="23"/>
      <c r="X147" s="23"/>
      <c r="Y147" s="23"/>
    </row>
    <row r="148" spans="1:25" s="24" customFormat="1" ht="25.5" customHeight="1" x14ac:dyDescent="0.2">
      <c r="A148" s="23"/>
      <c r="D148" s="13"/>
      <c r="E148" s="869" t="str">
        <f>Translations!$B$587</f>
        <v>Below in the green fields the required tiers for measurement based approaches are displayed based on your inputs in sections 5(d), and 6(d). Those are the minimum tiers for major emission sources. However, lower requirements may be allowed. An appropriate guidance will be displayed in the green text box below, depending on the following points:</v>
      </c>
      <c r="F148" s="869"/>
      <c r="G148" s="869"/>
      <c r="H148" s="869"/>
      <c r="I148" s="869"/>
      <c r="J148" s="869"/>
      <c r="K148" s="869"/>
      <c r="L148" s="869"/>
      <c r="M148" s="869"/>
      <c r="N148" s="869"/>
      <c r="O148" s="36"/>
      <c r="P148" s="23"/>
      <c r="Q148" s="23"/>
      <c r="R148" s="23"/>
      <c r="S148" s="23"/>
      <c r="T148" s="23"/>
      <c r="U148" s="23"/>
      <c r="V148" s="23"/>
      <c r="W148" s="23"/>
      <c r="X148" s="23"/>
      <c r="Y148" s="23"/>
    </row>
    <row r="149" spans="1:25" s="24" customFormat="1" ht="25.5" customHeight="1" x14ac:dyDescent="0.2">
      <c r="A149" s="23"/>
      <c r="D149" s="13"/>
      <c r="E149" s="49" t="s">
        <v>1292</v>
      </c>
      <c r="F149" s="869" t="str">
        <f>Translations!$B$588</f>
        <v>Reduced requirements apply to emission sources which emit less than 5 000 tonnes of CO2(e) per year, or which contributes less than 10% of the total annual emissions of the installation, whichever is higher pursuant to Article 41(1).</v>
      </c>
      <c r="G149" s="869"/>
      <c r="H149" s="869"/>
      <c r="I149" s="869"/>
      <c r="J149" s="869"/>
      <c r="K149" s="869"/>
      <c r="L149" s="869"/>
      <c r="M149" s="869"/>
      <c r="N149" s="869"/>
      <c r="O149" s="36"/>
      <c r="P149" s="23"/>
      <c r="Q149" s="23"/>
      <c r="R149" s="23"/>
      <c r="S149" s="23"/>
      <c r="T149" s="23"/>
      <c r="U149" s="23"/>
      <c r="V149" s="23"/>
      <c r="W149" s="23"/>
      <c r="X149" s="23"/>
      <c r="Y149" s="23"/>
    </row>
    <row r="150" spans="1:25" s="24" customFormat="1" ht="5.0999999999999996" customHeight="1" x14ac:dyDescent="0.2">
      <c r="A150" s="23"/>
      <c r="D150" s="13"/>
      <c r="O150" s="36"/>
      <c r="P150" s="23"/>
      <c r="Q150" s="23"/>
      <c r="R150" s="23"/>
      <c r="S150" s="23"/>
      <c r="T150" s="23"/>
      <c r="U150" s="23"/>
      <c r="V150" s="23"/>
      <c r="W150" s="23"/>
      <c r="X150" s="23"/>
      <c r="Y150" s="23"/>
    </row>
    <row r="151" spans="1:25" s="24" customFormat="1" ht="60" customHeight="1" x14ac:dyDescent="0.2">
      <c r="A151" s="23"/>
      <c r="D151" s="13"/>
      <c r="E151" s="1063" t="str">
        <f>IF(H135="","",INDEX(EUconst_CEMSTiersMsg,MATCH(Q151,EUconst_CEMSTiers,0)))</f>
        <v/>
      </c>
      <c r="F151" s="1064"/>
      <c r="G151" s="1064"/>
      <c r="H151" s="1064"/>
      <c r="I151" s="1064"/>
      <c r="J151" s="1064"/>
      <c r="K151" s="1064"/>
      <c r="L151" s="1064"/>
      <c r="M151" s="1064"/>
      <c r="N151" s="1065"/>
      <c r="O151" s="36"/>
      <c r="P151" s="6"/>
      <c r="Q151" s="207" t="str">
        <f>IF(CNTR_SmallEmitter=TRUE,EUconst_CNTR_SmallEmitter,EUconst_CNTR_NoSmallEmitter) &amp; "_" &amp; IF(M137="",1,MATCH(M137,SourceCategoryCEMS,0))</f>
        <v>NoSmallEmitter__1</v>
      </c>
      <c r="R151" s="23"/>
      <c r="S151" s="23"/>
      <c r="T151" s="23"/>
      <c r="U151" s="23"/>
      <c r="V151" s="23"/>
      <c r="W151" s="23"/>
      <c r="X151" s="23"/>
      <c r="Y151" s="23"/>
    </row>
    <row r="152" spans="1:25" s="24" customFormat="1" ht="60" customHeight="1" x14ac:dyDescent="0.2">
      <c r="A152" s="12" t="s">
        <v>1373</v>
      </c>
      <c r="D152" s="13"/>
      <c r="E152" s="1086" t="str">
        <f>Translations!$B$589</f>
        <v>Article 41: The minimum tier displayed below shall apply.
Only where you can demonstrate to the satisfaction of the competent authority that application of the tier required is technically not feasible or incurs unreasonable costs, and application of a calculation methodology using the tier levels required by Article 26 is technically not feasible or incurs unreasonable costs, a next lower tier may be used, with a minimum of tier 1.</v>
      </c>
      <c r="F152" s="1087"/>
      <c r="G152" s="1087"/>
      <c r="H152" s="1087"/>
      <c r="I152" s="1087"/>
      <c r="J152" s="1087"/>
      <c r="K152" s="1087"/>
      <c r="L152" s="1087"/>
      <c r="M152" s="1087"/>
      <c r="N152" s="1088"/>
      <c r="O152" s="36"/>
      <c r="P152" s="6"/>
      <c r="Q152" s="23"/>
      <c r="R152" s="23"/>
      <c r="S152" s="23"/>
      <c r="T152" s="23"/>
      <c r="U152" s="23"/>
      <c r="V152" s="23"/>
      <c r="W152" s="23"/>
      <c r="X152" s="23"/>
      <c r="Y152" s="23"/>
    </row>
    <row r="153" spans="1:25" s="24" customFormat="1" ht="12.75" customHeight="1" x14ac:dyDescent="0.2">
      <c r="A153" s="23"/>
      <c r="D153" s="13"/>
      <c r="O153" s="36"/>
      <c r="P153" s="23"/>
      <c r="Q153" s="23"/>
      <c r="R153" s="23"/>
      <c r="S153" s="23"/>
      <c r="T153" s="23"/>
      <c r="U153" s="23"/>
      <c r="V153" s="23"/>
      <c r="W153" s="23"/>
      <c r="X153" s="23"/>
      <c r="Y153" s="23"/>
    </row>
    <row r="154" spans="1:25" s="24" customFormat="1" ht="15" customHeight="1" x14ac:dyDescent="0.2">
      <c r="A154" s="23"/>
      <c r="D154" s="1040" t="str">
        <f>Translations!$B$590</f>
        <v>Instruments and tier levels:</v>
      </c>
      <c r="E154" s="1040"/>
      <c r="F154" s="1040"/>
      <c r="G154" s="1040"/>
      <c r="H154" s="1040"/>
      <c r="I154" s="1040"/>
      <c r="J154" s="1040"/>
      <c r="K154" s="1040"/>
      <c r="L154" s="1040"/>
      <c r="M154" s="1040"/>
      <c r="N154" s="1040"/>
      <c r="O154" s="36"/>
      <c r="P154" s="23"/>
      <c r="Q154" s="23"/>
      <c r="R154" s="23"/>
      <c r="S154" s="23"/>
      <c r="T154" s="23"/>
      <c r="U154" s="23"/>
      <c r="V154" s="23"/>
      <c r="W154" s="23"/>
      <c r="X154" s="23"/>
      <c r="Y154" s="23"/>
    </row>
    <row r="155" spans="1:25" s="24" customFormat="1" ht="5.0999999999999996" customHeight="1" x14ac:dyDescent="0.2">
      <c r="A155" s="23"/>
      <c r="D155" s="13"/>
      <c r="O155" s="36"/>
      <c r="P155" s="23"/>
      <c r="Q155" s="23"/>
      <c r="R155" s="23"/>
      <c r="S155" s="23"/>
      <c r="T155" s="23"/>
      <c r="U155" s="23"/>
      <c r="V155" s="23"/>
      <c r="W155" s="23"/>
      <c r="X155" s="23"/>
      <c r="Y155" s="23"/>
    </row>
    <row r="156" spans="1:25" s="24" customFormat="1" ht="12.75" customHeight="1" x14ac:dyDescent="0.2">
      <c r="A156" s="23"/>
      <c r="D156" s="13" t="s">
        <v>1020</v>
      </c>
      <c r="E156" s="14" t="str">
        <f>Translations!$B$472</f>
        <v>Measurement instruments used:</v>
      </c>
      <c r="H156" s="215"/>
      <c r="I156" s="215"/>
      <c r="J156" s="215"/>
      <c r="K156" s="215"/>
      <c r="L156" s="215"/>
      <c r="O156" s="36"/>
      <c r="P156" s="23"/>
      <c r="Q156" s="23"/>
      <c r="R156" s="23"/>
      <c r="S156" s="23"/>
      <c r="T156" s="23"/>
      <c r="U156" s="23"/>
      <c r="V156" s="23"/>
      <c r="W156" s="23"/>
      <c r="X156" s="23"/>
      <c r="Y156" s="23"/>
    </row>
    <row r="157" spans="1:25" s="24" customFormat="1" ht="12.75" customHeight="1" x14ac:dyDescent="0.2">
      <c r="A157" s="12" t="s">
        <v>1373</v>
      </c>
      <c r="D157" s="1127"/>
      <c r="E157" s="1127"/>
      <c r="F157" s="1127"/>
      <c r="G157" s="1128"/>
      <c r="H157" s="258" t="str">
        <f>Translations!$B$591</f>
        <v>MM1: CO2</v>
      </c>
      <c r="I157" s="258" t="str">
        <f>Translations!$B$592</f>
        <v>MM2: Flow</v>
      </c>
      <c r="J157" s="258"/>
      <c r="K157" s="258"/>
      <c r="L157" s="258"/>
      <c r="M157" s="223"/>
      <c r="N157" s="223"/>
      <c r="O157" s="36"/>
      <c r="P157" s="23"/>
      <c r="Q157" s="23"/>
      <c r="R157" s="23"/>
      <c r="S157" s="23"/>
      <c r="T157" s="23"/>
      <c r="U157" s="23"/>
      <c r="V157" s="23"/>
      <c r="W157" s="23"/>
      <c r="X157" s="23"/>
      <c r="Y157" s="23"/>
    </row>
    <row r="158" spans="1:25" s="24" customFormat="1" ht="5.0999999999999996" customHeight="1" x14ac:dyDescent="0.2">
      <c r="A158" s="23"/>
      <c r="D158" s="13"/>
      <c r="E158" s="14"/>
      <c r="O158" s="36"/>
      <c r="P158" s="23"/>
      <c r="Q158" s="23"/>
      <c r="R158" s="23"/>
      <c r="S158" s="23"/>
      <c r="T158" s="23"/>
      <c r="U158" s="23"/>
      <c r="V158" s="23"/>
      <c r="W158" s="23"/>
      <c r="X158" s="23"/>
      <c r="Y158" s="23"/>
    </row>
    <row r="159" spans="1:25" s="24" customFormat="1" x14ac:dyDescent="0.2">
      <c r="A159" s="23"/>
      <c r="D159" s="13"/>
      <c r="E159" s="869" t="str">
        <f>Translations!$B$593</f>
        <v>Please select here one or more from the instruments which you have defined in section 9(c) above.</v>
      </c>
      <c r="F159" s="869"/>
      <c r="G159" s="869"/>
      <c r="H159" s="869"/>
      <c r="I159" s="869"/>
      <c r="J159" s="869"/>
      <c r="K159" s="869"/>
      <c r="L159" s="869"/>
      <c r="M159" s="869"/>
      <c r="N159" s="869"/>
      <c r="O159" s="36"/>
      <c r="P159" s="6"/>
      <c r="Q159" s="23"/>
      <c r="R159" s="23"/>
      <c r="S159" s="23"/>
      <c r="T159" s="23"/>
      <c r="U159" s="23"/>
      <c r="V159" s="23"/>
      <c r="W159" s="23"/>
      <c r="X159" s="23"/>
      <c r="Y159" s="23"/>
    </row>
    <row r="160" spans="1:25" s="24" customFormat="1" ht="12.75" customHeight="1" x14ac:dyDescent="0.2">
      <c r="A160" s="23"/>
      <c r="D160" s="13"/>
      <c r="E160" s="869" t="str">
        <f>Translations!$B$594</f>
        <v>If more than 5 measurement instruments are used for this measurement point, please use the comment box below for further explanation.</v>
      </c>
      <c r="F160" s="869"/>
      <c r="G160" s="869"/>
      <c r="H160" s="869"/>
      <c r="I160" s="869"/>
      <c r="J160" s="869"/>
      <c r="K160" s="869"/>
      <c r="L160" s="869"/>
      <c r="M160" s="869"/>
      <c r="N160" s="869"/>
      <c r="O160" s="36"/>
      <c r="P160" s="6"/>
      <c r="Q160" s="23"/>
      <c r="R160" s="23"/>
      <c r="S160" s="23"/>
      <c r="T160" s="23"/>
      <c r="U160" s="23"/>
      <c r="V160" s="23"/>
      <c r="W160" s="23"/>
      <c r="X160" s="23"/>
      <c r="Y160" s="23"/>
    </row>
    <row r="161" spans="1:25" s="24" customFormat="1" ht="5.0999999999999996" customHeight="1" x14ac:dyDescent="0.2">
      <c r="A161" s="23"/>
      <c r="D161" s="13"/>
      <c r="E161" s="14"/>
      <c r="O161" s="36"/>
      <c r="P161" s="6"/>
      <c r="Q161" s="23"/>
      <c r="R161" s="23"/>
      <c r="S161" s="23"/>
      <c r="T161" s="23"/>
      <c r="U161" s="23"/>
      <c r="V161" s="23"/>
      <c r="W161" s="23"/>
      <c r="X161" s="23"/>
      <c r="Y161" s="23"/>
    </row>
    <row r="162" spans="1:25" s="24" customFormat="1" x14ac:dyDescent="0.2">
      <c r="A162" s="23"/>
      <c r="D162" s="13"/>
      <c r="E162" s="24" t="str">
        <f>Translations!$B$475</f>
        <v>Comment / Description of approach, if several instruments used:</v>
      </c>
      <c r="I162" s="11"/>
      <c r="O162" s="36"/>
      <c r="P162" s="23"/>
      <c r="Q162" s="23"/>
      <c r="R162" s="23"/>
      <c r="S162" s="23"/>
      <c r="T162" s="23"/>
      <c r="U162" s="23"/>
      <c r="V162" s="23"/>
      <c r="W162" s="23"/>
      <c r="X162" s="23"/>
      <c r="Y162" s="23"/>
    </row>
    <row r="163" spans="1:25" s="24" customFormat="1" ht="5.0999999999999996" customHeight="1" x14ac:dyDescent="0.2">
      <c r="A163" s="23"/>
      <c r="D163" s="13"/>
      <c r="E163" s="67"/>
      <c r="F163" s="67"/>
      <c r="G163" s="67"/>
      <c r="H163" s="67"/>
      <c r="I163" s="67"/>
      <c r="J163" s="67"/>
      <c r="K163" s="67"/>
      <c r="L163" s="67"/>
      <c r="M163" s="67"/>
      <c r="N163" s="67"/>
      <c r="O163" s="36"/>
      <c r="P163" s="6"/>
      <c r="Q163" s="23"/>
      <c r="R163" s="23"/>
      <c r="S163" s="23"/>
      <c r="T163" s="23"/>
      <c r="U163" s="23"/>
      <c r="V163" s="23"/>
      <c r="W163" s="23"/>
      <c r="X163" s="23"/>
      <c r="Y163" s="23"/>
    </row>
    <row r="164" spans="1:25" s="24" customFormat="1" ht="12.75" customHeight="1" x14ac:dyDescent="0.2">
      <c r="A164" s="23"/>
      <c r="D164" s="13"/>
      <c r="E164" s="1099"/>
      <c r="F164" s="1052"/>
      <c r="G164" s="1052"/>
      <c r="H164" s="1052"/>
      <c r="I164" s="1052"/>
      <c r="J164" s="1052"/>
      <c r="K164" s="1052"/>
      <c r="L164" s="1052"/>
      <c r="M164" s="1052"/>
      <c r="N164" s="1053"/>
      <c r="O164" s="36"/>
      <c r="P164" s="23"/>
      <c r="Q164" s="23"/>
      <c r="R164" s="23"/>
      <c r="S164" s="23"/>
      <c r="T164" s="23"/>
      <c r="U164" s="23"/>
      <c r="V164" s="23"/>
      <c r="W164" s="23"/>
      <c r="X164" s="23"/>
      <c r="Y164" s="23"/>
    </row>
    <row r="165" spans="1:25" s="24" customFormat="1" x14ac:dyDescent="0.2">
      <c r="A165" s="23"/>
      <c r="D165" s="13"/>
      <c r="E165" s="1054"/>
      <c r="F165" s="1055"/>
      <c r="G165" s="1055"/>
      <c r="H165" s="1055"/>
      <c r="I165" s="1055"/>
      <c r="J165" s="1055"/>
      <c r="K165" s="1055"/>
      <c r="L165" s="1055"/>
      <c r="M165" s="1055"/>
      <c r="N165" s="1056"/>
      <c r="O165" s="36"/>
      <c r="P165" s="23"/>
      <c r="Q165" s="23"/>
      <c r="R165" s="23"/>
      <c r="S165" s="23"/>
      <c r="T165" s="23"/>
      <c r="U165" s="23"/>
      <c r="V165" s="23"/>
      <c r="W165" s="23"/>
      <c r="X165" s="23"/>
      <c r="Y165" s="23"/>
    </row>
    <row r="166" spans="1:25" s="24" customFormat="1" x14ac:dyDescent="0.2">
      <c r="A166" s="23"/>
      <c r="D166" s="13"/>
      <c r="E166" s="1057"/>
      <c r="F166" s="1058"/>
      <c r="G166" s="1058"/>
      <c r="H166" s="1058"/>
      <c r="I166" s="1058"/>
      <c r="J166" s="1058"/>
      <c r="K166" s="1058"/>
      <c r="L166" s="1058"/>
      <c r="M166" s="1058"/>
      <c r="N166" s="1059"/>
      <c r="O166" s="36"/>
      <c r="P166" s="23"/>
      <c r="Q166" s="23"/>
      <c r="R166" s="23"/>
      <c r="S166" s="23"/>
      <c r="T166" s="23"/>
      <c r="U166" s="23"/>
      <c r="V166" s="23"/>
      <c r="W166" s="23"/>
      <c r="X166" s="23"/>
      <c r="Y166" s="23"/>
    </row>
    <row r="167" spans="1:25" s="24" customFormat="1" x14ac:dyDescent="0.2">
      <c r="A167" s="23"/>
      <c r="D167" s="13"/>
      <c r="O167" s="36"/>
      <c r="P167" s="23"/>
      <c r="Q167" s="23"/>
      <c r="R167" s="23"/>
      <c r="S167" s="23" t="s">
        <v>419</v>
      </c>
      <c r="T167" s="23"/>
      <c r="U167" s="23"/>
      <c r="V167" s="23"/>
      <c r="W167" s="23"/>
      <c r="X167" s="23"/>
      <c r="Y167" s="23"/>
    </row>
    <row r="168" spans="1:25" s="24" customFormat="1" x14ac:dyDescent="0.2">
      <c r="A168" s="23"/>
      <c r="D168" s="13" t="s">
        <v>554</v>
      </c>
      <c r="E168" s="14" t="str">
        <f>Translations!$B$595</f>
        <v>Tier level required:</v>
      </c>
      <c r="H168" s="30" t="str">
        <f>IF(H135="","",IF(CNTR_Category="A",INDEX(EUconst_CEMSMinimumTiers,MATCH(M135,EUconst_CEMSTypes,0)),INDEX(EUconst_CEMSHighestTiers,MATCH(M135,EUconst_CEMSTypes,0))))</f>
        <v/>
      </c>
      <c r="I168" s="26" t="str">
        <f>IF(H168="","",IF(S168=0,EUconst_NA,IF(ISERROR(S168),"",EUconst_MsgTierActivityLevel &amp; " " &amp;S168)))</f>
        <v/>
      </c>
      <c r="J168" s="27"/>
      <c r="K168" s="27"/>
      <c r="L168" s="27"/>
      <c r="M168" s="27"/>
      <c r="N168" s="28"/>
      <c r="O168" s="36"/>
      <c r="P168" s="23"/>
      <c r="Q168" s="65"/>
      <c r="R168" s="23"/>
      <c r="S168" s="32" t="str">
        <f>IF(H168="","",IF(H168=EUconst_NA,"",INDEX(EUwideConstants!$H$778:$O$781,MATCH(M135,EUconst_CEMSTypes,0),MATCH(H168,CNTR_TierList,0))))</f>
        <v/>
      </c>
      <c r="T168" s="23"/>
      <c r="U168" s="23"/>
      <c r="V168" s="23"/>
      <c r="W168" s="23"/>
      <c r="X168" s="23"/>
      <c r="Y168" s="23"/>
    </row>
    <row r="169" spans="1:25" s="24" customFormat="1" x14ac:dyDescent="0.2">
      <c r="A169" s="23"/>
      <c r="D169" s="13" t="s">
        <v>1022</v>
      </c>
      <c r="E169" s="14" t="str">
        <f>Translations!$B$596</f>
        <v>Tier used:</v>
      </c>
      <c r="H169" s="192"/>
      <c r="I169" s="26" t="str">
        <f>IF(OR(ISBLANK(H169),H169=EUconst_NoTier),"",IF(S169=EUconst_NA,EUconst_NA,IF(ISERROR(S169),"",EUconst_MsgTierActivityLevel &amp; " " &amp;S169)))</f>
        <v/>
      </c>
      <c r="J169" s="27"/>
      <c r="K169" s="27"/>
      <c r="L169" s="27"/>
      <c r="M169" s="27"/>
      <c r="N169" s="28"/>
      <c r="O169" s="36"/>
      <c r="P169" s="23"/>
      <c r="Q169" s="65"/>
      <c r="R169" s="23"/>
      <c r="S169" s="32" t="str">
        <f>IF(H169="","",IF(H169=EUconst_NA,"",INDEX(EUwideConstants!$H$778:$O$781,MATCH(M135,EUconst_CEMSTypes,0),MATCH(H169,CNTR_TierList,0))))</f>
        <v/>
      </c>
      <c r="T169" s="23"/>
      <c r="U169" s="23"/>
      <c r="V169" s="23"/>
      <c r="W169" s="23"/>
      <c r="X169" s="23"/>
      <c r="Y169" s="23"/>
    </row>
    <row r="170" spans="1:25" s="24" customFormat="1" x14ac:dyDescent="0.2">
      <c r="A170" s="23"/>
      <c r="D170" s="13" t="s">
        <v>1023</v>
      </c>
      <c r="E170" s="14" t="str">
        <f>Translations!$B$479</f>
        <v>Uncertainty achieved:</v>
      </c>
      <c r="H170" s="400"/>
      <c r="I170" s="14" t="str">
        <f>Translations!$B$480</f>
        <v>Comment:</v>
      </c>
      <c r="J170" s="578"/>
      <c r="K170" s="194"/>
      <c r="L170" s="194"/>
      <c r="M170" s="194"/>
      <c r="N170" s="195"/>
      <c r="O170" s="36"/>
      <c r="P170" s="23"/>
      <c r="Q170" s="23"/>
      <c r="R170" s="23"/>
      <c r="S170" s="23"/>
      <c r="T170" s="23"/>
      <c r="U170" s="23"/>
      <c r="V170" s="23"/>
      <c r="W170" s="23"/>
      <c r="X170" s="23"/>
      <c r="Y170" s="23"/>
    </row>
    <row r="171" spans="1:25" s="24" customFormat="1" ht="14.25" x14ac:dyDescent="0.2">
      <c r="A171" s="12" t="s">
        <v>1373</v>
      </c>
      <c r="D171" s="1127" t="str">
        <f>Translations!$B$452</f>
        <v>Example data:</v>
      </c>
      <c r="E171" s="1127"/>
      <c r="F171" s="1127"/>
      <c r="G171" s="1127"/>
      <c r="H171" s="67"/>
      <c r="I171" s="67"/>
      <c r="J171" s="67"/>
      <c r="K171" s="67"/>
      <c r="L171" s="67"/>
      <c r="M171" s="67"/>
      <c r="N171" s="67"/>
      <c r="O171" s="36"/>
      <c r="P171" s="23"/>
      <c r="Q171" s="23"/>
      <c r="R171" s="23"/>
      <c r="S171" s="23"/>
      <c r="T171" s="23"/>
      <c r="U171" s="23"/>
      <c r="V171" s="23"/>
      <c r="W171" s="23"/>
      <c r="X171" s="23"/>
      <c r="Y171" s="23"/>
    </row>
    <row r="172" spans="1:25" s="24" customFormat="1" x14ac:dyDescent="0.2">
      <c r="A172" s="12" t="s">
        <v>1373</v>
      </c>
      <c r="D172" s="13" t="s">
        <v>554</v>
      </c>
      <c r="E172" s="14" t="str">
        <f>Translations!$B$595</f>
        <v>Tier level required:</v>
      </c>
      <c r="H172" s="401">
        <v>4</v>
      </c>
      <c r="I172" s="402" t="str">
        <f>Translations!$B$482</f>
        <v>Uncertainty shall not be more than ± 2.5%</v>
      </c>
      <c r="J172" s="403"/>
      <c r="K172" s="403"/>
      <c r="L172" s="403"/>
      <c r="M172" s="403"/>
      <c r="N172" s="404"/>
      <c r="O172" s="36"/>
      <c r="P172" s="23"/>
      <c r="Q172" s="65"/>
      <c r="R172" s="23"/>
      <c r="S172" s="32"/>
      <c r="T172" s="23"/>
      <c r="U172" s="23"/>
      <c r="V172" s="23"/>
      <c r="W172" s="23"/>
      <c r="X172" s="23"/>
      <c r="Y172" s="23"/>
    </row>
    <row r="173" spans="1:25" s="24" customFormat="1" x14ac:dyDescent="0.2">
      <c r="A173" s="12" t="s">
        <v>1373</v>
      </c>
      <c r="D173" s="13" t="s">
        <v>1022</v>
      </c>
      <c r="E173" s="14" t="str">
        <f>Translations!$B$596</f>
        <v>Tier used:</v>
      </c>
      <c r="H173" s="401">
        <v>3</v>
      </c>
      <c r="I173" s="402" t="str">
        <f>Translations!$B$481</f>
        <v>Uncertainty shall not be more than ± 5.0%</v>
      </c>
      <c r="J173" s="403"/>
      <c r="K173" s="403"/>
      <c r="L173" s="403"/>
      <c r="M173" s="403"/>
      <c r="N173" s="404"/>
      <c r="O173" s="36"/>
      <c r="P173" s="23"/>
      <c r="Q173" s="65"/>
      <c r="R173" s="23"/>
      <c r="S173" s="32"/>
      <c r="T173" s="23"/>
      <c r="U173" s="23"/>
      <c r="V173" s="23"/>
      <c r="W173" s="23"/>
      <c r="X173" s="23"/>
      <c r="Y173" s="23"/>
    </row>
    <row r="174" spans="1:25" s="24" customFormat="1" x14ac:dyDescent="0.2">
      <c r="A174" s="12" t="s">
        <v>1373</v>
      </c>
      <c r="D174" s="13" t="s">
        <v>1023</v>
      </c>
      <c r="E174" s="14" t="str">
        <f>Translations!$B$479</f>
        <v>Uncertainty achieved:</v>
      </c>
      <c r="H174" s="450">
        <v>3.5999999999999997E-2</v>
      </c>
      <c r="I174" s="14" t="str">
        <f>Translations!$B$480</f>
        <v>Comment:</v>
      </c>
      <c r="J174" s="402"/>
      <c r="K174" s="403"/>
      <c r="L174" s="403"/>
      <c r="M174" s="403"/>
      <c r="N174" s="404"/>
      <c r="O174" s="36"/>
      <c r="P174" s="23"/>
      <c r="Q174" s="23"/>
      <c r="R174" s="23"/>
      <c r="S174" s="23"/>
      <c r="T174" s="23"/>
      <c r="U174" s="23"/>
      <c r="V174" s="23"/>
      <c r="W174" s="23"/>
      <c r="X174" s="23"/>
      <c r="Y174" s="23"/>
    </row>
    <row r="175" spans="1:25" s="24" customFormat="1" ht="5.0999999999999996" customHeight="1" x14ac:dyDescent="0.2">
      <c r="A175" s="12" t="s">
        <v>1373</v>
      </c>
      <c r="D175" s="13"/>
      <c r="E175" s="67"/>
      <c r="F175" s="67"/>
      <c r="G175" s="67"/>
      <c r="H175" s="67"/>
      <c r="I175" s="67"/>
      <c r="J175" s="67"/>
      <c r="K175" s="67"/>
      <c r="L175" s="67"/>
      <c r="M175" s="67"/>
      <c r="N175" s="67"/>
      <c r="O175" s="36"/>
      <c r="P175" s="23"/>
      <c r="Q175" s="23"/>
      <c r="R175" s="23"/>
      <c r="S175" s="23"/>
      <c r="T175" s="23"/>
      <c r="U175" s="23"/>
      <c r="V175" s="23"/>
      <c r="W175" s="23"/>
      <c r="X175" s="23"/>
      <c r="Y175" s="23"/>
    </row>
    <row r="176" spans="1:25" s="24" customFormat="1" x14ac:dyDescent="0.2">
      <c r="A176" s="23"/>
      <c r="D176" s="13"/>
      <c r="E176" s="869" t="str">
        <f>Translations!$B$597</f>
        <v>With regard to the tier level required and the tier level used, please provide here the overall uncertainty achieved for over the whole reporting period.</v>
      </c>
      <c r="F176" s="869"/>
      <c r="G176" s="869"/>
      <c r="H176" s="869"/>
      <c r="I176" s="869"/>
      <c r="J176" s="869"/>
      <c r="K176" s="869"/>
      <c r="L176" s="869"/>
      <c r="M176" s="869"/>
      <c r="N176" s="869"/>
      <c r="O176" s="36"/>
      <c r="P176" s="23"/>
      <c r="Q176" s="23"/>
      <c r="R176" s="23"/>
      <c r="S176" s="23"/>
      <c r="T176" s="23"/>
      <c r="U176" s="23"/>
      <c r="V176" s="23"/>
      <c r="W176" s="23"/>
      <c r="X176" s="23"/>
      <c r="Y176" s="23"/>
    </row>
    <row r="177" spans="1:25" s="24" customFormat="1" x14ac:dyDescent="0.2">
      <c r="A177" s="23"/>
      <c r="D177" s="13"/>
      <c r="E177" s="869" t="str">
        <f>Translations!$B$598</f>
        <v xml:space="preserve">In general, this value should be the result of an uncertainty assessment (see section 7(c)). </v>
      </c>
      <c r="F177" s="869"/>
      <c r="G177" s="869"/>
      <c r="H177" s="869"/>
      <c r="I177" s="869"/>
      <c r="J177" s="869"/>
      <c r="K177" s="869"/>
      <c r="L177" s="869"/>
      <c r="M177" s="869"/>
      <c r="N177" s="869"/>
      <c r="O177" s="36"/>
      <c r="P177" s="23"/>
      <c r="Q177" s="23"/>
      <c r="R177" s="23"/>
      <c r="S177" s="23"/>
      <c r="T177" s="23"/>
      <c r="U177" s="23"/>
      <c r="V177" s="23"/>
      <c r="W177" s="23"/>
      <c r="X177" s="23"/>
      <c r="Y177" s="23"/>
    </row>
    <row r="178" spans="1:25" s="24" customFormat="1" x14ac:dyDescent="0.2">
      <c r="A178" s="23"/>
      <c r="D178" s="13"/>
      <c r="E178" s="869" t="str">
        <f>Translations!$B$488</f>
        <v>Please use the comment box (point (h) below) to describe how the uncertainty achieved over the whole period is determined.</v>
      </c>
      <c r="F178" s="869"/>
      <c r="G178" s="869"/>
      <c r="H178" s="869"/>
      <c r="I178" s="869"/>
      <c r="J178" s="869"/>
      <c r="K178" s="869"/>
      <c r="L178" s="869"/>
      <c r="M178" s="869"/>
      <c r="N178" s="869"/>
      <c r="O178" s="36"/>
      <c r="P178" s="23"/>
      <c r="Q178" s="23"/>
      <c r="R178" s="23"/>
      <c r="S178" s="23"/>
      <c r="T178" s="23"/>
      <c r="U178" s="23"/>
      <c r="V178" s="23"/>
      <c r="W178" s="23"/>
      <c r="X178" s="23"/>
      <c r="Y178" s="23"/>
    </row>
    <row r="179" spans="1:25" s="24" customFormat="1" x14ac:dyDescent="0.2">
      <c r="A179" s="23"/>
      <c r="D179" s="13"/>
      <c r="E179" s="67"/>
      <c r="F179" s="67"/>
      <c r="G179" s="67"/>
      <c r="H179" s="67"/>
      <c r="I179" s="67"/>
      <c r="J179" s="67"/>
      <c r="K179" s="67"/>
      <c r="L179" s="67"/>
      <c r="M179" s="67"/>
      <c r="N179" s="67"/>
      <c r="O179" s="36"/>
      <c r="P179" s="23"/>
      <c r="Q179" s="23"/>
      <c r="R179" s="23"/>
      <c r="S179" s="23"/>
      <c r="T179" s="23"/>
      <c r="U179" s="23"/>
      <c r="V179" s="23"/>
      <c r="W179" s="23"/>
      <c r="X179" s="23"/>
      <c r="Y179" s="23"/>
    </row>
    <row r="180" spans="1:25" s="24" customFormat="1" ht="15" x14ac:dyDescent="0.2">
      <c r="A180" s="23"/>
      <c r="D180" s="1040" t="str">
        <f>Translations!$B$599</f>
        <v>Standards and procedures:</v>
      </c>
      <c r="E180" s="1040"/>
      <c r="F180" s="1040"/>
      <c r="G180" s="1040"/>
      <c r="H180" s="1040"/>
      <c r="I180" s="1040"/>
      <c r="J180" s="1040"/>
      <c r="K180" s="1040"/>
      <c r="L180" s="1040"/>
      <c r="M180" s="1040"/>
      <c r="N180" s="1040"/>
      <c r="O180" s="36"/>
      <c r="P180" s="23"/>
      <c r="Q180" s="23"/>
      <c r="R180" s="23"/>
      <c r="S180" s="23"/>
      <c r="T180" s="23"/>
      <c r="U180" s="23"/>
      <c r="V180" s="23"/>
      <c r="W180" s="23"/>
      <c r="X180" s="23"/>
      <c r="Y180" s="23"/>
    </row>
    <row r="181" spans="1:25" s="24" customFormat="1" ht="5.0999999999999996" customHeight="1" x14ac:dyDescent="0.2">
      <c r="A181" s="23"/>
      <c r="D181" s="13"/>
      <c r="E181" s="67"/>
      <c r="F181" s="67"/>
      <c r="G181" s="67"/>
      <c r="H181" s="67"/>
      <c r="I181" s="67"/>
      <c r="J181" s="67"/>
      <c r="K181" s="67"/>
      <c r="L181" s="67"/>
      <c r="M181" s="67"/>
      <c r="N181" s="67"/>
      <c r="O181" s="36"/>
      <c r="P181" s="23"/>
      <c r="Q181" s="23"/>
      <c r="R181" s="23"/>
      <c r="S181" s="23"/>
      <c r="T181" s="23"/>
      <c r="U181" s="23"/>
      <c r="V181" s="23"/>
      <c r="W181" s="23"/>
      <c r="X181" s="23"/>
      <c r="Y181" s="23"/>
    </row>
    <row r="182" spans="1:25" s="24" customFormat="1" x14ac:dyDescent="0.2">
      <c r="A182" s="23"/>
      <c r="D182" s="13" t="s">
        <v>1019</v>
      </c>
      <c r="E182" s="949" t="str">
        <f>Translations!$B$600</f>
        <v>Applied standards and of any deviations from those standards</v>
      </c>
      <c r="F182" s="949"/>
      <c r="G182" s="949"/>
      <c r="H182" s="949"/>
      <c r="I182" s="949"/>
      <c r="J182" s="949"/>
      <c r="K182" s="949"/>
      <c r="L182" s="949"/>
      <c r="M182" s="949"/>
      <c r="N182" s="949"/>
      <c r="O182" s="36"/>
      <c r="P182" s="23"/>
      <c r="Q182" s="23"/>
      <c r="R182" s="23"/>
      <c r="S182" s="23"/>
      <c r="T182" s="23"/>
      <c r="U182" s="23"/>
      <c r="V182" s="23"/>
      <c r="W182" s="23"/>
      <c r="X182" s="23"/>
      <c r="Y182" s="23"/>
    </row>
    <row r="183" spans="1:25" s="24" customFormat="1" x14ac:dyDescent="0.2">
      <c r="A183" s="23"/>
      <c r="D183" s="13"/>
      <c r="E183" s="869" t="str">
        <f>Translations!$B$601</f>
        <v>Please use references to table 9(e) above as appropriate.</v>
      </c>
      <c r="F183" s="869"/>
      <c r="G183" s="869"/>
      <c r="H183" s="869"/>
      <c r="I183" s="869"/>
      <c r="J183" s="869"/>
      <c r="K183" s="869"/>
      <c r="L183" s="869"/>
      <c r="M183" s="869"/>
      <c r="N183" s="869"/>
      <c r="O183" s="36"/>
      <c r="P183" s="23"/>
      <c r="Q183" s="23"/>
      <c r="R183" s="23"/>
      <c r="S183" s="23"/>
      <c r="T183" s="23"/>
      <c r="U183" s="23"/>
      <c r="V183" s="23"/>
      <c r="W183" s="23"/>
      <c r="X183" s="23"/>
      <c r="Y183" s="23"/>
    </row>
    <row r="184" spans="1:25" s="24" customFormat="1" ht="5.0999999999999996" customHeight="1" x14ac:dyDescent="0.2">
      <c r="A184" s="23"/>
      <c r="D184" s="13"/>
      <c r="O184" s="36"/>
      <c r="P184" s="23"/>
      <c r="Q184" s="23"/>
      <c r="R184" s="23"/>
      <c r="S184" s="23"/>
      <c r="T184" s="23"/>
      <c r="U184" s="23"/>
      <c r="V184" s="23"/>
      <c r="W184" s="23"/>
      <c r="X184" s="23"/>
      <c r="Y184" s="23"/>
    </row>
    <row r="185" spans="1:25" s="24" customFormat="1" ht="12.75" customHeight="1" x14ac:dyDescent="0.2">
      <c r="A185" s="23"/>
      <c r="D185" s="13"/>
      <c r="E185" s="1099"/>
      <c r="F185" s="1052"/>
      <c r="G185" s="1052"/>
      <c r="H185" s="1052"/>
      <c r="I185" s="1052"/>
      <c r="J185" s="1052"/>
      <c r="K185" s="1052"/>
      <c r="L185" s="1052"/>
      <c r="M185" s="1052"/>
      <c r="N185" s="1053"/>
      <c r="O185" s="36"/>
      <c r="P185" s="23"/>
      <c r="Q185" s="23"/>
      <c r="R185" s="23"/>
      <c r="S185" s="23"/>
      <c r="T185" s="23"/>
      <c r="U185" s="23"/>
      <c r="V185" s="23"/>
      <c r="W185" s="23"/>
      <c r="X185" s="23"/>
      <c r="Y185" s="23"/>
    </row>
    <row r="186" spans="1:25" s="24" customFormat="1" x14ac:dyDescent="0.2">
      <c r="A186" s="23"/>
      <c r="D186" s="13"/>
      <c r="E186" s="1054"/>
      <c r="F186" s="1055"/>
      <c r="G186" s="1055"/>
      <c r="H186" s="1055"/>
      <c r="I186" s="1055"/>
      <c r="J186" s="1055"/>
      <c r="K186" s="1055"/>
      <c r="L186" s="1055"/>
      <c r="M186" s="1055"/>
      <c r="N186" s="1056"/>
      <c r="O186" s="36"/>
      <c r="P186" s="23"/>
      <c r="Q186" s="23"/>
      <c r="R186" s="23"/>
      <c r="S186" s="23"/>
      <c r="T186" s="23"/>
      <c r="U186" s="23"/>
      <c r="V186" s="23"/>
      <c r="W186" s="23"/>
      <c r="X186" s="23"/>
      <c r="Y186" s="23"/>
    </row>
    <row r="187" spans="1:25" s="24" customFormat="1" x14ac:dyDescent="0.2">
      <c r="A187" s="23"/>
      <c r="D187" s="13"/>
      <c r="E187" s="1057"/>
      <c r="F187" s="1058"/>
      <c r="G187" s="1058"/>
      <c r="H187" s="1058"/>
      <c r="I187" s="1058"/>
      <c r="J187" s="1058"/>
      <c r="K187" s="1058"/>
      <c r="L187" s="1058"/>
      <c r="M187" s="1058"/>
      <c r="N187" s="1059"/>
      <c r="O187" s="36"/>
      <c r="P187" s="23"/>
      <c r="Q187" s="23"/>
      <c r="R187" s="23"/>
      <c r="S187" s="23"/>
      <c r="T187" s="23"/>
      <c r="U187" s="23"/>
      <c r="V187" s="23"/>
      <c r="W187" s="23"/>
      <c r="X187" s="23"/>
      <c r="Y187" s="23"/>
    </row>
    <row r="188" spans="1:25" s="24" customFormat="1" x14ac:dyDescent="0.2">
      <c r="A188" s="23"/>
      <c r="D188" s="13"/>
      <c r="O188" s="36"/>
      <c r="P188" s="23"/>
      <c r="Q188" s="23"/>
      <c r="R188" s="23"/>
      <c r="S188" s="23"/>
      <c r="T188" s="23"/>
      <c r="U188" s="23"/>
      <c r="V188" s="23"/>
      <c r="W188" s="23"/>
      <c r="X188" s="23"/>
      <c r="Y188" s="23"/>
    </row>
    <row r="189" spans="1:25" s="24" customFormat="1" x14ac:dyDescent="0.2">
      <c r="A189" s="23"/>
      <c r="D189" s="13" t="s">
        <v>1349</v>
      </c>
      <c r="E189" s="949" t="str">
        <f>Translations!$B$602</f>
        <v>References to procedures</v>
      </c>
      <c r="F189" s="949"/>
      <c r="G189" s="949"/>
      <c r="H189" s="949"/>
      <c r="I189" s="949"/>
      <c r="J189" s="949"/>
      <c r="K189" s="949"/>
      <c r="L189" s="949"/>
      <c r="M189" s="949"/>
      <c r="N189" s="949"/>
      <c r="O189" s="36"/>
      <c r="P189" s="23"/>
      <c r="Q189" s="23"/>
      <c r="R189" s="23"/>
      <c r="S189" s="23"/>
      <c r="T189" s="23"/>
      <c r="U189" s="23"/>
      <c r="V189" s="23"/>
      <c r="W189" s="23"/>
      <c r="X189" s="23"/>
      <c r="Y189" s="23"/>
    </row>
    <row r="190" spans="1:25" s="24" customFormat="1" ht="25.5" customHeight="1" x14ac:dyDescent="0.2">
      <c r="A190" s="23"/>
      <c r="D190" s="13"/>
      <c r="E190" s="869" t="str">
        <f>Translations!$B$603</f>
        <v>In order to describe the applied approaches in full, the following information has to be provided. Please provide references to the appropriate written procedures. The procedures are to be outlined in section 11 below in this sheet.</v>
      </c>
      <c r="F190" s="869"/>
      <c r="G190" s="869"/>
      <c r="H190" s="869"/>
      <c r="I190" s="869"/>
      <c r="J190" s="869"/>
      <c r="K190" s="869"/>
      <c r="L190" s="869"/>
      <c r="M190" s="869"/>
      <c r="N190" s="869"/>
      <c r="O190" s="36"/>
      <c r="P190" s="23"/>
      <c r="Q190" s="23"/>
      <c r="R190" s="23"/>
      <c r="S190" s="23"/>
      <c r="T190" s="23"/>
      <c r="U190" s="23"/>
      <c r="V190" s="23"/>
      <c r="W190" s="23"/>
      <c r="X190" s="23"/>
      <c r="Y190" s="23"/>
    </row>
    <row r="191" spans="1:25" s="24" customFormat="1" ht="5.0999999999999996" customHeight="1" x14ac:dyDescent="0.2">
      <c r="A191" s="23"/>
      <c r="D191" s="13"/>
      <c r="O191" s="36"/>
      <c r="P191" s="23"/>
      <c r="Q191" s="23"/>
      <c r="R191" s="23"/>
      <c r="S191" s="23"/>
      <c r="T191" s="23"/>
      <c r="U191" s="23"/>
      <c r="V191" s="23"/>
      <c r="W191" s="23"/>
      <c r="X191" s="23"/>
      <c r="Y191" s="23"/>
    </row>
    <row r="192" spans="1:25" s="24" customFormat="1" x14ac:dyDescent="0.2">
      <c r="A192" s="23"/>
      <c r="D192" s="13"/>
      <c r="E192" s="46" t="s">
        <v>1030</v>
      </c>
      <c r="F192" s="1049" t="str">
        <f>Translations!$B$604</f>
        <v>Any calculation formulae used for data aggregation and used to determine the annual emissions</v>
      </c>
      <c r="G192" s="1049"/>
      <c r="H192" s="1049"/>
      <c r="I192" s="1049"/>
      <c r="J192" s="1049"/>
      <c r="K192" s="1049"/>
      <c r="L192" s="1049"/>
      <c r="M192" s="1049"/>
      <c r="N192" s="1049"/>
      <c r="O192" s="36"/>
      <c r="P192" s="23"/>
      <c r="Q192" s="23"/>
      <c r="R192" s="23"/>
      <c r="S192" s="23"/>
      <c r="T192" s="23"/>
      <c r="U192" s="23"/>
      <c r="V192" s="23"/>
      <c r="W192" s="23"/>
      <c r="X192" s="23"/>
      <c r="Y192" s="23"/>
    </row>
    <row r="193" spans="1:25" s="24" customFormat="1" x14ac:dyDescent="0.2">
      <c r="A193" s="23"/>
      <c r="D193" s="13"/>
      <c r="E193" s="14"/>
      <c r="F193" s="870"/>
      <c r="G193" s="1036"/>
      <c r="H193" s="1036"/>
      <c r="I193" s="1036"/>
      <c r="J193" s="1036"/>
      <c r="K193" s="1036"/>
      <c r="L193" s="1036"/>
      <c r="M193" s="1036"/>
      <c r="N193" s="972"/>
      <c r="O193" s="36"/>
      <c r="P193" s="23"/>
      <c r="Q193" s="23"/>
      <c r="R193" s="23"/>
      <c r="S193" s="23"/>
      <c r="T193" s="23"/>
      <c r="U193" s="23"/>
      <c r="V193" s="23"/>
      <c r="W193" s="23"/>
      <c r="X193" s="23"/>
      <c r="Y193" s="23"/>
    </row>
    <row r="194" spans="1:25" s="24" customFormat="1" ht="5.0999999999999996" customHeight="1" x14ac:dyDescent="0.2">
      <c r="A194" s="23"/>
      <c r="D194" s="13"/>
      <c r="E194" s="14"/>
      <c r="F194" s="14"/>
      <c r="G194" s="14"/>
      <c r="H194" s="14"/>
      <c r="I194" s="14"/>
      <c r="L194" s="22"/>
      <c r="O194" s="36"/>
      <c r="P194" s="23"/>
      <c r="Q194" s="23"/>
      <c r="R194" s="23"/>
      <c r="S194" s="23"/>
      <c r="T194" s="23"/>
      <c r="U194" s="23"/>
      <c r="V194" s="23"/>
      <c r="W194" s="23"/>
      <c r="X194" s="23"/>
      <c r="Y194" s="23"/>
    </row>
    <row r="195" spans="1:25" s="24" customFormat="1" ht="25.5" customHeight="1" x14ac:dyDescent="0.2">
      <c r="A195" s="23"/>
      <c r="D195" s="13"/>
      <c r="E195" s="46" t="s">
        <v>1031</v>
      </c>
      <c r="F195" s="752" t="str">
        <f>Translations!$B$605</f>
        <v>Method for determining whether valid hours or shorter reference periods for each parameter can be calculated (using the threshold given in Article 44(2)), and for substitution of missing data in accordance with Article 45</v>
      </c>
      <c r="G195" s="752"/>
      <c r="H195" s="752"/>
      <c r="I195" s="752"/>
      <c r="J195" s="752"/>
      <c r="K195" s="752"/>
      <c r="L195" s="752"/>
      <c r="M195" s="752"/>
      <c r="N195" s="752"/>
      <c r="O195" s="36"/>
      <c r="P195" s="23"/>
      <c r="Q195" s="23"/>
      <c r="R195" s="23"/>
      <c r="S195" s="23"/>
      <c r="T195" s="23"/>
      <c r="U195" s="23"/>
      <c r="V195" s="23"/>
      <c r="W195" s="23"/>
      <c r="X195" s="23"/>
      <c r="Y195" s="23"/>
    </row>
    <row r="196" spans="1:25" s="24" customFormat="1" x14ac:dyDescent="0.2">
      <c r="A196" s="23"/>
      <c r="D196" s="13"/>
      <c r="E196" s="14"/>
      <c r="F196" s="870"/>
      <c r="G196" s="1036"/>
      <c r="H196" s="1036"/>
      <c r="I196" s="1036"/>
      <c r="J196" s="1036"/>
      <c r="K196" s="1036"/>
      <c r="L196" s="1036"/>
      <c r="M196" s="1036"/>
      <c r="N196" s="972"/>
      <c r="O196" s="36"/>
      <c r="P196" s="23"/>
      <c r="Q196" s="23"/>
      <c r="R196" s="23"/>
      <c r="S196" s="23"/>
      <c r="T196" s="23"/>
      <c r="U196" s="23"/>
      <c r="V196" s="23"/>
      <c r="W196" s="23"/>
      <c r="X196" s="23"/>
      <c r="Y196" s="23"/>
    </row>
    <row r="197" spans="1:25" s="24" customFormat="1" ht="5.0999999999999996" customHeight="1" x14ac:dyDescent="0.2">
      <c r="A197" s="23"/>
      <c r="D197" s="13"/>
      <c r="E197" s="14"/>
      <c r="F197" s="14"/>
      <c r="G197" s="14"/>
      <c r="H197" s="14"/>
      <c r="I197" s="14"/>
      <c r="L197" s="22"/>
      <c r="O197" s="36"/>
      <c r="P197" s="23"/>
      <c r="Q197" s="23"/>
      <c r="R197" s="23"/>
      <c r="S197" s="23"/>
      <c r="T197" s="23"/>
      <c r="U197" s="23"/>
      <c r="V197" s="23"/>
      <c r="W197" s="23"/>
      <c r="X197" s="23"/>
      <c r="Y197" s="23"/>
    </row>
    <row r="198" spans="1:25" s="24" customFormat="1" x14ac:dyDescent="0.2">
      <c r="A198" s="23"/>
      <c r="D198" s="13"/>
      <c r="E198" s="46" t="s">
        <v>1468</v>
      </c>
      <c r="F198" s="1049" t="str">
        <f>Translations!$B$606</f>
        <v>Calculation of the flue gas flow, if applicable</v>
      </c>
      <c r="G198" s="1049"/>
      <c r="H198" s="1049"/>
      <c r="I198" s="1049"/>
      <c r="J198" s="1049"/>
      <c r="K198" s="1049"/>
      <c r="L198" s="1049"/>
      <c r="M198" s="1049"/>
      <c r="N198" s="1049"/>
      <c r="O198" s="36"/>
      <c r="P198" s="23"/>
      <c r="Q198" s="23"/>
      <c r="R198" s="23"/>
      <c r="S198" s="23"/>
      <c r="T198" s="23"/>
      <c r="U198" s="23"/>
      <c r="V198" s="23"/>
      <c r="W198" s="23"/>
      <c r="X198" s="23"/>
      <c r="Y198" s="23"/>
    </row>
    <row r="199" spans="1:25" s="24" customFormat="1" x14ac:dyDescent="0.2">
      <c r="A199" s="23"/>
      <c r="D199" s="13"/>
      <c r="E199" s="14"/>
      <c r="F199" s="870"/>
      <c r="G199" s="1036"/>
      <c r="H199" s="1036"/>
      <c r="I199" s="1036"/>
      <c r="J199" s="1036"/>
      <c r="K199" s="1036"/>
      <c r="L199" s="1036"/>
      <c r="M199" s="1036"/>
      <c r="N199" s="972"/>
      <c r="O199" s="36"/>
      <c r="P199" s="23"/>
      <c r="Q199" s="23"/>
      <c r="R199" s="23"/>
      <c r="S199" s="23"/>
      <c r="T199" s="23"/>
      <c r="U199" s="23"/>
      <c r="V199" s="23"/>
      <c r="W199" s="23"/>
      <c r="X199" s="23"/>
      <c r="Y199" s="23"/>
    </row>
    <row r="200" spans="1:25" s="24" customFormat="1" ht="5.0999999999999996" customHeight="1" x14ac:dyDescent="0.2">
      <c r="A200" s="23"/>
      <c r="D200" s="13"/>
      <c r="E200" s="14"/>
      <c r="F200" s="11"/>
      <c r="G200" s="14"/>
      <c r="H200" s="14"/>
      <c r="I200" s="14"/>
      <c r="L200" s="22"/>
      <c r="O200" s="36"/>
      <c r="P200" s="23"/>
      <c r="Q200" s="23"/>
      <c r="R200" s="23"/>
      <c r="S200" s="23"/>
      <c r="T200" s="23"/>
      <c r="U200" s="23"/>
      <c r="V200" s="23"/>
      <c r="W200" s="23"/>
      <c r="X200" s="23"/>
      <c r="Y200" s="23"/>
    </row>
    <row r="201" spans="1:25" s="24" customFormat="1" x14ac:dyDescent="0.2">
      <c r="A201" s="23"/>
      <c r="D201" s="13"/>
      <c r="E201" s="46" t="s">
        <v>1469</v>
      </c>
      <c r="F201" s="1049" t="str">
        <f>Translations!$B$1356</f>
        <v>Determination of CO2 stemming from biomass or from any other zero-rated fraction, if applicable</v>
      </c>
      <c r="G201" s="1049"/>
      <c r="H201" s="1049"/>
      <c r="I201" s="1049"/>
      <c r="J201" s="1049"/>
      <c r="K201" s="1049"/>
      <c r="L201" s="1049"/>
      <c r="M201" s="1049"/>
      <c r="N201" s="1049"/>
      <c r="O201" s="36"/>
      <c r="P201" s="23"/>
      <c r="Q201" s="23"/>
      <c r="R201" s="23"/>
      <c r="S201" s="23"/>
      <c r="T201" s="23"/>
      <c r="U201" s="23"/>
      <c r="V201" s="23"/>
      <c r="W201" s="23"/>
      <c r="X201" s="23"/>
      <c r="Y201" s="23"/>
    </row>
    <row r="202" spans="1:25" s="24" customFormat="1" x14ac:dyDescent="0.2">
      <c r="A202" s="23"/>
      <c r="D202" s="13"/>
      <c r="E202" s="14"/>
      <c r="F202" s="870"/>
      <c r="G202" s="1036"/>
      <c r="H202" s="1036"/>
      <c r="I202" s="1036"/>
      <c r="J202" s="1036"/>
      <c r="K202" s="1036"/>
      <c r="L202" s="1036"/>
      <c r="M202" s="1036"/>
      <c r="N202" s="972"/>
      <c r="O202" s="36"/>
      <c r="P202" s="23"/>
      <c r="Q202" s="23"/>
      <c r="R202" s="23"/>
      <c r="S202" s="23"/>
      <c r="T202" s="23"/>
      <c r="U202" s="23"/>
      <c r="V202" s="23"/>
      <c r="W202" s="23"/>
      <c r="X202" s="23"/>
      <c r="Y202" s="23"/>
    </row>
    <row r="203" spans="1:25" s="24" customFormat="1" ht="5.0999999999999996" customHeight="1" x14ac:dyDescent="0.2">
      <c r="A203" s="23"/>
      <c r="D203" s="13"/>
      <c r="E203" s="14"/>
      <c r="F203" s="14"/>
      <c r="G203" s="14"/>
      <c r="H203" s="14"/>
      <c r="I203" s="14"/>
      <c r="J203" s="234"/>
      <c r="K203" s="234"/>
      <c r="L203" s="234"/>
      <c r="M203" s="234"/>
      <c r="N203" s="234"/>
      <c r="O203" s="36"/>
      <c r="P203" s="23"/>
      <c r="Q203" s="23"/>
      <c r="R203" s="23"/>
      <c r="S203" s="23"/>
      <c r="T203" s="23"/>
      <c r="U203" s="23"/>
      <c r="V203" s="23"/>
      <c r="W203" s="23"/>
      <c r="X203" s="23"/>
      <c r="Y203" s="23"/>
    </row>
    <row r="204" spans="1:25" s="24" customFormat="1" x14ac:dyDescent="0.2">
      <c r="A204" s="23"/>
      <c r="D204" s="13"/>
      <c r="E204" s="46" t="s">
        <v>1470</v>
      </c>
      <c r="F204" s="1049" t="str">
        <f>Translations!$B$608</f>
        <v>Corroborating calculations in accordance with Article 46 that are carried out, if applicable</v>
      </c>
      <c r="G204" s="1049"/>
      <c r="H204" s="1049"/>
      <c r="I204" s="1049"/>
      <c r="J204" s="1049"/>
      <c r="K204" s="1049"/>
      <c r="L204" s="1049"/>
      <c r="M204" s="1049"/>
      <c r="N204" s="1049"/>
      <c r="O204" s="36"/>
      <c r="P204" s="23"/>
      <c r="Q204" s="23"/>
      <c r="R204" s="23"/>
      <c r="S204" s="23"/>
      <c r="T204" s="23"/>
      <c r="U204" s="23"/>
      <c r="V204" s="23"/>
      <c r="W204" s="23"/>
      <c r="X204" s="23"/>
      <c r="Y204" s="23"/>
    </row>
    <row r="205" spans="1:25" s="24" customFormat="1" x14ac:dyDescent="0.2">
      <c r="A205" s="23"/>
      <c r="D205" s="13"/>
      <c r="E205" s="14"/>
      <c r="F205" s="870"/>
      <c r="G205" s="1036"/>
      <c r="H205" s="1036"/>
      <c r="I205" s="1036"/>
      <c r="J205" s="1036"/>
      <c r="K205" s="1036"/>
      <c r="L205" s="1036"/>
      <c r="M205" s="1036"/>
      <c r="N205" s="972"/>
      <c r="O205" s="36"/>
      <c r="P205" s="23"/>
      <c r="Q205" s="23"/>
      <c r="R205" s="23"/>
      <c r="S205" s="23"/>
      <c r="T205" s="23"/>
      <c r="U205" s="23"/>
      <c r="V205" s="23"/>
      <c r="W205" s="23"/>
      <c r="X205" s="23"/>
      <c r="Y205" s="23"/>
    </row>
    <row r="206" spans="1:25" s="24" customFormat="1" ht="5.0999999999999996" customHeight="1" x14ac:dyDescent="0.2">
      <c r="A206" s="23"/>
      <c r="D206" s="13"/>
      <c r="E206" s="14"/>
      <c r="F206" s="14"/>
      <c r="G206" s="14"/>
      <c r="H206" s="14"/>
      <c r="I206" s="14"/>
      <c r="L206" s="22"/>
      <c r="O206" s="36"/>
      <c r="P206" s="23"/>
      <c r="Q206" s="23"/>
      <c r="R206" s="23"/>
      <c r="S206" s="23"/>
      <c r="T206" s="23"/>
      <c r="U206" s="23"/>
      <c r="V206" s="23"/>
      <c r="W206" s="23"/>
      <c r="X206" s="23"/>
      <c r="Y206" s="23"/>
    </row>
    <row r="207" spans="1:25" s="24" customFormat="1" ht="15" x14ac:dyDescent="0.2">
      <c r="A207" s="23"/>
      <c r="D207" s="1040" t="str">
        <f>Translations!$B$545</f>
        <v>Comments and explanations:</v>
      </c>
      <c r="E207" s="1040"/>
      <c r="F207" s="1040"/>
      <c r="G207" s="1040"/>
      <c r="H207" s="1040"/>
      <c r="I207" s="1040"/>
      <c r="J207" s="1040"/>
      <c r="K207" s="1040"/>
      <c r="L207" s="1040"/>
      <c r="M207" s="1040"/>
      <c r="N207" s="1040"/>
      <c r="O207" s="36"/>
      <c r="P207" s="23"/>
      <c r="Q207" s="23"/>
      <c r="R207" s="23"/>
      <c r="S207" s="23"/>
      <c r="T207" s="23"/>
      <c r="U207" s="23"/>
      <c r="V207" s="23"/>
      <c r="W207" s="23"/>
      <c r="X207" s="23"/>
      <c r="Y207" s="23"/>
    </row>
    <row r="208" spans="1:25" s="24" customFormat="1" ht="5.0999999999999996" customHeight="1" x14ac:dyDescent="0.2">
      <c r="A208" s="23"/>
      <c r="D208" s="13"/>
      <c r="E208" s="67"/>
      <c r="F208" s="67"/>
      <c r="G208" s="67"/>
      <c r="H208" s="67"/>
      <c r="I208" s="67"/>
      <c r="J208" s="67"/>
      <c r="K208" s="67"/>
      <c r="L208" s="67"/>
      <c r="M208" s="67"/>
      <c r="N208" s="67"/>
      <c r="O208" s="36"/>
      <c r="P208" s="23"/>
      <c r="Q208" s="23"/>
      <c r="R208" s="23"/>
      <c r="S208" s="23"/>
      <c r="T208" s="23"/>
      <c r="U208" s="23"/>
      <c r="V208" s="23"/>
      <c r="W208" s="23"/>
      <c r="X208" s="23"/>
      <c r="Y208" s="23"/>
    </row>
    <row r="209" spans="1:25" s="24" customFormat="1" x14ac:dyDescent="0.2">
      <c r="A209" s="23"/>
      <c r="D209" s="13" t="s">
        <v>1351</v>
      </c>
      <c r="E209" s="949" t="str">
        <f>Translations!$B$1202</f>
        <v>Comments and justification if required tier is not applied:</v>
      </c>
      <c r="F209" s="949"/>
      <c r="G209" s="949"/>
      <c r="H209" s="949"/>
      <c r="I209" s="949"/>
      <c r="J209" s="949"/>
      <c r="K209" s="949"/>
      <c r="L209" s="949"/>
      <c r="M209" s="949"/>
      <c r="N209" s="949"/>
      <c r="O209" s="36"/>
      <c r="P209" s="23"/>
      <c r="Q209" s="23"/>
      <c r="R209" s="23"/>
      <c r="S209" s="23"/>
      <c r="T209" s="23"/>
      <c r="U209" s="23"/>
      <c r="V209" s="23"/>
      <c r="W209" s="23"/>
      <c r="X209" s="23"/>
      <c r="Y209" s="23"/>
    </row>
    <row r="210" spans="1:25" s="24" customFormat="1" x14ac:dyDescent="0.2">
      <c r="A210" s="23"/>
      <c r="D210" s="13"/>
      <c r="E210" s="869" t="str">
        <f>Translations!$B$609</f>
        <v>Please provide any relevant comments below. Explanations may in particular be required for e.g. the biomass estimation method, further QA/QC measures, etc.</v>
      </c>
      <c r="F210" s="869"/>
      <c r="G210" s="869"/>
      <c r="H210" s="869"/>
      <c r="I210" s="869"/>
      <c r="J210" s="869"/>
      <c r="K210" s="869"/>
      <c r="L210" s="869"/>
      <c r="M210" s="869"/>
      <c r="N210" s="869"/>
      <c r="O210" s="36"/>
      <c r="P210" s="23"/>
      <c r="Q210" s="23"/>
      <c r="R210" s="23"/>
      <c r="S210" s="23"/>
      <c r="T210" s="23"/>
      <c r="U210" s="23"/>
      <c r="V210" s="23"/>
      <c r="W210" s="23"/>
      <c r="X210" s="23"/>
      <c r="Y210" s="23"/>
    </row>
    <row r="211" spans="1:25" s="24" customFormat="1" x14ac:dyDescent="0.2">
      <c r="A211" s="23"/>
      <c r="D211" s="13"/>
      <c r="E211" s="869" t="str">
        <f>Translations!$B$610</f>
        <v>If the tier required pursuant to Article 41 is not applied for this measurement point, please give a justification here.</v>
      </c>
      <c r="F211" s="869"/>
      <c r="G211" s="869"/>
      <c r="H211" s="869"/>
      <c r="I211" s="869"/>
      <c r="J211" s="869"/>
      <c r="K211" s="869"/>
      <c r="L211" s="869"/>
      <c r="M211" s="869"/>
      <c r="N211" s="869"/>
      <c r="O211" s="36"/>
      <c r="P211" s="23"/>
      <c r="Q211" s="23"/>
      <c r="R211" s="23"/>
      <c r="S211" s="23"/>
      <c r="T211" s="23"/>
      <c r="U211" s="23"/>
      <c r="V211" s="23"/>
      <c r="W211" s="23"/>
      <c r="X211" s="23"/>
      <c r="Y211" s="23"/>
    </row>
    <row r="212" spans="1:25" s="24" customFormat="1" ht="5.0999999999999996" customHeight="1" x14ac:dyDescent="0.2">
      <c r="A212" s="23"/>
      <c r="D212" s="13"/>
      <c r="E212" s="48"/>
      <c r="O212" s="36"/>
      <c r="P212" s="23"/>
      <c r="Q212" s="23"/>
      <c r="R212" s="23"/>
      <c r="S212" s="23"/>
      <c r="T212" s="23"/>
      <c r="U212" s="23"/>
      <c r="V212" s="23"/>
      <c r="W212" s="23"/>
      <c r="X212" s="23"/>
      <c r="Y212" s="23"/>
    </row>
    <row r="213" spans="1:25" s="24" customFormat="1" x14ac:dyDescent="0.2">
      <c r="A213" s="23"/>
      <c r="D213" s="13"/>
      <c r="E213" s="1045"/>
      <c r="F213" s="955"/>
      <c r="G213" s="955"/>
      <c r="H213" s="955"/>
      <c r="I213" s="955"/>
      <c r="J213" s="955"/>
      <c r="K213" s="955"/>
      <c r="L213" s="955"/>
      <c r="M213" s="955"/>
      <c r="N213" s="956"/>
      <c r="O213" s="36"/>
      <c r="P213" s="23"/>
      <c r="Q213" s="23"/>
      <c r="R213" s="23"/>
      <c r="S213" s="23"/>
      <c r="T213" s="23"/>
      <c r="U213" s="23"/>
      <c r="V213" s="23"/>
      <c r="W213" s="23"/>
      <c r="X213" s="23"/>
      <c r="Y213" s="23"/>
    </row>
    <row r="214" spans="1:25" s="24" customFormat="1" x14ac:dyDescent="0.2">
      <c r="A214" s="23"/>
      <c r="D214" s="13"/>
      <c r="E214" s="1037"/>
      <c r="F214" s="958"/>
      <c r="G214" s="958"/>
      <c r="H214" s="958"/>
      <c r="I214" s="958"/>
      <c r="J214" s="958"/>
      <c r="K214" s="958"/>
      <c r="L214" s="958"/>
      <c r="M214" s="958"/>
      <c r="N214" s="959"/>
      <c r="O214" s="36"/>
      <c r="P214" s="23"/>
      <c r="Q214" s="23"/>
      <c r="R214" s="23"/>
      <c r="S214" s="23"/>
      <c r="T214" s="23"/>
      <c r="U214" s="23"/>
      <c r="V214" s="23"/>
      <c r="W214" s="23"/>
      <c r="X214" s="23"/>
      <c r="Y214" s="23"/>
    </row>
    <row r="215" spans="1:25" s="24" customFormat="1" x14ac:dyDescent="0.2">
      <c r="A215" s="23"/>
      <c r="D215" s="13"/>
      <c r="E215" s="1038"/>
      <c r="F215" s="961"/>
      <c r="G215" s="961"/>
      <c r="H215" s="961"/>
      <c r="I215" s="961"/>
      <c r="J215" s="961"/>
      <c r="K215" s="961"/>
      <c r="L215" s="961"/>
      <c r="M215" s="961"/>
      <c r="N215" s="962"/>
      <c r="O215" s="36"/>
      <c r="P215" s="23"/>
      <c r="Q215" s="23"/>
      <c r="R215" s="23"/>
      <c r="S215" s="23"/>
      <c r="T215" s="23"/>
      <c r="U215" s="23"/>
      <c r="V215" s="23"/>
      <c r="W215" s="23"/>
      <c r="X215" s="23"/>
      <c r="Y215" s="23"/>
    </row>
    <row r="216" spans="1:25" ht="12.75" customHeight="1" thickBot="1" x14ac:dyDescent="0.25">
      <c r="B216" s="11"/>
      <c r="C216" s="54"/>
      <c r="D216" s="55"/>
      <c r="E216" s="56"/>
      <c r="F216" s="54"/>
      <c r="G216" s="57"/>
      <c r="H216" s="57"/>
      <c r="I216" s="57"/>
      <c r="J216" s="57"/>
      <c r="K216" s="57"/>
      <c r="L216" s="57"/>
      <c r="M216" s="57"/>
      <c r="N216" s="57"/>
      <c r="O216" s="36"/>
      <c r="P216" s="6"/>
      <c r="S216" s="359"/>
    </row>
    <row r="217" spans="1:25" ht="12.75" customHeight="1" thickBot="1" x14ac:dyDescent="0.25">
      <c r="B217" s="417"/>
      <c r="C217" s="417"/>
      <c r="D217" s="441"/>
      <c r="E217" s="411"/>
      <c r="F217" s="411"/>
      <c r="G217" s="411"/>
      <c r="H217" s="411"/>
      <c r="I217" s="411"/>
      <c r="J217" s="411"/>
      <c r="K217" s="411"/>
      <c r="L217" s="411"/>
      <c r="M217" s="417"/>
      <c r="N217" s="417"/>
      <c r="O217" s="36"/>
      <c r="P217" s="23"/>
      <c r="Q217" s="23"/>
      <c r="R217" s="23"/>
      <c r="S217" s="23"/>
      <c r="T217" s="23"/>
      <c r="U217" s="23"/>
      <c r="V217" s="23"/>
      <c r="W217" s="23"/>
      <c r="Y217" s="65" t="s">
        <v>727</v>
      </c>
    </row>
    <row r="218" spans="1:25" s="186" customFormat="1" ht="15" customHeight="1" thickBot="1" x14ac:dyDescent="0.25">
      <c r="A218" s="248"/>
      <c r="B218" s="34"/>
      <c r="C218" s="35" t="str">
        <f>"M"&amp;Q218</f>
        <v>M2</v>
      </c>
      <c r="D218" s="1040" t="str">
        <f>CONCATENATE(EUconst_MeasurementPoint," ",Q218,":")</f>
        <v>Measurement Point 2:</v>
      </c>
      <c r="E218" s="1040"/>
      <c r="F218" s="1040"/>
      <c r="G218" s="1066"/>
      <c r="H218" s="1067" t="str">
        <f>IF(INDEX(C_InstallationDescription!$F$171:$F$176,MATCH(C218,C_InstallationDescription!$E$171:$E$176,0))&gt;0,INDEX(C_InstallationDescription!$F$171:$F$176,MATCH(C218,C_InstallationDescription!$E$171:$E$176,0)),"")</f>
        <v/>
      </c>
      <c r="I218" s="1067"/>
      <c r="J218" s="1067"/>
      <c r="K218" s="1067"/>
      <c r="L218" s="1068"/>
      <c r="M218" s="1069" t="str">
        <f>IF(U218=TRUE,V218,"")</f>
        <v/>
      </c>
      <c r="N218" s="1070"/>
      <c r="O218" s="36"/>
      <c r="P218" s="252"/>
      <c r="Q218" s="33">
        <v>2</v>
      </c>
      <c r="R218" s="37"/>
      <c r="S218" s="40" t="b">
        <f>IF(INDEX(C_InstallationDescription!$M:$M,MATCH(Q220,C_InstallationDescription!$Q:$Q,0))="",FALSE,TRUE)</f>
        <v>0</v>
      </c>
      <c r="T218" s="372" t="str">
        <f>IF(S218=TRUE,INDEX(C_InstallationDescription!$M:$M,MATCH(Q220,C_InstallationDescription!$Q:$Q,0)),"")</f>
        <v/>
      </c>
      <c r="U218" s="40" t="b">
        <f>IF(INDEX(C_InstallationDescription!$N:$N,MATCH(Q220,C_InstallationDescription!$Q:$Q,0))="",FALSE,TRUE)</f>
        <v>0</v>
      </c>
      <c r="V218" s="372" t="str">
        <f>IF(U218=TRUE,INDEX(C_InstallationDescription!$N:$N,MATCH(Q220,C_InstallationDescription!$Q:$Q,0)),"")</f>
        <v/>
      </c>
      <c r="W218" s="37"/>
      <c r="X218" s="37"/>
      <c r="Y218" s="40" t="s">
        <v>420</v>
      </c>
    </row>
    <row r="219" spans="1:25" s="24" customFormat="1" ht="5.0999999999999996" customHeight="1" thickBot="1" x14ac:dyDescent="0.25">
      <c r="A219" s="65"/>
      <c r="B219" s="8"/>
      <c r="C219" s="8"/>
      <c r="D219" s="10"/>
      <c r="E219" s="8"/>
      <c r="F219" s="8"/>
      <c r="G219" s="8"/>
      <c r="H219" s="8"/>
      <c r="I219" s="8"/>
      <c r="J219" s="8"/>
      <c r="K219" s="8"/>
      <c r="L219" s="8"/>
      <c r="M219" s="7"/>
      <c r="N219" s="7"/>
      <c r="O219" s="36"/>
      <c r="P219" s="12"/>
      <c r="Q219" s="12"/>
      <c r="R219" s="23"/>
      <c r="S219" s="23"/>
      <c r="T219" s="23"/>
      <c r="U219" s="23"/>
      <c r="V219" s="23"/>
      <c r="W219" s="23"/>
      <c r="X219" s="23"/>
      <c r="Y219" s="23"/>
    </row>
    <row r="220" spans="1:25" s="24" customFormat="1" ht="13.5" thickBot="1" x14ac:dyDescent="0.25">
      <c r="A220" s="23"/>
      <c r="D220" s="13" t="s">
        <v>1018</v>
      </c>
      <c r="E220" s="825" t="str">
        <f>Translations!$B$583</f>
        <v>Operation type:</v>
      </c>
      <c r="F220" s="825"/>
      <c r="G220" s="1100"/>
      <c r="H220" s="1101"/>
      <c r="I220" s="1101"/>
      <c r="J220" s="1101"/>
      <c r="K220" s="14"/>
      <c r="L220" s="14"/>
      <c r="M220" s="1069" t="str">
        <f>IF(S218=TRUE,T218,"")</f>
        <v/>
      </c>
      <c r="N220" s="1070"/>
      <c r="O220" s="36"/>
      <c r="P220" s="23"/>
      <c r="Q220" s="32" t="str">
        <f>EUconst_CNTR_SourceCategory&amp;C218</f>
        <v>SourceCategory_M2</v>
      </c>
      <c r="R220" s="23"/>
      <c r="S220" s="23"/>
      <c r="T220" s="23"/>
      <c r="U220" s="23"/>
      <c r="V220" s="23"/>
      <c r="W220" s="23"/>
      <c r="X220" s="23"/>
      <c r="Y220" s="23"/>
    </row>
    <row r="221" spans="1:25" s="24" customFormat="1" ht="5.0999999999999996" customHeight="1" x14ac:dyDescent="0.2">
      <c r="A221" s="23"/>
      <c r="D221" s="222"/>
      <c r="O221" s="36"/>
      <c r="P221" s="23"/>
      <c r="Q221" s="23"/>
      <c r="R221" s="23"/>
      <c r="S221" s="23"/>
      <c r="T221" s="23"/>
      <c r="U221" s="23"/>
      <c r="V221" s="23"/>
      <c r="W221" s="23"/>
      <c r="X221" s="23"/>
      <c r="Y221" s="23"/>
    </row>
    <row r="222" spans="1:25" s="24" customFormat="1" ht="12.75" customHeight="1" x14ac:dyDescent="0.2">
      <c r="A222" s="23"/>
      <c r="D222" s="1040" t="str">
        <f>Translations!$B$446</f>
        <v>Automatic guidance on applicable tiers:</v>
      </c>
      <c r="E222" s="1040"/>
      <c r="F222" s="1040"/>
      <c r="G222" s="1040"/>
      <c r="H222" s="1040"/>
      <c r="I222" s="1040"/>
      <c r="J222" s="1040"/>
      <c r="K222" s="1040"/>
      <c r="L222" s="1040"/>
      <c r="M222" s="1040"/>
      <c r="N222" s="1040"/>
      <c r="O222" s="36"/>
      <c r="P222" s="23"/>
      <c r="Q222" s="23"/>
      <c r="R222" s="23"/>
      <c r="S222" s="23"/>
      <c r="T222" s="23"/>
      <c r="U222" s="23"/>
      <c r="V222" s="23"/>
      <c r="W222" s="23"/>
      <c r="X222" s="23"/>
      <c r="Y222" s="23"/>
    </row>
    <row r="223" spans="1:25" s="24" customFormat="1" ht="4.5" customHeight="1" x14ac:dyDescent="0.2">
      <c r="A223" s="23"/>
      <c r="D223" s="13"/>
      <c r="E223" s="129"/>
      <c r="F223" s="129"/>
      <c r="G223" s="129"/>
      <c r="H223" s="129"/>
      <c r="I223" s="129"/>
      <c r="J223" s="129"/>
      <c r="K223" s="129"/>
      <c r="L223" s="129"/>
      <c r="M223" s="129"/>
      <c r="N223" s="129"/>
      <c r="O223" s="36"/>
      <c r="P223" s="23"/>
      <c r="Q223" s="23"/>
      <c r="R223" s="23"/>
      <c r="S223" s="23"/>
      <c r="T223" s="23"/>
      <c r="U223" s="23"/>
      <c r="V223" s="23"/>
      <c r="W223" s="23"/>
      <c r="X223" s="23"/>
      <c r="Y223" s="23"/>
    </row>
    <row r="224" spans="1:25" s="24" customFormat="1" ht="5.0999999999999996" customHeight="1" x14ac:dyDescent="0.2">
      <c r="A224" s="23"/>
      <c r="D224" s="13"/>
      <c r="O224" s="36"/>
      <c r="P224" s="23"/>
      <c r="Q224" s="23"/>
      <c r="R224" s="23"/>
      <c r="S224" s="23"/>
      <c r="T224" s="23"/>
      <c r="U224" s="23"/>
      <c r="V224" s="23"/>
      <c r="W224" s="23"/>
      <c r="X224" s="23"/>
      <c r="Y224" s="23"/>
    </row>
    <row r="225" spans="1:25" s="24" customFormat="1" ht="60" customHeight="1" x14ac:dyDescent="0.2">
      <c r="A225" s="23"/>
      <c r="D225" s="13"/>
      <c r="E225" s="1063" t="str">
        <f>IF(H218="","",INDEX(EUconst_CEMSTiersMsg,MATCH(Q225,EUconst_CEMSTiers,0)))</f>
        <v/>
      </c>
      <c r="F225" s="1064"/>
      <c r="G225" s="1064"/>
      <c r="H225" s="1064"/>
      <c r="I225" s="1064"/>
      <c r="J225" s="1064"/>
      <c r="K225" s="1064"/>
      <c r="L225" s="1064"/>
      <c r="M225" s="1064"/>
      <c r="N225" s="1065"/>
      <c r="O225" s="36"/>
      <c r="P225" s="6"/>
      <c r="Q225" s="207" t="str">
        <f>IF(CNTR_SmallEmitter=TRUE,EUconst_CNTR_SmallEmitter,EUconst_CNTR_NoSmallEmitter) &amp; "_" &amp; IF(M220="",1,MATCH(M220,SourceCategoryCEMS,0))</f>
        <v>NoSmallEmitter__1</v>
      </c>
      <c r="R225" s="23"/>
      <c r="S225" s="23"/>
      <c r="T225" s="23"/>
      <c r="U225" s="23"/>
      <c r="V225" s="23"/>
      <c r="W225" s="23"/>
      <c r="X225" s="23"/>
      <c r="Y225" s="23"/>
    </row>
    <row r="226" spans="1:25" s="24" customFormat="1" ht="12.75" customHeight="1" x14ac:dyDescent="0.2">
      <c r="A226" s="23"/>
      <c r="D226" s="13"/>
      <c r="O226" s="36"/>
      <c r="P226" s="23"/>
      <c r="Q226" s="23"/>
      <c r="R226" s="23"/>
      <c r="S226" s="23"/>
      <c r="T226" s="23"/>
      <c r="U226" s="23"/>
      <c r="V226" s="23"/>
      <c r="W226" s="23"/>
      <c r="X226" s="23"/>
      <c r="Y226" s="23"/>
    </row>
    <row r="227" spans="1:25" s="24" customFormat="1" ht="15" customHeight="1" x14ac:dyDescent="0.2">
      <c r="A227" s="23"/>
      <c r="D227" s="1040" t="str">
        <f>Translations!$B$590</f>
        <v>Instruments and tier levels:</v>
      </c>
      <c r="E227" s="1040"/>
      <c r="F227" s="1040"/>
      <c r="G227" s="1040"/>
      <c r="H227" s="1040"/>
      <c r="I227" s="1040"/>
      <c r="J227" s="1040"/>
      <c r="K227" s="1040"/>
      <c r="L227" s="1040"/>
      <c r="M227" s="1040"/>
      <c r="N227" s="1040"/>
      <c r="O227" s="36"/>
      <c r="P227" s="23"/>
      <c r="Q227" s="23"/>
      <c r="R227" s="23"/>
      <c r="S227" s="23"/>
      <c r="T227" s="23"/>
      <c r="U227" s="23"/>
      <c r="V227" s="23"/>
      <c r="W227" s="23"/>
      <c r="X227" s="23"/>
      <c r="Y227" s="23"/>
    </row>
    <row r="228" spans="1:25" s="24" customFormat="1" ht="5.0999999999999996" customHeight="1" x14ac:dyDescent="0.2">
      <c r="A228" s="23"/>
      <c r="D228" s="13"/>
      <c r="O228" s="36"/>
      <c r="P228" s="23"/>
      <c r="Q228" s="23"/>
      <c r="R228" s="23"/>
      <c r="S228" s="23"/>
      <c r="T228" s="23"/>
      <c r="U228" s="23"/>
      <c r="V228" s="23"/>
      <c r="W228" s="23"/>
      <c r="X228" s="23"/>
      <c r="Y228" s="23"/>
    </row>
    <row r="229" spans="1:25" s="24" customFormat="1" ht="12.75" customHeight="1" x14ac:dyDescent="0.2">
      <c r="A229" s="23"/>
      <c r="D229" s="13" t="s">
        <v>1020</v>
      </c>
      <c r="E229" s="14" t="str">
        <f>Translations!$B$472</f>
        <v>Measurement instruments used:</v>
      </c>
      <c r="H229" s="215"/>
      <c r="I229" s="215"/>
      <c r="J229" s="215"/>
      <c r="K229" s="215"/>
      <c r="L229" s="215"/>
      <c r="O229" s="36"/>
      <c r="P229" s="23"/>
      <c r="Q229" s="23"/>
      <c r="R229" s="23"/>
      <c r="S229" s="23"/>
      <c r="T229" s="23"/>
      <c r="U229" s="23"/>
      <c r="V229" s="23"/>
      <c r="W229" s="23"/>
      <c r="X229" s="23"/>
      <c r="Y229" s="23"/>
    </row>
    <row r="230" spans="1:25" s="24" customFormat="1" ht="5.0999999999999996" customHeight="1" x14ac:dyDescent="0.2">
      <c r="A230" s="23"/>
      <c r="D230" s="13"/>
      <c r="E230" s="14"/>
      <c r="O230" s="36"/>
      <c r="P230" s="6"/>
      <c r="Q230" s="23"/>
      <c r="R230" s="23"/>
      <c r="S230" s="23"/>
      <c r="T230" s="23"/>
      <c r="U230" s="23"/>
      <c r="V230" s="23"/>
      <c r="W230" s="23"/>
      <c r="X230" s="23"/>
      <c r="Y230" s="23"/>
    </row>
    <row r="231" spans="1:25" s="24" customFormat="1" x14ac:dyDescent="0.2">
      <c r="A231" s="23"/>
      <c r="D231" s="13"/>
      <c r="E231" s="24" t="str">
        <f>Translations!$B$475</f>
        <v>Comment / Description of approach, if several instruments used:</v>
      </c>
      <c r="I231" s="11"/>
      <c r="O231" s="36"/>
      <c r="P231" s="23"/>
      <c r="Q231" s="23"/>
      <c r="R231" s="23"/>
      <c r="S231" s="23"/>
      <c r="T231" s="23"/>
      <c r="U231" s="23"/>
      <c r="V231" s="23"/>
      <c r="W231" s="23"/>
      <c r="X231" s="23"/>
      <c r="Y231" s="23"/>
    </row>
    <row r="232" spans="1:25" s="24" customFormat="1" ht="5.0999999999999996" customHeight="1" x14ac:dyDescent="0.2">
      <c r="A232" s="23"/>
      <c r="D232" s="13"/>
      <c r="E232" s="67"/>
      <c r="F232" s="67"/>
      <c r="G232" s="67"/>
      <c r="H232" s="67"/>
      <c r="I232" s="67"/>
      <c r="J232" s="67"/>
      <c r="K232" s="67"/>
      <c r="L232" s="67"/>
      <c r="M232" s="67"/>
      <c r="N232" s="67"/>
      <c r="O232" s="36"/>
      <c r="P232" s="6"/>
      <c r="Q232" s="23"/>
      <c r="R232" s="23"/>
      <c r="S232" s="23"/>
      <c r="T232" s="23"/>
      <c r="U232" s="23"/>
      <c r="V232" s="23"/>
      <c r="W232" s="23"/>
      <c r="X232" s="23"/>
      <c r="Y232" s="23"/>
    </row>
    <row r="233" spans="1:25" s="24" customFormat="1" ht="12.75" customHeight="1" x14ac:dyDescent="0.2">
      <c r="A233" s="23"/>
      <c r="D233" s="13"/>
      <c r="E233" s="1099"/>
      <c r="F233" s="1052"/>
      <c r="G233" s="1052"/>
      <c r="H233" s="1052"/>
      <c r="I233" s="1052"/>
      <c r="J233" s="1052"/>
      <c r="K233" s="1052"/>
      <c r="L233" s="1052"/>
      <c r="M233" s="1052"/>
      <c r="N233" s="1053"/>
      <c r="O233" s="36"/>
      <c r="P233" s="23"/>
      <c r="Q233" s="23"/>
      <c r="R233" s="23"/>
      <c r="S233" s="23"/>
      <c r="T233" s="23"/>
      <c r="U233" s="23"/>
      <c r="V233" s="23"/>
      <c r="W233" s="23"/>
      <c r="X233" s="23"/>
      <c r="Y233" s="23"/>
    </row>
    <row r="234" spans="1:25" s="24" customFormat="1" x14ac:dyDescent="0.2">
      <c r="A234" s="23"/>
      <c r="D234" s="13"/>
      <c r="E234" s="1054"/>
      <c r="F234" s="1055"/>
      <c r="G234" s="1055"/>
      <c r="H234" s="1055"/>
      <c r="I234" s="1055"/>
      <c r="J234" s="1055"/>
      <c r="K234" s="1055"/>
      <c r="L234" s="1055"/>
      <c r="M234" s="1055"/>
      <c r="N234" s="1056"/>
      <c r="O234" s="36"/>
      <c r="P234" s="23"/>
      <c r="Q234" s="23"/>
      <c r="R234" s="23"/>
      <c r="S234" s="23"/>
      <c r="T234" s="23"/>
      <c r="U234" s="23"/>
      <c r="V234" s="23"/>
      <c r="W234" s="23"/>
      <c r="X234" s="23"/>
      <c r="Y234" s="23"/>
    </row>
    <row r="235" spans="1:25" s="24" customFormat="1" x14ac:dyDescent="0.2">
      <c r="A235" s="23"/>
      <c r="D235" s="13"/>
      <c r="E235" s="1057"/>
      <c r="F235" s="1058"/>
      <c r="G235" s="1058"/>
      <c r="H235" s="1058"/>
      <c r="I235" s="1058"/>
      <c r="J235" s="1058"/>
      <c r="K235" s="1058"/>
      <c r="L235" s="1058"/>
      <c r="M235" s="1058"/>
      <c r="N235" s="1059"/>
      <c r="O235" s="36"/>
      <c r="P235" s="23"/>
      <c r="Q235" s="23"/>
      <c r="R235" s="23"/>
      <c r="S235" s="23"/>
      <c r="T235" s="23"/>
      <c r="U235" s="23"/>
      <c r="V235" s="23"/>
      <c r="W235" s="23"/>
      <c r="X235" s="23"/>
      <c r="Y235" s="23"/>
    </row>
    <row r="236" spans="1:25" s="24" customFormat="1" x14ac:dyDescent="0.2">
      <c r="A236" s="23"/>
      <c r="D236" s="13"/>
      <c r="O236" s="36"/>
      <c r="P236" s="23"/>
      <c r="Q236" s="23"/>
      <c r="R236" s="23"/>
      <c r="S236" s="23" t="s">
        <v>419</v>
      </c>
      <c r="T236" s="23"/>
      <c r="U236" s="23"/>
      <c r="V236" s="23"/>
      <c r="W236" s="23"/>
      <c r="X236" s="23"/>
      <c r="Y236" s="23"/>
    </row>
    <row r="237" spans="1:25" s="24" customFormat="1" x14ac:dyDescent="0.2">
      <c r="A237" s="23"/>
      <c r="D237" s="13" t="s">
        <v>554</v>
      </c>
      <c r="E237" s="14" t="str">
        <f>Translations!$B$595</f>
        <v>Tier level required:</v>
      </c>
      <c r="H237" s="30" t="str">
        <f>IF(H218="","",IF(CNTR_Category="A",INDEX(EUconst_CEMSMinimumTiers,MATCH(M218,EUconst_CEMSTypes,0)),INDEX(EUconst_CEMSHighestTiers,MATCH(M218,EUconst_CEMSTypes,0))))</f>
        <v/>
      </c>
      <c r="I237" s="26" t="str">
        <f>IF(H237="","",IF(S237=0,EUconst_NA,IF(ISERROR(S237),"",EUconst_MsgTierActivityLevel &amp; " " &amp;S237)))</f>
        <v/>
      </c>
      <c r="J237" s="27"/>
      <c r="K237" s="27"/>
      <c r="L237" s="27"/>
      <c r="M237" s="27"/>
      <c r="N237" s="28"/>
      <c r="O237" s="36"/>
      <c r="P237" s="23"/>
      <c r="Q237" s="65"/>
      <c r="R237" s="23"/>
      <c r="S237" s="32" t="str">
        <f>IF(H237="","",IF(H237=EUconst_NA,"",INDEX(EUwideConstants!$H$778:$O$781,MATCH(M218,EUconst_CEMSTypes,0),MATCH(H237,CNTR_TierList,0))))</f>
        <v/>
      </c>
      <c r="T237" s="23"/>
      <c r="U237" s="23"/>
      <c r="V237" s="23"/>
      <c r="W237" s="23"/>
      <c r="X237" s="23"/>
      <c r="Y237" s="23"/>
    </row>
    <row r="238" spans="1:25" s="24" customFormat="1" x14ac:dyDescent="0.2">
      <c r="A238" s="23"/>
      <c r="D238" s="13" t="s">
        <v>1022</v>
      </c>
      <c r="E238" s="14" t="str">
        <f>Translations!$B$596</f>
        <v>Tier used:</v>
      </c>
      <c r="H238" s="192"/>
      <c r="I238" s="26" t="str">
        <f>IF(OR(ISBLANK(H238),H238=EUconst_NoTier),"",IF(S238=EUconst_NA,EUconst_NA,IF(ISERROR(S238),"",EUconst_MsgTierActivityLevel &amp; " " &amp;S238)))</f>
        <v/>
      </c>
      <c r="J238" s="27"/>
      <c r="K238" s="27"/>
      <c r="L238" s="27"/>
      <c r="M238" s="27"/>
      <c r="N238" s="28"/>
      <c r="O238" s="36"/>
      <c r="P238" s="23"/>
      <c r="Q238" s="65"/>
      <c r="R238" s="23"/>
      <c r="S238" s="32" t="str">
        <f>IF(H238="","",IF(H238=EUconst_NA,"",INDEX(EUwideConstants!$H$778:$O$781,MATCH(M218,EUconst_CEMSTypes,0),MATCH(H238,CNTR_TierList,0))))</f>
        <v/>
      </c>
      <c r="T238" s="23"/>
      <c r="U238" s="23"/>
      <c r="V238" s="23"/>
      <c r="W238" s="23"/>
      <c r="X238" s="23"/>
      <c r="Y238" s="23"/>
    </row>
    <row r="239" spans="1:25" s="24" customFormat="1" x14ac:dyDescent="0.2">
      <c r="A239" s="23"/>
      <c r="D239" s="13" t="s">
        <v>1023</v>
      </c>
      <c r="E239" s="14" t="str">
        <f>Translations!$B$479</f>
        <v>Uncertainty achieved:</v>
      </c>
      <c r="H239" s="400"/>
      <c r="I239" s="14" t="str">
        <f>Translations!$B$480</f>
        <v>Comment:</v>
      </c>
      <c r="J239" s="578"/>
      <c r="K239" s="194"/>
      <c r="L239" s="194"/>
      <c r="M239" s="194"/>
      <c r="N239" s="195"/>
      <c r="O239" s="36"/>
      <c r="P239" s="23"/>
      <c r="Q239" s="23"/>
      <c r="R239" s="23"/>
      <c r="S239" s="23"/>
      <c r="T239" s="23"/>
      <c r="U239" s="23"/>
      <c r="V239" s="23"/>
      <c r="W239" s="23"/>
      <c r="X239" s="23"/>
      <c r="Y239" s="23"/>
    </row>
    <row r="240" spans="1:25" s="24" customFormat="1" x14ac:dyDescent="0.2">
      <c r="A240" s="23"/>
      <c r="D240" s="13"/>
      <c r="E240" s="67"/>
      <c r="F240" s="67"/>
      <c r="G240" s="67"/>
      <c r="H240" s="67"/>
      <c r="I240" s="67"/>
      <c r="J240" s="67"/>
      <c r="K240" s="67"/>
      <c r="L240" s="67"/>
      <c r="M240" s="67"/>
      <c r="N240" s="67"/>
      <c r="O240" s="36"/>
      <c r="P240" s="23"/>
      <c r="Q240" s="23"/>
      <c r="R240" s="23"/>
      <c r="S240" s="23"/>
      <c r="T240" s="23"/>
      <c r="U240" s="23"/>
      <c r="V240" s="23"/>
      <c r="W240" s="23"/>
      <c r="X240" s="23"/>
      <c r="Y240" s="23"/>
    </row>
    <row r="241" spans="1:25" s="24" customFormat="1" ht="15" x14ac:dyDescent="0.2">
      <c r="A241" s="23"/>
      <c r="D241" s="1040" t="str">
        <f>Translations!$B$599</f>
        <v>Standards and procedures:</v>
      </c>
      <c r="E241" s="1040"/>
      <c r="F241" s="1040"/>
      <c r="G241" s="1040"/>
      <c r="H241" s="1040"/>
      <c r="I241" s="1040"/>
      <c r="J241" s="1040"/>
      <c r="K241" s="1040"/>
      <c r="L241" s="1040"/>
      <c r="M241" s="1040"/>
      <c r="N241" s="1040"/>
      <c r="O241" s="36"/>
      <c r="P241" s="23"/>
      <c r="Q241" s="23"/>
      <c r="R241" s="23"/>
      <c r="S241" s="23"/>
      <c r="T241" s="23"/>
      <c r="U241" s="23"/>
      <c r="V241" s="23"/>
      <c r="W241" s="23"/>
      <c r="X241" s="23"/>
      <c r="Y241" s="23"/>
    </row>
    <row r="242" spans="1:25" s="24" customFormat="1" ht="5.0999999999999996" customHeight="1" x14ac:dyDescent="0.2">
      <c r="A242" s="23"/>
      <c r="D242" s="13"/>
      <c r="E242" s="67"/>
      <c r="F242" s="67"/>
      <c r="G242" s="67"/>
      <c r="H242" s="67"/>
      <c r="I242" s="67"/>
      <c r="J242" s="67"/>
      <c r="K242" s="67"/>
      <c r="L242" s="67"/>
      <c r="M242" s="67"/>
      <c r="N242" s="67"/>
      <c r="O242" s="36"/>
      <c r="P242" s="23"/>
      <c r="Q242" s="23"/>
      <c r="R242" s="23"/>
      <c r="S242" s="23"/>
      <c r="T242" s="23"/>
      <c r="U242" s="23"/>
      <c r="V242" s="23"/>
      <c r="W242" s="23"/>
      <c r="X242" s="23"/>
      <c r="Y242" s="23"/>
    </row>
    <row r="243" spans="1:25" s="24" customFormat="1" x14ac:dyDescent="0.2">
      <c r="A243" s="23"/>
      <c r="D243" s="13" t="s">
        <v>1019</v>
      </c>
      <c r="E243" s="949" t="str">
        <f>Translations!$B$600</f>
        <v>Applied standards and of any deviations from those standards</v>
      </c>
      <c r="F243" s="949"/>
      <c r="G243" s="949"/>
      <c r="H243" s="949"/>
      <c r="I243" s="949"/>
      <c r="J243" s="949"/>
      <c r="K243" s="949"/>
      <c r="L243" s="949"/>
      <c r="M243" s="949"/>
      <c r="N243" s="949"/>
      <c r="O243" s="36"/>
      <c r="P243" s="23"/>
      <c r="Q243" s="23"/>
      <c r="R243" s="23"/>
      <c r="S243" s="23"/>
      <c r="T243" s="23"/>
      <c r="U243" s="23"/>
      <c r="V243" s="23"/>
      <c r="W243" s="23"/>
      <c r="X243" s="23"/>
      <c r="Y243" s="23"/>
    </row>
    <row r="244" spans="1:25" s="24" customFormat="1" x14ac:dyDescent="0.2">
      <c r="A244" s="23"/>
      <c r="D244" s="13"/>
      <c r="E244" s="869" t="str">
        <f>Translations!$B$601</f>
        <v>Please use references to table 9(e) above as appropriate.</v>
      </c>
      <c r="F244" s="869"/>
      <c r="G244" s="869"/>
      <c r="H244" s="869"/>
      <c r="I244" s="869"/>
      <c r="J244" s="869"/>
      <c r="K244" s="869"/>
      <c r="L244" s="869"/>
      <c r="M244" s="869"/>
      <c r="N244" s="869"/>
      <c r="O244" s="36"/>
      <c r="P244" s="23"/>
      <c r="Q244" s="23"/>
      <c r="R244" s="23"/>
      <c r="S244" s="23"/>
      <c r="T244" s="23"/>
      <c r="U244" s="23"/>
      <c r="V244" s="23"/>
      <c r="W244" s="23"/>
      <c r="X244" s="23"/>
      <c r="Y244" s="23"/>
    </row>
    <row r="245" spans="1:25" s="24" customFormat="1" ht="5.0999999999999996" customHeight="1" x14ac:dyDescent="0.2">
      <c r="A245" s="23"/>
      <c r="D245" s="13"/>
      <c r="O245" s="36"/>
      <c r="P245" s="23"/>
      <c r="Q245" s="23"/>
      <c r="R245" s="23"/>
      <c r="S245" s="23"/>
      <c r="T245" s="23"/>
      <c r="U245" s="23"/>
      <c r="V245" s="23"/>
      <c r="W245" s="23"/>
      <c r="X245" s="23"/>
      <c r="Y245" s="23"/>
    </row>
    <row r="246" spans="1:25" s="24" customFormat="1" ht="12.75" customHeight="1" x14ac:dyDescent="0.2">
      <c r="A246" s="23"/>
      <c r="D246" s="13"/>
      <c r="E246" s="1099"/>
      <c r="F246" s="1052"/>
      <c r="G246" s="1052"/>
      <c r="H246" s="1052"/>
      <c r="I246" s="1052"/>
      <c r="J246" s="1052"/>
      <c r="K246" s="1052"/>
      <c r="L246" s="1052"/>
      <c r="M246" s="1052"/>
      <c r="N246" s="1053"/>
      <c r="O246" s="36"/>
      <c r="P246" s="23"/>
      <c r="Q246" s="23"/>
      <c r="R246" s="23"/>
      <c r="S246" s="23"/>
      <c r="T246" s="23"/>
      <c r="U246" s="23"/>
      <c r="V246" s="23"/>
      <c r="W246" s="23"/>
      <c r="X246" s="23"/>
      <c r="Y246" s="23"/>
    </row>
    <row r="247" spans="1:25" s="24" customFormat="1" x14ac:dyDescent="0.2">
      <c r="A247" s="23"/>
      <c r="D247" s="13"/>
      <c r="E247" s="1054"/>
      <c r="F247" s="1055"/>
      <c r="G247" s="1055"/>
      <c r="H247" s="1055"/>
      <c r="I247" s="1055"/>
      <c r="J247" s="1055"/>
      <c r="K247" s="1055"/>
      <c r="L247" s="1055"/>
      <c r="M247" s="1055"/>
      <c r="N247" s="1056"/>
      <c r="O247" s="36"/>
      <c r="P247" s="23"/>
      <c r="Q247" s="23"/>
      <c r="R247" s="23"/>
      <c r="S247" s="23"/>
      <c r="T247" s="23"/>
      <c r="U247" s="23"/>
      <c r="V247" s="23"/>
      <c r="W247" s="23"/>
      <c r="X247" s="23"/>
      <c r="Y247" s="23"/>
    </row>
    <row r="248" spans="1:25" s="24" customFormat="1" x14ac:dyDescent="0.2">
      <c r="A248" s="23"/>
      <c r="D248" s="13"/>
      <c r="E248" s="1057"/>
      <c r="F248" s="1058"/>
      <c r="G248" s="1058"/>
      <c r="H248" s="1058"/>
      <c r="I248" s="1058"/>
      <c r="J248" s="1058"/>
      <c r="K248" s="1058"/>
      <c r="L248" s="1058"/>
      <c r="M248" s="1058"/>
      <c r="N248" s="1059"/>
      <c r="O248" s="36"/>
      <c r="P248" s="23"/>
      <c r="Q248" s="23"/>
      <c r="R248" s="23"/>
      <c r="S248" s="23"/>
      <c r="T248" s="23"/>
      <c r="U248" s="23"/>
      <c r="V248" s="23"/>
      <c r="W248" s="23"/>
      <c r="X248" s="23"/>
      <c r="Y248" s="23"/>
    </row>
    <row r="249" spans="1:25" s="24" customFormat="1" x14ac:dyDescent="0.2">
      <c r="A249" s="23"/>
      <c r="D249" s="13"/>
      <c r="O249" s="36"/>
      <c r="P249" s="23"/>
      <c r="Q249" s="23"/>
      <c r="R249" s="23"/>
      <c r="S249" s="23"/>
      <c r="T249" s="23"/>
      <c r="U249" s="23"/>
      <c r="V249" s="23"/>
      <c r="W249" s="23"/>
      <c r="X249" s="23"/>
      <c r="Y249" s="23"/>
    </row>
    <row r="250" spans="1:25" s="24" customFormat="1" x14ac:dyDescent="0.2">
      <c r="A250" s="23"/>
      <c r="D250" s="13" t="s">
        <v>1349</v>
      </c>
      <c r="E250" s="949" t="str">
        <f>Translations!$B$602</f>
        <v>References to procedures</v>
      </c>
      <c r="F250" s="949"/>
      <c r="G250" s="949"/>
      <c r="H250" s="949"/>
      <c r="I250" s="949"/>
      <c r="J250" s="949"/>
      <c r="K250" s="949"/>
      <c r="L250" s="949"/>
      <c r="M250" s="949"/>
      <c r="N250" s="949"/>
      <c r="O250" s="36"/>
      <c r="P250" s="23"/>
      <c r="Q250" s="23"/>
      <c r="R250" s="23"/>
      <c r="S250" s="23"/>
      <c r="T250" s="23"/>
      <c r="U250" s="23"/>
      <c r="V250" s="23"/>
      <c r="W250" s="23"/>
      <c r="X250" s="23"/>
      <c r="Y250" s="23"/>
    </row>
    <row r="251" spans="1:25" s="24" customFormat="1" ht="5.0999999999999996" customHeight="1" x14ac:dyDescent="0.2">
      <c r="A251" s="23"/>
      <c r="D251" s="13"/>
      <c r="O251" s="36"/>
      <c r="P251" s="23"/>
      <c r="Q251" s="23"/>
      <c r="R251" s="23"/>
      <c r="S251" s="23"/>
      <c r="T251" s="23"/>
      <c r="U251" s="23"/>
      <c r="V251" s="23"/>
      <c r="W251" s="23"/>
      <c r="X251" s="23"/>
      <c r="Y251" s="23"/>
    </row>
    <row r="252" spans="1:25" s="24" customFormat="1" x14ac:dyDescent="0.2">
      <c r="A252" s="23"/>
      <c r="D252" s="13"/>
      <c r="E252" s="46" t="s">
        <v>1030</v>
      </c>
      <c r="F252" s="1049" t="str">
        <f>Translations!$B$604</f>
        <v>Any calculation formulae used for data aggregation and used to determine the annual emissions</v>
      </c>
      <c r="G252" s="1049"/>
      <c r="H252" s="1049"/>
      <c r="I252" s="1049"/>
      <c r="J252" s="1049"/>
      <c r="K252" s="1049"/>
      <c r="L252" s="1049"/>
      <c r="M252" s="1049"/>
      <c r="N252" s="1049"/>
      <c r="O252" s="36"/>
      <c r="P252" s="23"/>
      <c r="Q252" s="23"/>
      <c r="R252" s="23"/>
      <c r="S252" s="23"/>
      <c r="T252" s="23"/>
      <c r="U252" s="23"/>
      <c r="V252" s="23"/>
      <c r="W252" s="23"/>
      <c r="X252" s="23"/>
      <c r="Y252" s="23"/>
    </row>
    <row r="253" spans="1:25" s="24" customFormat="1" x14ac:dyDescent="0.2">
      <c r="A253" s="23"/>
      <c r="D253" s="13"/>
      <c r="E253" s="14"/>
      <c r="F253" s="870"/>
      <c r="G253" s="1036"/>
      <c r="H253" s="1036"/>
      <c r="I253" s="1036"/>
      <c r="J253" s="1036"/>
      <c r="K253" s="1036"/>
      <c r="L253" s="1036"/>
      <c r="M253" s="1036"/>
      <c r="N253" s="972"/>
      <c r="O253" s="36"/>
      <c r="P253" s="23"/>
      <c r="Q253" s="23"/>
      <c r="R253" s="23"/>
      <c r="S253" s="23"/>
      <c r="T253" s="23"/>
      <c r="U253" s="23"/>
      <c r="V253" s="23"/>
      <c r="W253" s="23"/>
      <c r="X253" s="23"/>
      <c r="Y253" s="23"/>
    </row>
    <row r="254" spans="1:25" s="24" customFormat="1" ht="5.0999999999999996" customHeight="1" x14ac:dyDescent="0.2">
      <c r="A254" s="23"/>
      <c r="D254" s="13"/>
      <c r="E254" s="14"/>
      <c r="F254" s="14"/>
      <c r="G254" s="14"/>
      <c r="H254" s="14"/>
      <c r="I254" s="14"/>
      <c r="L254" s="22"/>
      <c r="O254" s="36"/>
      <c r="P254" s="23"/>
      <c r="Q254" s="23"/>
      <c r="R254" s="23"/>
      <c r="S254" s="23"/>
      <c r="T254" s="23"/>
      <c r="U254" s="23"/>
      <c r="V254" s="23"/>
      <c r="W254" s="23"/>
      <c r="X254" s="23"/>
      <c r="Y254" s="23"/>
    </row>
    <row r="255" spans="1:25" s="24" customFormat="1" ht="25.5" customHeight="1" x14ac:dyDescent="0.2">
      <c r="A255" s="23"/>
      <c r="D255" s="13"/>
      <c r="E255" s="46" t="s">
        <v>1031</v>
      </c>
      <c r="F255" s="752" t="str">
        <f>Translations!$B$605</f>
        <v>Method for determining whether valid hours or shorter reference periods for each parameter can be calculated (using the threshold given in Article 44(2)), and for substitution of missing data in accordance with Article 45</v>
      </c>
      <c r="G255" s="752"/>
      <c r="H255" s="752"/>
      <c r="I255" s="752"/>
      <c r="J255" s="752"/>
      <c r="K255" s="752"/>
      <c r="L255" s="752"/>
      <c r="M255" s="752"/>
      <c r="N255" s="752"/>
      <c r="O255" s="36"/>
      <c r="P255" s="23"/>
      <c r="Q255" s="23"/>
      <c r="R255" s="23"/>
      <c r="S255" s="23"/>
      <c r="T255" s="23"/>
      <c r="U255" s="23"/>
      <c r="V255" s="23"/>
      <c r="W255" s="23"/>
      <c r="X255" s="23"/>
      <c r="Y255" s="23"/>
    </row>
    <row r="256" spans="1:25" s="24" customFormat="1" x14ac:dyDescent="0.2">
      <c r="A256" s="23"/>
      <c r="D256" s="13"/>
      <c r="E256" s="14"/>
      <c r="F256" s="870"/>
      <c r="G256" s="1036"/>
      <c r="H256" s="1036"/>
      <c r="I256" s="1036"/>
      <c r="J256" s="1036"/>
      <c r="K256" s="1036"/>
      <c r="L256" s="1036"/>
      <c r="M256" s="1036"/>
      <c r="N256" s="972"/>
      <c r="O256" s="36"/>
      <c r="P256" s="23"/>
      <c r="Q256" s="23"/>
      <c r="R256" s="23"/>
      <c r="S256" s="23"/>
      <c r="T256" s="23"/>
      <c r="U256" s="23"/>
      <c r="V256" s="23"/>
      <c r="W256" s="23"/>
      <c r="X256" s="23"/>
      <c r="Y256" s="23"/>
    </row>
    <row r="257" spans="1:25" s="24" customFormat="1" ht="5.0999999999999996" customHeight="1" x14ac:dyDescent="0.2">
      <c r="A257" s="23"/>
      <c r="D257" s="13"/>
      <c r="E257" s="14"/>
      <c r="F257" s="14"/>
      <c r="G257" s="14"/>
      <c r="H257" s="14"/>
      <c r="I257" s="14"/>
      <c r="L257" s="22"/>
      <c r="O257" s="36"/>
      <c r="P257" s="23"/>
      <c r="Q257" s="23"/>
      <c r="R257" s="23"/>
      <c r="S257" s="23"/>
      <c r="T257" s="23"/>
      <c r="U257" s="23"/>
      <c r="V257" s="23"/>
      <c r="W257" s="23"/>
      <c r="X257" s="23"/>
      <c r="Y257" s="23"/>
    </row>
    <row r="258" spans="1:25" s="24" customFormat="1" x14ac:dyDescent="0.2">
      <c r="A258" s="23"/>
      <c r="D258" s="13"/>
      <c r="E258" s="46" t="s">
        <v>1468</v>
      </c>
      <c r="F258" s="1049" t="str">
        <f>Translations!$B$606</f>
        <v>Calculation of the flue gas flow, if applicable</v>
      </c>
      <c r="G258" s="1049"/>
      <c r="H258" s="1049"/>
      <c r="I258" s="1049"/>
      <c r="J258" s="1049"/>
      <c r="K258" s="1049"/>
      <c r="L258" s="1049"/>
      <c r="M258" s="1049"/>
      <c r="N258" s="1049"/>
      <c r="O258" s="36"/>
      <c r="P258" s="23"/>
      <c r="Q258" s="23"/>
      <c r="R258" s="23"/>
      <c r="S258" s="23"/>
      <c r="T258" s="23"/>
      <c r="U258" s="23"/>
      <c r="V258" s="23"/>
      <c r="W258" s="23"/>
      <c r="X258" s="23"/>
      <c r="Y258" s="23"/>
    </row>
    <row r="259" spans="1:25" s="24" customFormat="1" x14ac:dyDescent="0.2">
      <c r="A259" s="23"/>
      <c r="D259" s="13"/>
      <c r="E259" s="14"/>
      <c r="F259" s="870"/>
      <c r="G259" s="1036"/>
      <c r="H259" s="1036"/>
      <c r="I259" s="1036"/>
      <c r="J259" s="1036"/>
      <c r="K259" s="1036"/>
      <c r="L259" s="1036"/>
      <c r="M259" s="1036"/>
      <c r="N259" s="972"/>
      <c r="O259" s="36"/>
      <c r="P259" s="23"/>
      <c r="Q259" s="23"/>
      <c r="R259" s="23"/>
      <c r="S259" s="23"/>
      <c r="T259" s="23"/>
      <c r="U259" s="23"/>
      <c r="V259" s="23"/>
      <c r="W259" s="23"/>
      <c r="X259" s="23"/>
      <c r="Y259" s="23"/>
    </row>
    <row r="260" spans="1:25" s="24" customFormat="1" ht="5.0999999999999996" customHeight="1" x14ac:dyDescent="0.2">
      <c r="A260" s="23"/>
      <c r="D260" s="13"/>
      <c r="E260" s="14"/>
      <c r="F260" s="11"/>
      <c r="G260" s="14"/>
      <c r="H260" s="14"/>
      <c r="I260" s="14"/>
      <c r="L260" s="22"/>
      <c r="O260" s="36"/>
      <c r="P260" s="23"/>
      <c r="Q260" s="23"/>
      <c r="R260" s="23"/>
      <c r="S260" s="23"/>
      <c r="T260" s="23"/>
      <c r="U260" s="23"/>
      <c r="V260" s="23"/>
      <c r="W260" s="23"/>
      <c r="X260" s="23"/>
      <c r="Y260" s="23"/>
    </row>
    <row r="261" spans="1:25" s="24" customFormat="1" x14ac:dyDescent="0.2">
      <c r="A261" s="23"/>
      <c r="D261" s="13"/>
      <c r="E261" s="46" t="s">
        <v>1469</v>
      </c>
      <c r="F261" s="1049" t="str">
        <f>Translations!$B$1356</f>
        <v>Determination of CO2 stemming from biomass or from any other zero-rated fraction, if applicable</v>
      </c>
      <c r="G261" s="1049"/>
      <c r="H261" s="1049"/>
      <c r="I261" s="1049"/>
      <c r="J261" s="1049"/>
      <c r="K261" s="1049"/>
      <c r="L261" s="1049"/>
      <c r="M261" s="1049"/>
      <c r="N261" s="1049"/>
      <c r="O261" s="36"/>
      <c r="P261" s="23"/>
      <c r="Q261" s="23"/>
      <c r="R261" s="23"/>
      <c r="S261" s="23"/>
      <c r="T261" s="23"/>
      <c r="U261" s="23"/>
      <c r="V261" s="23"/>
      <c r="W261" s="23"/>
      <c r="X261" s="23"/>
      <c r="Y261" s="23"/>
    </row>
    <row r="262" spans="1:25" s="24" customFormat="1" x14ac:dyDescent="0.2">
      <c r="A262" s="23"/>
      <c r="D262" s="13"/>
      <c r="E262" s="14"/>
      <c r="F262" s="870"/>
      <c r="G262" s="1036"/>
      <c r="H262" s="1036"/>
      <c r="I262" s="1036"/>
      <c r="J262" s="1036"/>
      <c r="K262" s="1036"/>
      <c r="L262" s="1036"/>
      <c r="M262" s="1036"/>
      <c r="N262" s="972"/>
      <c r="O262" s="36"/>
      <c r="P262" s="23"/>
      <c r="Q262" s="23"/>
      <c r="R262" s="23"/>
      <c r="S262" s="23"/>
      <c r="T262" s="23"/>
      <c r="U262" s="23"/>
      <c r="V262" s="23"/>
      <c r="W262" s="23"/>
      <c r="X262" s="23"/>
      <c r="Y262" s="23"/>
    </row>
    <row r="263" spans="1:25" s="24" customFormat="1" ht="5.0999999999999996" customHeight="1" x14ac:dyDescent="0.2">
      <c r="A263" s="23"/>
      <c r="D263" s="13"/>
      <c r="E263" s="14"/>
      <c r="F263" s="14"/>
      <c r="G263" s="14"/>
      <c r="H263" s="14"/>
      <c r="I263" s="14"/>
      <c r="J263" s="234"/>
      <c r="K263" s="234"/>
      <c r="L263" s="234"/>
      <c r="M263" s="234"/>
      <c r="N263" s="234"/>
      <c r="O263" s="36"/>
      <c r="P263" s="23"/>
      <c r="Q263" s="23"/>
      <c r="R263" s="23"/>
      <c r="S263" s="23"/>
      <c r="T263" s="23"/>
      <c r="U263" s="23"/>
      <c r="V263" s="23"/>
      <c r="W263" s="23"/>
      <c r="X263" s="23"/>
      <c r="Y263" s="23"/>
    </row>
    <row r="264" spans="1:25" s="24" customFormat="1" x14ac:dyDescent="0.2">
      <c r="A264" s="23"/>
      <c r="D264" s="13"/>
      <c r="E264" s="46" t="s">
        <v>1470</v>
      </c>
      <c r="F264" s="1049" t="str">
        <f>Translations!$B$608</f>
        <v>Corroborating calculations in accordance with Article 46 that are carried out, if applicable</v>
      </c>
      <c r="G264" s="1049"/>
      <c r="H264" s="1049"/>
      <c r="I264" s="1049"/>
      <c r="J264" s="1049"/>
      <c r="K264" s="1049"/>
      <c r="L264" s="1049"/>
      <c r="M264" s="1049"/>
      <c r="N264" s="1049"/>
      <c r="O264" s="36"/>
      <c r="P264" s="23"/>
      <c r="Q264" s="23"/>
      <c r="R264" s="23"/>
      <c r="S264" s="23"/>
      <c r="T264" s="23"/>
      <c r="U264" s="23"/>
      <c r="V264" s="23"/>
      <c r="W264" s="23"/>
      <c r="X264" s="23"/>
      <c r="Y264" s="23"/>
    </row>
    <row r="265" spans="1:25" s="24" customFormat="1" x14ac:dyDescent="0.2">
      <c r="A265" s="23"/>
      <c r="D265" s="13"/>
      <c r="E265" s="14"/>
      <c r="F265" s="870"/>
      <c r="G265" s="1036"/>
      <c r="H265" s="1036"/>
      <c r="I265" s="1036"/>
      <c r="J265" s="1036"/>
      <c r="K265" s="1036"/>
      <c r="L265" s="1036"/>
      <c r="M265" s="1036"/>
      <c r="N265" s="972"/>
      <c r="O265" s="36"/>
      <c r="P265" s="23"/>
      <c r="Q265" s="23"/>
      <c r="R265" s="23"/>
      <c r="S265" s="23"/>
      <c r="T265" s="23"/>
      <c r="U265" s="23"/>
      <c r="V265" s="23"/>
      <c r="W265" s="23"/>
      <c r="X265" s="23"/>
      <c r="Y265" s="23"/>
    </row>
    <row r="266" spans="1:25" s="24" customFormat="1" ht="5.0999999999999996" customHeight="1" x14ac:dyDescent="0.2">
      <c r="A266" s="23"/>
      <c r="D266" s="13"/>
      <c r="E266" s="14"/>
      <c r="F266" s="14"/>
      <c r="G266" s="14"/>
      <c r="H266" s="14"/>
      <c r="I266" s="14"/>
      <c r="L266" s="22"/>
      <c r="O266" s="36"/>
      <c r="P266" s="23"/>
      <c r="Q266" s="23"/>
      <c r="R266" s="23"/>
      <c r="S266" s="23"/>
      <c r="T266" s="23"/>
      <c r="U266" s="23"/>
      <c r="V266" s="23"/>
      <c r="W266" s="23"/>
      <c r="X266" s="23"/>
      <c r="Y266" s="23"/>
    </row>
    <row r="267" spans="1:25" s="24" customFormat="1" ht="15" x14ac:dyDescent="0.2">
      <c r="A267" s="23"/>
      <c r="D267" s="1040" t="str">
        <f>Translations!$B$545</f>
        <v>Comments and explanations:</v>
      </c>
      <c r="E267" s="1040"/>
      <c r="F267" s="1040"/>
      <c r="G267" s="1040"/>
      <c r="H267" s="1040"/>
      <c r="I267" s="1040"/>
      <c r="J267" s="1040"/>
      <c r="K267" s="1040"/>
      <c r="L267" s="1040"/>
      <c r="M267" s="1040"/>
      <c r="N267" s="1040"/>
      <c r="O267" s="36"/>
      <c r="P267" s="23"/>
      <c r="Q267" s="23"/>
      <c r="R267" s="23"/>
      <c r="S267" s="23"/>
      <c r="T267" s="23"/>
      <c r="U267" s="23"/>
      <c r="V267" s="23"/>
      <c r="W267" s="23"/>
      <c r="X267" s="23"/>
      <c r="Y267" s="23"/>
    </row>
    <row r="268" spans="1:25" s="24" customFormat="1" ht="5.0999999999999996" customHeight="1" x14ac:dyDescent="0.2">
      <c r="A268" s="23"/>
      <c r="D268" s="13"/>
      <c r="E268" s="67"/>
      <c r="F268" s="67"/>
      <c r="G268" s="67"/>
      <c r="H268" s="67"/>
      <c r="I268" s="67"/>
      <c r="J268" s="67"/>
      <c r="K268" s="67"/>
      <c r="L268" s="67"/>
      <c r="M268" s="67"/>
      <c r="N268" s="67"/>
      <c r="O268" s="36"/>
      <c r="P268" s="23"/>
      <c r="Q268" s="23"/>
      <c r="R268" s="23"/>
      <c r="S268" s="23"/>
      <c r="T268" s="23"/>
      <c r="U268" s="23"/>
      <c r="V268" s="23"/>
      <c r="W268" s="23"/>
      <c r="X268" s="23"/>
      <c r="Y268" s="23"/>
    </row>
    <row r="269" spans="1:25" s="24" customFormat="1" x14ac:dyDescent="0.2">
      <c r="A269" s="23"/>
      <c r="D269" s="13" t="s">
        <v>1351</v>
      </c>
      <c r="E269" s="949" t="str">
        <f>Translations!$B$1202</f>
        <v>Comments and justification if required tier is not applied:</v>
      </c>
      <c r="F269" s="949"/>
      <c r="G269" s="949"/>
      <c r="H269" s="949"/>
      <c r="I269" s="949"/>
      <c r="J269" s="949"/>
      <c r="K269" s="949"/>
      <c r="L269" s="949"/>
      <c r="M269" s="949"/>
      <c r="N269" s="949"/>
      <c r="O269" s="36"/>
      <c r="P269" s="23"/>
      <c r="Q269" s="23"/>
      <c r="R269" s="23"/>
      <c r="S269" s="23"/>
      <c r="T269" s="23"/>
      <c r="U269" s="23"/>
      <c r="V269" s="23"/>
      <c r="W269" s="23"/>
      <c r="X269" s="23"/>
      <c r="Y269" s="23"/>
    </row>
    <row r="270" spans="1:25" s="24" customFormat="1" ht="5.0999999999999996" customHeight="1" x14ac:dyDescent="0.2">
      <c r="A270" s="23"/>
      <c r="D270" s="13"/>
      <c r="E270" s="48"/>
      <c r="O270" s="36"/>
      <c r="P270" s="23"/>
      <c r="Q270" s="23"/>
      <c r="R270" s="23"/>
      <c r="S270" s="23"/>
      <c r="T270" s="23"/>
      <c r="U270" s="23"/>
      <c r="V270" s="23"/>
      <c r="W270" s="23"/>
      <c r="X270" s="23"/>
      <c r="Y270" s="23"/>
    </row>
    <row r="271" spans="1:25" s="24" customFormat="1" x14ac:dyDescent="0.2">
      <c r="A271" s="23"/>
      <c r="D271" s="13"/>
      <c r="E271" s="1045"/>
      <c r="F271" s="955"/>
      <c r="G271" s="955"/>
      <c r="H271" s="955"/>
      <c r="I271" s="955"/>
      <c r="J271" s="955"/>
      <c r="K271" s="955"/>
      <c r="L271" s="955"/>
      <c r="M271" s="955"/>
      <c r="N271" s="956"/>
      <c r="O271" s="36"/>
      <c r="P271" s="23"/>
      <c r="Q271" s="23"/>
      <c r="R271" s="23"/>
      <c r="S271" s="23"/>
      <c r="T271" s="23"/>
      <c r="U271" s="23"/>
      <c r="V271" s="23"/>
      <c r="W271" s="23"/>
      <c r="X271" s="23"/>
      <c r="Y271" s="23"/>
    </row>
    <row r="272" spans="1:25" s="24" customFormat="1" x14ac:dyDescent="0.2">
      <c r="A272" s="23"/>
      <c r="D272" s="13"/>
      <c r="E272" s="1037"/>
      <c r="F272" s="958"/>
      <c r="G272" s="958"/>
      <c r="H272" s="958"/>
      <c r="I272" s="958"/>
      <c r="J272" s="958"/>
      <c r="K272" s="958"/>
      <c r="L272" s="958"/>
      <c r="M272" s="958"/>
      <c r="N272" s="959"/>
      <c r="O272" s="36"/>
      <c r="P272" s="23"/>
      <c r="Q272" s="23"/>
      <c r="R272" s="23"/>
      <c r="S272" s="23"/>
      <c r="T272" s="23"/>
      <c r="U272" s="23"/>
      <c r="V272" s="23"/>
      <c r="W272" s="23"/>
      <c r="X272" s="23"/>
      <c r="Y272" s="23"/>
    </row>
    <row r="273" spans="1:25" s="24" customFormat="1" x14ac:dyDescent="0.2">
      <c r="A273" s="23"/>
      <c r="D273" s="13"/>
      <c r="E273" s="1038"/>
      <c r="F273" s="961"/>
      <c r="G273" s="961"/>
      <c r="H273" s="961"/>
      <c r="I273" s="961"/>
      <c r="J273" s="961"/>
      <c r="K273" s="961"/>
      <c r="L273" s="961"/>
      <c r="M273" s="961"/>
      <c r="N273" s="962"/>
      <c r="O273" s="36"/>
      <c r="P273" s="23"/>
      <c r="Q273" s="23"/>
      <c r="R273" s="23"/>
      <c r="S273" s="23"/>
      <c r="T273" s="23"/>
      <c r="U273" s="23"/>
      <c r="V273" s="23"/>
      <c r="W273" s="23"/>
      <c r="X273" s="23"/>
      <c r="Y273" s="23"/>
    </row>
    <row r="274" spans="1:25" ht="12.75" customHeight="1" thickBot="1" x14ac:dyDescent="0.25">
      <c r="B274" s="11"/>
      <c r="C274" s="54"/>
      <c r="D274" s="55"/>
      <c r="E274" s="56"/>
      <c r="F274" s="54"/>
      <c r="G274" s="57"/>
      <c r="H274" s="57"/>
      <c r="I274" s="57"/>
      <c r="J274" s="57"/>
      <c r="K274" s="57"/>
      <c r="L274" s="57"/>
      <c r="M274" s="57"/>
      <c r="N274" s="57"/>
      <c r="O274" s="36"/>
      <c r="P274" s="6"/>
      <c r="S274" s="359"/>
    </row>
    <row r="275" spans="1:25" ht="12.75" customHeight="1" thickBot="1" x14ac:dyDescent="0.25">
      <c r="B275" s="417"/>
      <c r="C275" s="417"/>
      <c r="D275" s="441"/>
      <c r="E275" s="411"/>
      <c r="F275" s="411"/>
      <c r="G275" s="411"/>
      <c r="H275" s="411"/>
      <c r="I275" s="411"/>
      <c r="J275" s="411"/>
      <c r="K275" s="411"/>
      <c r="L275" s="411"/>
      <c r="M275" s="417"/>
      <c r="N275" s="417"/>
      <c r="O275" s="36"/>
      <c r="P275" s="23"/>
      <c r="Q275" s="23"/>
      <c r="R275" s="23"/>
      <c r="S275" s="23"/>
      <c r="T275" s="23"/>
      <c r="U275" s="23"/>
      <c r="V275" s="23"/>
      <c r="W275" s="23"/>
      <c r="Y275" s="65" t="s">
        <v>727</v>
      </c>
    </row>
    <row r="276" spans="1:25" s="186" customFormat="1" ht="15" customHeight="1" thickBot="1" x14ac:dyDescent="0.25">
      <c r="A276" s="248"/>
      <c r="B276" s="34"/>
      <c r="C276" s="35" t="str">
        <f>"M"&amp;Q276</f>
        <v>M3</v>
      </c>
      <c r="D276" s="1040" t="str">
        <f>CONCATENATE(EUconst_MeasurementPoint," ",Q276,":")</f>
        <v>Measurement Point 3:</v>
      </c>
      <c r="E276" s="1040"/>
      <c r="F276" s="1040"/>
      <c r="G276" s="1066"/>
      <c r="H276" s="1067" t="str">
        <f>IF(INDEX(C_InstallationDescription!$F$171:$F$176,MATCH(C276,C_InstallationDescription!$E$171:$E$176,0))&gt;0,INDEX(C_InstallationDescription!$F$171:$F$176,MATCH(C276,C_InstallationDescription!$E$171:$E$176,0)),"")</f>
        <v/>
      </c>
      <c r="I276" s="1067"/>
      <c r="J276" s="1067"/>
      <c r="K276" s="1067"/>
      <c r="L276" s="1068"/>
      <c r="M276" s="1069" t="str">
        <f>IF(U276=TRUE,V276,"")</f>
        <v/>
      </c>
      <c r="N276" s="1070"/>
      <c r="O276" s="36"/>
      <c r="P276" s="252"/>
      <c r="Q276" s="33">
        <f>Q218+1</f>
        <v>3</v>
      </c>
      <c r="R276" s="37"/>
      <c r="S276" s="40" t="b">
        <f>IF(INDEX(C_InstallationDescription!$M:$M,MATCH(Q278,C_InstallationDescription!$Q:$Q,0))="",FALSE,TRUE)</f>
        <v>0</v>
      </c>
      <c r="T276" s="372" t="str">
        <f>IF(S276=TRUE,INDEX(C_InstallationDescription!$M:$M,MATCH(Q278,C_InstallationDescription!$Q:$Q,0)),"")</f>
        <v/>
      </c>
      <c r="U276" s="40" t="b">
        <f>IF(INDEX(C_InstallationDescription!$N:$N,MATCH(Q278,C_InstallationDescription!$Q:$Q,0))="",FALSE,TRUE)</f>
        <v>0</v>
      </c>
      <c r="V276" s="372" t="str">
        <f>IF(U276=TRUE,INDEX(C_InstallationDescription!$N:$N,MATCH(Q278,C_InstallationDescription!$Q:$Q,0)),"")</f>
        <v/>
      </c>
      <c r="W276" s="37"/>
      <c r="X276" s="37"/>
      <c r="Y276" s="40" t="s">
        <v>420</v>
      </c>
    </row>
    <row r="277" spans="1:25" s="24" customFormat="1" ht="5.0999999999999996" customHeight="1" thickBot="1" x14ac:dyDescent="0.25">
      <c r="A277" s="65"/>
      <c r="B277" s="8"/>
      <c r="C277" s="8"/>
      <c r="D277" s="10"/>
      <c r="E277" s="8"/>
      <c r="F277" s="8"/>
      <c r="G277" s="8"/>
      <c r="H277" s="8"/>
      <c r="I277" s="8"/>
      <c r="J277" s="8"/>
      <c r="K277" s="8"/>
      <c r="L277" s="8"/>
      <c r="M277" s="7"/>
      <c r="N277" s="7"/>
      <c r="O277" s="36"/>
      <c r="P277" s="12"/>
      <c r="Q277" s="12"/>
      <c r="R277" s="23"/>
      <c r="S277" s="23"/>
      <c r="T277" s="23"/>
      <c r="U277" s="23"/>
      <c r="V277" s="23"/>
      <c r="W277" s="23"/>
      <c r="X277" s="23"/>
      <c r="Y277" s="23"/>
    </row>
    <row r="278" spans="1:25" s="24" customFormat="1" ht="13.5" thickBot="1" x14ac:dyDescent="0.25">
      <c r="A278" s="23"/>
      <c r="D278" s="13" t="s">
        <v>1018</v>
      </c>
      <c r="E278" s="825" t="str">
        <f>Translations!$B$583</f>
        <v>Operation type:</v>
      </c>
      <c r="F278" s="825"/>
      <c r="G278" s="1100"/>
      <c r="H278" s="1101"/>
      <c r="I278" s="1101"/>
      <c r="J278" s="1101"/>
      <c r="K278" s="14"/>
      <c r="L278" s="14"/>
      <c r="M278" s="1069" t="str">
        <f>IF(S276=TRUE,T276,"")</f>
        <v/>
      </c>
      <c r="N278" s="1070"/>
      <c r="O278" s="36"/>
      <c r="P278" s="23"/>
      <c r="Q278" s="32" t="str">
        <f>EUconst_CNTR_SourceCategory&amp;C276</f>
        <v>SourceCategory_M3</v>
      </c>
      <c r="R278" s="23"/>
      <c r="S278" s="23"/>
      <c r="T278" s="23"/>
      <c r="U278" s="23"/>
      <c r="V278" s="23"/>
      <c r="W278" s="23"/>
      <c r="X278" s="23"/>
      <c r="Y278" s="23"/>
    </row>
    <row r="279" spans="1:25" s="24" customFormat="1" ht="5.0999999999999996" customHeight="1" x14ac:dyDescent="0.2">
      <c r="A279" s="23"/>
      <c r="D279" s="222"/>
      <c r="O279" s="36"/>
      <c r="P279" s="23"/>
      <c r="Q279" s="23"/>
      <c r="R279" s="23"/>
      <c r="S279" s="23"/>
      <c r="T279" s="23"/>
      <c r="U279" s="23"/>
      <c r="V279" s="23"/>
      <c r="W279" s="23"/>
      <c r="X279" s="23"/>
      <c r="Y279" s="23"/>
    </row>
    <row r="280" spans="1:25" s="24" customFormat="1" ht="12.75" customHeight="1" x14ac:dyDescent="0.2">
      <c r="A280" s="23"/>
      <c r="D280" s="1040" t="str">
        <f>Translations!$B$446</f>
        <v>Automatic guidance on applicable tiers:</v>
      </c>
      <c r="E280" s="1040"/>
      <c r="F280" s="1040"/>
      <c r="G280" s="1040"/>
      <c r="H280" s="1040"/>
      <c r="I280" s="1040"/>
      <c r="J280" s="1040"/>
      <c r="K280" s="1040"/>
      <c r="L280" s="1040"/>
      <c r="M280" s="1040"/>
      <c r="N280" s="1040"/>
      <c r="O280" s="36"/>
      <c r="P280" s="23"/>
      <c r="Q280" s="23"/>
      <c r="R280" s="23"/>
      <c r="S280" s="23"/>
      <c r="T280" s="23"/>
      <c r="U280" s="23"/>
      <c r="V280" s="23"/>
      <c r="W280" s="23"/>
      <c r="X280" s="23"/>
      <c r="Y280" s="23"/>
    </row>
    <row r="281" spans="1:25" s="24" customFormat="1" ht="4.5" customHeight="1" x14ac:dyDescent="0.2">
      <c r="A281" s="23"/>
      <c r="D281" s="13"/>
      <c r="E281" s="129"/>
      <c r="F281" s="129"/>
      <c r="G281" s="129"/>
      <c r="H281" s="129"/>
      <c r="I281" s="129"/>
      <c r="J281" s="129"/>
      <c r="K281" s="129"/>
      <c r="L281" s="129"/>
      <c r="M281" s="129"/>
      <c r="N281" s="129"/>
      <c r="O281" s="36"/>
      <c r="P281" s="23"/>
      <c r="Q281" s="23"/>
      <c r="R281" s="23"/>
      <c r="S281" s="23"/>
      <c r="T281" s="23"/>
      <c r="U281" s="23"/>
      <c r="V281" s="23"/>
      <c r="W281" s="23"/>
      <c r="X281" s="23"/>
      <c r="Y281" s="23"/>
    </row>
    <row r="282" spans="1:25" s="24" customFormat="1" ht="5.0999999999999996" customHeight="1" x14ac:dyDescent="0.2">
      <c r="A282" s="23"/>
      <c r="D282" s="13"/>
      <c r="O282" s="36"/>
      <c r="P282" s="23"/>
      <c r="Q282" s="23"/>
      <c r="R282" s="23"/>
      <c r="S282" s="23"/>
      <c r="T282" s="23"/>
      <c r="U282" s="23"/>
      <c r="V282" s="23"/>
      <c r="W282" s="23"/>
      <c r="X282" s="23"/>
      <c r="Y282" s="23"/>
    </row>
    <row r="283" spans="1:25" s="24" customFormat="1" ht="60" customHeight="1" x14ac:dyDescent="0.2">
      <c r="A283" s="23"/>
      <c r="D283" s="13"/>
      <c r="E283" s="1063" t="str">
        <f>IF(H276="","",INDEX(EUconst_CEMSTiersMsg,MATCH(Q283,EUconst_CEMSTiers,0)))</f>
        <v/>
      </c>
      <c r="F283" s="1064"/>
      <c r="G283" s="1064"/>
      <c r="H283" s="1064"/>
      <c r="I283" s="1064"/>
      <c r="J283" s="1064"/>
      <c r="K283" s="1064"/>
      <c r="L283" s="1064"/>
      <c r="M283" s="1064"/>
      <c r="N283" s="1065"/>
      <c r="O283" s="36"/>
      <c r="P283" s="6"/>
      <c r="Q283" s="207" t="str">
        <f>IF(CNTR_SmallEmitter=TRUE,EUconst_CNTR_SmallEmitter,EUconst_CNTR_NoSmallEmitter) &amp; "_" &amp; IF(M278="",1,MATCH(M278,SourceCategoryCEMS,0))</f>
        <v>NoSmallEmitter__1</v>
      </c>
      <c r="R283" s="23"/>
      <c r="S283" s="23"/>
      <c r="T283" s="23"/>
      <c r="U283" s="23"/>
      <c r="V283" s="23"/>
      <c r="W283" s="23"/>
      <c r="X283" s="23"/>
      <c r="Y283" s="23"/>
    </row>
    <row r="284" spans="1:25" s="24" customFormat="1" ht="12.75" customHeight="1" x14ac:dyDescent="0.2">
      <c r="A284" s="23"/>
      <c r="D284" s="13"/>
      <c r="O284" s="36"/>
      <c r="P284" s="23"/>
      <c r="Q284" s="23"/>
      <c r="R284" s="23"/>
      <c r="S284" s="23"/>
      <c r="T284" s="23"/>
      <c r="U284" s="23"/>
      <c r="V284" s="23"/>
      <c r="W284" s="23"/>
      <c r="X284" s="23"/>
      <c r="Y284" s="23"/>
    </row>
    <row r="285" spans="1:25" s="24" customFormat="1" ht="15" customHeight="1" x14ac:dyDescent="0.2">
      <c r="A285" s="23"/>
      <c r="D285" s="1040" t="str">
        <f>Translations!$B$590</f>
        <v>Instruments and tier levels:</v>
      </c>
      <c r="E285" s="1040"/>
      <c r="F285" s="1040"/>
      <c r="G285" s="1040"/>
      <c r="H285" s="1040"/>
      <c r="I285" s="1040"/>
      <c r="J285" s="1040"/>
      <c r="K285" s="1040"/>
      <c r="L285" s="1040"/>
      <c r="M285" s="1040"/>
      <c r="N285" s="1040"/>
      <c r="O285" s="36"/>
      <c r="P285" s="23"/>
      <c r="Q285" s="23"/>
      <c r="R285" s="23"/>
      <c r="S285" s="23"/>
      <c r="T285" s="23"/>
      <c r="U285" s="23"/>
      <c r="V285" s="23"/>
      <c r="W285" s="23"/>
      <c r="X285" s="23"/>
      <c r="Y285" s="23"/>
    </row>
    <row r="286" spans="1:25" s="24" customFormat="1" ht="5.0999999999999996" customHeight="1" x14ac:dyDescent="0.2">
      <c r="A286" s="23"/>
      <c r="D286" s="13"/>
      <c r="O286" s="36"/>
      <c r="P286" s="23"/>
      <c r="Q286" s="23"/>
      <c r="R286" s="23"/>
      <c r="S286" s="23"/>
      <c r="T286" s="23"/>
      <c r="U286" s="23"/>
      <c r="V286" s="23"/>
      <c r="W286" s="23"/>
      <c r="X286" s="23"/>
      <c r="Y286" s="23"/>
    </row>
    <row r="287" spans="1:25" s="24" customFormat="1" ht="12.75" customHeight="1" x14ac:dyDescent="0.2">
      <c r="A287" s="23"/>
      <c r="D287" s="13" t="s">
        <v>1020</v>
      </c>
      <c r="E287" s="14" t="str">
        <f>Translations!$B$472</f>
        <v>Measurement instruments used:</v>
      </c>
      <c r="H287" s="215"/>
      <c r="I287" s="215"/>
      <c r="J287" s="215"/>
      <c r="K287" s="215"/>
      <c r="L287" s="215"/>
      <c r="O287" s="36"/>
      <c r="P287" s="23"/>
      <c r="Q287" s="23"/>
      <c r="R287" s="23"/>
      <c r="S287" s="23"/>
      <c r="T287" s="23"/>
      <c r="U287" s="23"/>
      <c r="V287" s="23"/>
      <c r="W287" s="23"/>
      <c r="X287" s="23"/>
      <c r="Y287" s="23"/>
    </row>
    <row r="288" spans="1:25" s="24" customFormat="1" ht="5.0999999999999996" customHeight="1" x14ac:dyDescent="0.2">
      <c r="A288" s="23"/>
      <c r="D288" s="13"/>
      <c r="E288" s="14"/>
      <c r="O288" s="36"/>
      <c r="P288" s="6"/>
      <c r="Q288" s="23"/>
      <c r="R288" s="23"/>
      <c r="S288" s="23"/>
      <c r="T288" s="23"/>
      <c r="U288" s="23"/>
      <c r="V288" s="23"/>
      <c r="W288" s="23"/>
      <c r="X288" s="23"/>
      <c r="Y288" s="23"/>
    </row>
    <row r="289" spans="1:25" s="24" customFormat="1" x14ac:dyDescent="0.2">
      <c r="A289" s="23"/>
      <c r="D289" s="13"/>
      <c r="E289" s="24" t="str">
        <f>Translations!$B$475</f>
        <v>Comment / Description of approach, if several instruments used:</v>
      </c>
      <c r="I289" s="11"/>
      <c r="O289" s="36"/>
      <c r="P289" s="23"/>
      <c r="Q289" s="23"/>
      <c r="R289" s="23"/>
      <c r="S289" s="23"/>
      <c r="T289" s="23"/>
      <c r="U289" s="23"/>
      <c r="V289" s="23"/>
      <c r="W289" s="23"/>
      <c r="X289" s="23"/>
      <c r="Y289" s="23"/>
    </row>
    <row r="290" spans="1:25" s="24" customFormat="1" ht="5.0999999999999996" customHeight="1" x14ac:dyDescent="0.2">
      <c r="A290" s="23"/>
      <c r="D290" s="13"/>
      <c r="E290" s="67"/>
      <c r="F290" s="67"/>
      <c r="G290" s="67"/>
      <c r="H290" s="67"/>
      <c r="I290" s="67"/>
      <c r="J290" s="67"/>
      <c r="K290" s="67"/>
      <c r="L290" s="67"/>
      <c r="M290" s="67"/>
      <c r="N290" s="67"/>
      <c r="O290" s="36"/>
      <c r="P290" s="6"/>
      <c r="Q290" s="23"/>
      <c r="R290" s="23"/>
      <c r="S290" s="23"/>
      <c r="T290" s="23"/>
      <c r="U290" s="23"/>
      <c r="V290" s="23"/>
      <c r="W290" s="23"/>
      <c r="X290" s="23"/>
      <c r="Y290" s="23"/>
    </row>
    <row r="291" spans="1:25" s="24" customFormat="1" ht="12.75" customHeight="1" x14ac:dyDescent="0.2">
      <c r="A291" s="23"/>
      <c r="D291" s="13"/>
      <c r="E291" s="1099"/>
      <c r="F291" s="1052"/>
      <c r="G291" s="1052"/>
      <c r="H291" s="1052"/>
      <c r="I291" s="1052"/>
      <c r="J291" s="1052"/>
      <c r="K291" s="1052"/>
      <c r="L291" s="1052"/>
      <c r="M291" s="1052"/>
      <c r="N291" s="1053"/>
      <c r="O291" s="36"/>
      <c r="P291" s="23"/>
      <c r="Q291" s="23"/>
      <c r="R291" s="23"/>
      <c r="S291" s="23"/>
      <c r="T291" s="23"/>
      <c r="U291" s="23"/>
      <c r="V291" s="23"/>
      <c r="W291" s="23"/>
      <c r="X291" s="23"/>
      <c r="Y291" s="23"/>
    </row>
    <row r="292" spans="1:25" s="24" customFormat="1" x14ac:dyDescent="0.2">
      <c r="A292" s="23"/>
      <c r="D292" s="13"/>
      <c r="E292" s="1054"/>
      <c r="F292" s="1055"/>
      <c r="G292" s="1055"/>
      <c r="H292" s="1055"/>
      <c r="I292" s="1055"/>
      <c r="J292" s="1055"/>
      <c r="K292" s="1055"/>
      <c r="L292" s="1055"/>
      <c r="M292" s="1055"/>
      <c r="N292" s="1056"/>
      <c r="O292" s="36"/>
      <c r="P292" s="23"/>
      <c r="Q292" s="23"/>
      <c r="R292" s="23"/>
      <c r="S292" s="23"/>
      <c r="T292" s="23"/>
      <c r="U292" s="23"/>
      <c r="V292" s="23"/>
      <c r="W292" s="23"/>
      <c r="X292" s="23"/>
      <c r="Y292" s="23"/>
    </row>
    <row r="293" spans="1:25" s="24" customFormat="1" x14ac:dyDescent="0.2">
      <c r="A293" s="23"/>
      <c r="D293" s="13"/>
      <c r="E293" s="1057"/>
      <c r="F293" s="1058"/>
      <c r="G293" s="1058"/>
      <c r="H293" s="1058"/>
      <c r="I293" s="1058"/>
      <c r="J293" s="1058"/>
      <c r="K293" s="1058"/>
      <c r="L293" s="1058"/>
      <c r="M293" s="1058"/>
      <c r="N293" s="1059"/>
      <c r="O293" s="36"/>
      <c r="P293" s="23"/>
      <c r="Q293" s="23"/>
      <c r="R293" s="23"/>
      <c r="S293" s="23"/>
      <c r="T293" s="23"/>
      <c r="U293" s="23"/>
      <c r="V293" s="23"/>
      <c r="W293" s="23"/>
      <c r="X293" s="23"/>
      <c r="Y293" s="23"/>
    </row>
    <row r="294" spans="1:25" s="24" customFormat="1" x14ac:dyDescent="0.2">
      <c r="A294" s="23"/>
      <c r="D294" s="13"/>
      <c r="O294" s="36"/>
      <c r="P294" s="23"/>
      <c r="Q294" s="23"/>
      <c r="R294" s="23"/>
      <c r="S294" s="23" t="s">
        <v>419</v>
      </c>
      <c r="T294" s="23"/>
      <c r="U294" s="23"/>
      <c r="V294" s="23"/>
      <c r="W294" s="23"/>
      <c r="X294" s="23"/>
      <c r="Y294" s="23"/>
    </row>
    <row r="295" spans="1:25" s="24" customFormat="1" x14ac:dyDescent="0.2">
      <c r="A295" s="23"/>
      <c r="D295" s="13" t="s">
        <v>554</v>
      </c>
      <c r="E295" s="14" t="str">
        <f>Translations!$B$595</f>
        <v>Tier level required:</v>
      </c>
      <c r="H295" s="30" t="str">
        <f>IF(H276="","",IF(CNTR_Category="A",INDEX(EUconst_CEMSMinimumTiers,MATCH(M276,EUconst_CEMSTypes,0)),INDEX(EUconst_CEMSHighestTiers,MATCH(M276,EUconst_CEMSTypes,0))))</f>
        <v/>
      </c>
      <c r="I295" s="26" t="str">
        <f>IF(H295="","",IF(S295=0,EUconst_NA,IF(ISERROR(S295),"",EUconst_MsgTierActivityLevel &amp; " " &amp;S295)))</f>
        <v/>
      </c>
      <c r="J295" s="27"/>
      <c r="K295" s="27"/>
      <c r="L295" s="27"/>
      <c r="M295" s="27"/>
      <c r="N295" s="28"/>
      <c r="O295" s="36"/>
      <c r="P295" s="23"/>
      <c r="Q295" s="65"/>
      <c r="R295" s="23"/>
      <c r="S295" s="32" t="str">
        <f>IF(H295="","",IF(H295=EUconst_NA,"",INDEX(EUwideConstants!$H$778:$O$781,MATCH(M276,EUconst_CEMSTypes,0),MATCH(H295,CNTR_TierList,0))))</f>
        <v/>
      </c>
      <c r="T295" s="23"/>
      <c r="U295" s="23"/>
      <c r="V295" s="23"/>
      <c r="W295" s="23"/>
      <c r="X295" s="23"/>
      <c r="Y295" s="23"/>
    </row>
    <row r="296" spans="1:25" s="24" customFormat="1" x14ac:dyDescent="0.2">
      <c r="A296" s="23"/>
      <c r="D296" s="13" t="s">
        <v>1022</v>
      </c>
      <c r="E296" s="14" t="str">
        <f>Translations!$B$596</f>
        <v>Tier used:</v>
      </c>
      <c r="H296" s="192"/>
      <c r="I296" s="26" t="str">
        <f>IF(OR(ISBLANK(H296),H296=EUconst_NoTier),"",IF(S296=EUconst_NA,EUconst_NA,IF(ISERROR(S296),"",EUconst_MsgTierActivityLevel &amp; " " &amp;S296)))</f>
        <v/>
      </c>
      <c r="J296" s="27"/>
      <c r="K296" s="27"/>
      <c r="L296" s="27"/>
      <c r="M296" s="27"/>
      <c r="N296" s="28"/>
      <c r="O296" s="36"/>
      <c r="P296" s="23"/>
      <c r="Q296" s="65"/>
      <c r="R296" s="23"/>
      <c r="S296" s="32" t="str">
        <f>IF(H296="","",IF(H296=EUconst_NA,"",INDEX(EUwideConstants!$H$778:$O$781,MATCH(M276,EUconst_CEMSTypes,0),MATCH(H296,CNTR_TierList,0))))</f>
        <v/>
      </c>
      <c r="T296" s="23"/>
      <c r="U296" s="23"/>
      <c r="V296" s="23"/>
      <c r="W296" s="23"/>
      <c r="X296" s="23"/>
      <c r="Y296" s="23"/>
    </row>
    <row r="297" spans="1:25" s="24" customFormat="1" x14ac:dyDescent="0.2">
      <c r="A297" s="23"/>
      <c r="D297" s="13" t="s">
        <v>1023</v>
      </c>
      <c r="E297" s="14" t="str">
        <f>Translations!$B$479</f>
        <v>Uncertainty achieved:</v>
      </c>
      <c r="H297" s="400"/>
      <c r="I297" s="14" t="str">
        <f>Translations!$B$480</f>
        <v>Comment:</v>
      </c>
      <c r="J297" s="578"/>
      <c r="K297" s="194"/>
      <c r="L297" s="194"/>
      <c r="M297" s="194"/>
      <c r="N297" s="195"/>
      <c r="O297" s="36"/>
      <c r="P297" s="23"/>
      <c r="Q297" s="23"/>
      <c r="R297" s="23"/>
      <c r="S297" s="23"/>
      <c r="T297" s="23"/>
      <c r="U297" s="23"/>
      <c r="V297" s="23"/>
      <c r="W297" s="23"/>
      <c r="X297" s="23"/>
      <c r="Y297" s="23"/>
    </row>
    <row r="298" spans="1:25" s="24" customFormat="1" x14ac:dyDescent="0.2">
      <c r="A298" s="23"/>
      <c r="D298" s="13"/>
      <c r="E298" s="67"/>
      <c r="F298" s="67"/>
      <c r="G298" s="67"/>
      <c r="H298" s="67"/>
      <c r="I298" s="67"/>
      <c r="J298" s="67"/>
      <c r="K298" s="67"/>
      <c r="L298" s="67"/>
      <c r="M298" s="67"/>
      <c r="N298" s="67"/>
      <c r="O298" s="36"/>
      <c r="P298" s="23"/>
      <c r="Q298" s="23"/>
      <c r="R298" s="23"/>
      <c r="S298" s="23"/>
      <c r="T298" s="23"/>
      <c r="U298" s="23"/>
      <c r="V298" s="23"/>
      <c r="W298" s="23"/>
      <c r="X298" s="23"/>
      <c r="Y298" s="23"/>
    </row>
    <row r="299" spans="1:25" s="24" customFormat="1" ht="15" x14ac:dyDescent="0.2">
      <c r="A299" s="23"/>
      <c r="D299" s="1040" t="str">
        <f>Translations!$B$599</f>
        <v>Standards and procedures:</v>
      </c>
      <c r="E299" s="1040"/>
      <c r="F299" s="1040"/>
      <c r="G299" s="1040"/>
      <c r="H299" s="1040"/>
      <c r="I299" s="1040"/>
      <c r="J299" s="1040"/>
      <c r="K299" s="1040"/>
      <c r="L299" s="1040"/>
      <c r="M299" s="1040"/>
      <c r="N299" s="1040"/>
      <c r="O299" s="36"/>
      <c r="P299" s="23"/>
      <c r="Q299" s="23"/>
      <c r="R299" s="23"/>
      <c r="S299" s="23"/>
      <c r="T299" s="23"/>
      <c r="U299" s="23"/>
      <c r="V299" s="23"/>
      <c r="W299" s="23"/>
      <c r="X299" s="23"/>
      <c r="Y299" s="23"/>
    </row>
    <row r="300" spans="1:25" s="24" customFormat="1" ht="5.0999999999999996" customHeight="1" x14ac:dyDescent="0.2">
      <c r="A300" s="23"/>
      <c r="D300" s="13"/>
      <c r="E300" s="67"/>
      <c r="F300" s="67"/>
      <c r="G300" s="67"/>
      <c r="H300" s="67"/>
      <c r="I300" s="67"/>
      <c r="J300" s="67"/>
      <c r="K300" s="67"/>
      <c r="L300" s="67"/>
      <c r="M300" s="67"/>
      <c r="N300" s="67"/>
      <c r="O300" s="36"/>
      <c r="P300" s="23"/>
      <c r="Q300" s="23"/>
      <c r="R300" s="23"/>
      <c r="S300" s="23"/>
      <c r="T300" s="23"/>
      <c r="U300" s="23"/>
      <c r="V300" s="23"/>
      <c r="W300" s="23"/>
      <c r="X300" s="23"/>
      <c r="Y300" s="23"/>
    </row>
    <row r="301" spans="1:25" s="24" customFormat="1" x14ac:dyDescent="0.2">
      <c r="A301" s="23"/>
      <c r="D301" s="13" t="s">
        <v>1019</v>
      </c>
      <c r="E301" s="949" t="str">
        <f>Translations!$B$600</f>
        <v>Applied standards and of any deviations from those standards</v>
      </c>
      <c r="F301" s="949"/>
      <c r="G301" s="949"/>
      <c r="H301" s="949"/>
      <c r="I301" s="949"/>
      <c r="J301" s="949"/>
      <c r="K301" s="949"/>
      <c r="L301" s="949"/>
      <c r="M301" s="949"/>
      <c r="N301" s="949"/>
      <c r="O301" s="36"/>
      <c r="P301" s="23"/>
      <c r="Q301" s="23"/>
      <c r="R301" s="23"/>
      <c r="S301" s="23"/>
      <c r="T301" s="23"/>
      <c r="U301" s="23"/>
      <c r="V301" s="23"/>
      <c r="W301" s="23"/>
      <c r="X301" s="23"/>
      <c r="Y301" s="23"/>
    </row>
    <row r="302" spans="1:25" s="24" customFormat="1" x14ac:dyDescent="0.2">
      <c r="A302" s="23"/>
      <c r="D302" s="13"/>
      <c r="E302" s="869" t="str">
        <f>Translations!$B$601</f>
        <v>Please use references to table 9(e) above as appropriate.</v>
      </c>
      <c r="F302" s="869"/>
      <c r="G302" s="869"/>
      <c r="H302" s="869"/>
      <c r="I302" s="869"/>
      <c r="J302" s="869"/>
      <c r="K302" s="869"/>
      <c r="L302" s="869"/>
      <c r="M302" s="869"/>
      <c r="N302" s="869"/>
      <c r="O302" s="36"/>
      <c r="P302" s="23"/>
      <c r="Q302" s="23"/>
      <c r="R302" s="23"/>
      <c r="S302" s="23"/>
      <c r="T302" s="23"/>
      <c r="U302" s="23"/>
      <c r="V302" s="23"/>
      <c r="W302" s="23"/>
      <c r="X302" s="23"/>
      <c r="Y302" s="23"/>
    </row>
    <row r="303" spans="1:25" s="24" customFormat="1" ht="5.0999999999999996" customHeight="1" x14ac:dyDescent="0.2">
      <c r="A303" s="23"/>
      <c r="D303" s="13"/>
      <c r="O303" s="36"/>
      <c r="P303" s="23"/>
      <c r="Q303" s="23"/>
      <c r="R303" s="23"/>
      <c r="S303" s="23"/>
      <c r="T303" s="23"/>
      <c r="U303" s="23"/>
      <c r="V303" s="23"/>
      <c r="W303" s="23"/>
      <c r="X303" s="23"/>
      <c r="Y303" s="23"/>
    </row>
    <row r="304" spans="1:25" s="24" customFormat="1" ht="12.75" customHeight="1" x14ac:dyDescent="0.2">
      <c r="A304" s="23"/>
      <c r="D304" s="13"/>
      <c r="E304" s="1099"/>
      <c r="F304" s="1052"/>
      <c r="G304" s="1052"/>
      <c r="H304" s="1052"/>
      <c r="I304" s="1052"/>
      <c r="J304" s="1052"/>
      <c r="K304" s="1052"/>
      <c r="L304" s="1052"/>
      <c r="M304" s="1052"/>
      <c r="N304" s="1053"/>
      <c r="O304" s="36"/>
      <c r="P304" s="23"/>
      <c r="Q304" s="23"/>
      <c r="R304" s="23"/>
      <c r="S304" s="23"/>
      <c r="T304" s="23"/>
      <c r="U304" s="23"/>
      <c r="V304" s="23"/>
      <c r="W304" s="23"/>
      <c r="X304" s="23"/>
      <c r="Y304" s="23"/>
    </row>
    <row r="305" spans="1:25" s="24" customFormat="1" x14ac:dyDescent="0.2">
      <c r="A305" s="23"/>
      <c r="D305" s="13"/>
      <c r="E305" s="1054"/>
      <c r="F305" s="1055"/>
      <c r="G305" s="1055"/>
      <c r="H305" s="1055"/>
      <c r="I305" s="1055"/>
      <c r="J305" s="1055"/>
      <c r="K305" s="1055"/>
      <c r="L305" s="1055"/>
      <c r="M305" s="1055"/>
      <c r="N305" s="1056"/>
      <c r="O305" s="36"/>
      <c r="P305" s="23"/>
      <c r="Q305" s="23"/>
      <c r="R305" s="23"/>
      <c r="S305" s="23"/>
      <c r="T305" s="23"/>
      <c r="U305" s="23"/>
      <c r="V305" s="23"/>
      <c r="W305" s="23"/>
      <c r="X305" s="23"/>
      <c r="Y305" s="23"/>
    </row>
    <row r="306" spans="1:25" s="24" customFormat="1" x14ac:dyDescent="0.2">
      <c r="A306" s="23"/>
      <c r="D306" s="13"/>
      <c r="E306" s="1057"/>
      <c r="F306" s="1058"/>
      <c r="G306" s="1058"/>
      <c r="H306" s="1058"/>
      <c r="I306" s="1058"/>
      <c r="J306" s="1058"/>
      <c r="K306" s="1058"/>
      <c r="L306" s="1058"/>
      <c r="M306" s="1058"/>
      <c r="N306" s="1059"/>
      <c r="O306" s="36"/>
      <c r="P306" s="23"/>
      <c r="Q306" s="23"/>
      <c r="R306" s="23"/>
      <c r="S306" s="23"/>
      <c r="T306" s="23"/>
      <c r="U306" s="23"/>
      <c r="V306" s="23"/>
      <c r="W306" s="23"/>
      <c r="X306" s="23"/>
      <c r="Y306" s="23"/>
    </row>
    <row r="307" spans="1:25" s="24" customFormat="1" x14ac:dyDescent="0.2">
      <c r="A307" s="23"/>
      <c r="D307" s="13"/>
      <c r="O307" s="36"/>
      <c r="P307" s="23"/>
      <c r="Q307" s="23"/>
      <c r="R307" s="23"/>
      <c r="S307" s="23"/>
      <c r="T307" s="23"/>
      <c r="U307" s="23"/>
      <c r="V307" s="23"/>
      <c r="W307" s="23"/>
      <c r="X307" s="23"/>
      <c r="Y307" s="23"/>
    </row>
    <row r="308" spans="1:25" s="24" customFormat="1" x14ac:dyDescent="0.2">
      <c r="A308" s="23"/>
      <c r="D308" s="13" t="s">
        <v>1349</v>
      </c>
      <c r="E308" s="949" t="str">
        <f>Translations!$B$602</f>
        <v>References to procedures</v>
      </c>
      <c r="F308" s="949"/>
      <c r="G308" s="949"/>
      <c r="H308" s="949"/>
      <c r="I308" s="949"/>
      <c r="J308" s="949"/>
      <c r="K308" s="949"/>
      <c r="L308" s="949"/>
      <c r="M308" s="949"/>
      <c r="N308" s="949"/>
      <c r="O308" s="36"/>
      <c r="P308" s="23"/>
      <c r="Q308" s="23"/>
      <c r="R308" s="23"/>
      <c r="S308" s="23"/>
      <c r="T308" s="23"/>
      <c r="U308" s="23"/>
      <c r="V308" s="23"/>
      <c r="W308" s="23"/>
      <c r="X308" s="23"/>
      <c r="Y308" s="23"/>
    </row>
    <row r="309" spans="1:25" s="24" customFormat="1" ht="5.0999999999999996" customHeight="1" x14ac:dyDescent="0.2">
      <c r="A309" s="23"/>
      <c r="D309" s="13"/>
      <c r="O309" s="36"/>
      <c r="P309" s="23"/>
      <c r="Q309" s="23"/>
      <c r="R309" s="23"/>
      <c r="S309" s="23"/>
      <c r="T309" s="23"/>
      <c r="U309" s="23"/>
      <c r="V309" s="23"/>
      <c r="W309" s="23"/>
      <c r="X309" s="23"/>
      <c r="Y309" s="23"/>
    </row>
    <row r="310" spans="1:25" s="24" customFormat="1" x14ac:dyDescent="0.2">
      <c r="A310" s="23"/>
      <c r="D310" s="13"/>
      <c r="E310" s="46" t="s">
        <v>1030</v>
      </c>
      <c r="F310" s="1049" t="str">
        <f>Translations!$B$604</f>
        <v>Any calculation formulae used for data aggregation and used to determine the annual emissions</v>
      </c>
      <c r="G310" s="1049"/>
      <c r="H310" s="1049"/>
      <c r="I310" s="1049"/>
      <c r="J310" s="1049"/>
      <c r="K310" s="1049"/>
      <c r="L310" s="1049"/>
      <c r="M310" s="1049"/>
      <c r="N310" s="1049"/>
      <c r="O310" s="36"/>
      <c r="P310" s="23"/>
      <c r="Q310" s="23"/>
      <c r="R310" s="23"/>
      <c r="S310" s="23"/>
      <c r="T310" s="23"/>
      <c r="U310" s="23"/>
      <c r="V310" s="23"/>
      <c r="W310" s="23"/>
      <c r="X310" s="23"/>
      <c r="Y310" s="23"/>
    </row>
    <row r="311" spans="1:25" s="24" customFormat="1" x14ac:dyDescent="0.2">
      <c r="A311" s="23"/>
      <c r="D311" s="13"/>
      <c r="E311" s="14"/>
      <c r="F311" s="870"/>
      <c r="G311" s="1036"/>
      <c r="H311" s="1036"/>
      <c r="I311" s="1036"/>
      <c r="J311" s="1036"/>
      <c r="K311" s="1036"/>
      <c r="L311" s="1036"/>
      <c r="M311" s="1036"/>
      <c r="N311" s="972"/>
      <c r="O311" s="36"/>
      <c r="P311" s="23"/>
      <c r="Q311" s="23"/>
      <c r="R311" s="23"/>
      <c r="S311" s="23"/>
      <c r="T311" s="23"/>
      <c r="U311" s="23"/>
      <c r="V311" s="23"/>
      <c r="W311" s="23"/>
      <c r="X311" s="23"/>
      <c r="Y311" s="23"/>
    </row>
    <row r="312" spans="1:25" s="24" customFormat="1" ht="5.0999999999999996" customHeight="1" x14ac:dyDescent="0.2">
      <c r="A312" s="23"/>
      <c r="D312" s="13"/>
      <c r="E312" s="14"/>
      <c r="F312" s="14"/>
      <c r="G312" s="14"/>
      <c r="H312" s="14"/>
      <c r="I312" s="14"/>
      <c r="L312" s="22"/>
      <c r="O312" s="36"/>
      <c r="P312" s="23"/>
      <c r="Q312" s="23"/>
      <c r="R312" s="23"/>
      <c r="S312" s="23"/>
      <c r="T312" s="23"/>
      <c r="U312" s="23"/>
      <c r="V312" s="23"/>
      <c r="W312" s="23"/>
      <c r="X312" s="23"/>
      <c r="Y312" s="23"/>
    </row>
    <row r="313" spans="1:25" s="24" customFormat="1" ht="25.5" customHeight="1" x14ac:dyDescent="0.2">
      <c r="A313" s="23"/>
      <c r="D313" s="13"/>
      <c r="E313" s="46" t="s">
        <v>1031</v>
      </c>
      <c r="F313" s="752" t="str">
        <f>Translations!$B$605</f>
        <v>Method for determining whether valid hours or shorter reference periods for each parameter can be calculated (using the threshold given in Article 44(2)), and for substitution of missing data in accordance with Article 45</v>
      </c>
      <c r="G313" s="752"/>
      <c r="H313" s="752"/>
      <c r="I313" s="752"/>
      <c r="J313" s="752"/>
      <c r="K313" s="752"/>
      <c r="L313" s="752"/>
      <c r="M313" s="752"/>
      <c r="N313" s="752"/>
      <c r="O313" s="36"/>
      <c r="P313" s="23"/>
      <c r="Q313" s="23"/>
      <c r="R313" s="23"/>
      <c r="S313" s="23"/>
      <c r="T313" s="23"/>
      <c r="U313" s="23"/>
      <c r="V313" s="23"/>
      <c r="W313" s="23"/>
      <c r="X313" s="23"/>
      <c r="Y313" s="23"/>
    </row>
    <row r="314" spans="1:25" s="24" customFormat="1" x14ac:dyDescent="0.2">
      <c r="A314" s="23"/>
      <c r="D314" s="13"/>
      <c r="E314" s="14"/>
      <c r="F314" s="870"/>
      <c r="G314" s="1036"/>
      <c r="H314" s="1036"/>
      <c r="I314" s="1036"/>
      <c r="J314" s="1036"/>
      <c r="K314" s="1036"/>
      <c r="L314" s="1036"/>
      <c r="M314" s="1036"/>
      <c r="N314" s="972"/>
      <c r="O314" s="36"/>
      <c r="P314" s="23"/>
      <c r="Q314" s="23"/>
      <c r="R314" s="23"/>
      <c r="S314" s="23"/>
      <c r="T314" s="23"/>
      <c r="U314" s="23"/>
      <c r="V314" s="23"/>
      <c r="W314" s="23"/>
      <c r="X314" s="23"/>
      <c r="Y314" s="23"/>
    </row>
    <row r="315" spans="1:25" s="24" customFormat="1" ht="5.0999999999999996" customHeight="1" x14ac:dyDescent="0.2">
      <c r="A315" s="23"/>
      <c r="D315" s="13"/>
      <c r="E315" s="14"/>
      <c r="F315" s="14"/>
      <c r="G315" s="14"/>
      <c r="H315" s="14"/>
      <c r="I315" s="14"/>
      <c r="L315" s="22"/>
      <c r="O315" s="36"/>
      <c r="P315" s="23"/>
      <c r="Q315" s="23"/>
      <c r="R315" s="23"/>
      <c r="S315" s="23"/>
      <c r="T315" s="23"/>
      <c r="U315" s="23"/>
      <c r="V315" s="23"/>
      <c r="W315" s="23"/>
      <c r="X315" s="23"/>
      <c r="Y315" s="23"/>
    </row>
    <row r="316" spans="1:25" s="24" customFormat="1" x14ac:dyDescent="0.2">
      <c r="A316" s="23"/>
      <c r="D316" s="13"/>
      <c r="E316" s="46" t="s">
        <v>1468</v>
      </c>
      <c r="F316" s="1049" t="str">
        <f>Translations!$B$606</f>
        <v>Calculation of the flue gas flow, if applicable</v>
      </c>
      <c r="G316" s="1049"/>
      <c r="H316" s="1049"/>
      <c r="I316" s="1049"/>
      <c r="J316" s="1049"/>
      <c r="K316" s="1049"/>
      <c r="L316" s="1049"/>
      <c r="M316" s="1049"/>
      <c r="N316" s="1049"/>
      <c r="O316" s="36"/>
      <c r="P316" s="23"/>
      <c r="Q316" s="23"/>
      <c r="R316" s="23"/>
      <c r="S316" s="23"/>
      <c r="T316" s="23"/>
      <c r="U316" s="23"/>
      <c r="V316" s="23"/>
      <c r="W316" s="23"/>
      <c r="X316" s="23"/>
      <c r="Y316" s="23"/>
    </row>
    <row r="317" spans="1:25" s="24" customFormat="1" x14ac:dyDescent="0.2">
      <c r="A317" s="23"/>
      <c r="D317" s="13"/>
      <c r="E317" s="14"/>
      <c r="F317" s="870"/>
      <c r="G317" s="1036"/>
      <c r="H317" s="1036"/>
      <c r="I317" s="1036"/>
      <c r="J317" s="1036"/>
      <c r="K317" s="1036"/>
      <c r="L317" s="1036"/>
      <c r="M317" s="1036"/>
      <c r="N317" s="972"/>
      <c r="O317" s="36"/>
      <c r="P317" s="23"/>
      <c r="Q317" s="23"/>
      <c r="R317" s="23"/>
      <c r="S317" s="23"/>
      <c r="T317" s="23"/>
      <c r="U317" s="23"/>
      <c r="V317" s="23"/>
      <c r="W317" s="23"/>
      <c r="X317" s="23"/>
      <c r="Y317" s="23"/>
    </row>
    <row r="318" spans="1:25" s="24" customFormat="1" ht="5.0999999999999996" customHeight="1" x14ac:dyDescent="0.2">
      <c r="A318" s="23"/>
      <c r="D318" s="13"/>
      <c r="E318" s="14"/>
      <c r="F318" s="11"/>
      <c r="G318" s="14"/>
      <c r="H318" s="14"/>
      <c r="I318" s="14"/>
      <c r="L318" s="22"/>
      <c r="O318" s="36"/>
      <c r="P318" s="23"/>
      <c r="Q318" s="23"/>
      <c r="R318" s="23"/>
      <c r="S318" s="23"/>
      <c r="T318" s="23"/>
      <c r="U318" s="23"/>
      <c r="V318" s="23"/>
      <c r="W318" s="23"/>
      <c r="X318" s="23"/>
      <c r="Y318" s="23"/>
    </row>
    <row r="319" spans="1:25" s="24" customFormat="1" x14ac:dyDescent="0.2">
      <c r="A319" s="23"/>
      <c r="D319" s="13"/>
      <c r="E319" s="46" t="s">
        <v>1469</v>
      </c>
      <c r="F319" s="1049" t="str">
        <f>Translations!$B$1356</f>
        <v>Determination of CO2 stemming from biomass or from any other zero-rated fraction, if applicable</v>
      </c>
      <c r="G319" s="1049"/>
      <c r="H319" s="1049"/>
      <c r="I319" s="1049"/>
      <c r="J319" s="1049"/>
      <c r="K319" s="1049"/>
      <c r="L319" s="1049"/>
      <c r="M319" s="1049"/>
      <c r="N319" s="1049"/>
      <c r="O319" s="36"/>
      <c r="P319" s="23"/>
      <c r="Q319" s="23"/>
      <c r="R319" s="23"/>
      <c r="S319" s="23"/>
      <c r="T319" s="23"/>
      <c r="U319" s="23"/>
      <c r="V319" s="23"/>
      <c r="W319" s="23"/>
      <c r="X319" s="23"/>
      <c r="Y319" s="23"/>
    </row>
    <row r="320" spans="1:25" s="24" customFormat="1" x14ac:dyDescent="0.2">
      <c r="A320" s="23"/>
      <c r="D320" s="13"/>
      <c r="E320" s="14"/>
      <c r="F320" s="870"/>
      <c r="G320" s="1036"/>
      <c r="H320" s="1036"/>
      <c r="I320" s="1036"/>
      <c r="J320" s="1036"/>
      <c r="K320" s="1036"/>
      <c r="L320" s="1036"/>
      <c r="M320" s="1036"/>
      <c r="N320" s="972"/>
      <c r="O320" s="36"/>
      <c r="P320" s="23"/>
      <c r="Q320" s="23"/>
      <c r="R320" s="23"/>
      <c r="S320" s="23"/>
      <c r="T320" s="23"/>
      <c r="U320" s="23"/>
      <c r="V320" s="23"/>
      <c r="W320" s="23"/>
      <c r="X320" s="23"/>
      <c r="Y320" s="23"/>
    </row>
    <row r="321" spans="1:25" s="24" customFormat="1" ht="5.0999999999999996" customHeight="1" x14ac:dyDescent="0.2">
      <c r="A321" s="23"/>
      <c r="D321" s="13"/>
      <c r="E321" s="14"/>
      <c r="F321" s="14"/>
      <c r="G321" s="14"/>
      <c r="H321" s="14"/>
      <c r="I321" s="14"/>
      <c r="J321" s="234"/>
      <c r="K321" s="234"/>
      <c r="L321" s="234"/>
      <c r="M321" s="234"/>
      <c r="N321" s="234"/>
      <c r="O321" s="36"/>
      <c r="P321" s="23"/>
      <c r="Q321" s="23"/>
      <c r="R321" s="23"/>
      <c r="S321" s="23"/>
      <c r="T321" s="23"/>
      <c r="U321" s="23"/>
      <c r="V321" s="23"/>
      <c r="W321" s="23"/>
      <c r="X321" s="23"/>
      <c r="Y321" s="23"/>
    </row>
    <row r="322" spans="1:25" s="24" customFormat="1" x14ac:dyDescent="0.2">
      <c r="A322" s="23"/>
      <c r="D322" s="13"/>
      <c r="E322" s="46" t="s">
        <v>1470</v>
      </c>
      <c r="F322" s="1049" t="str">
        <f>Translations!$B$608</f>
        <v>Corroborating calculations in accordance with Article 46 that are carried out, if applicable</v>
      </c>
      <c r="G322" s="1049"/>
      <c r="H322" s="1049"/>
      <c r="I322" s="1049"/>
      <c r="J322" s="1049"/>
      <c r="K322" s="1049"/>
      <c r="L322" s="1049"/>
      <c r="M322" s="1049"/>
      <c r="N322" s="1049"/>
      <c r="O322" s="36"/>
      <c r="P322" s="23"/>
      <c r="Q322" s="23"/>
      <c r="R322" s="23"/>
      <c r="S322" s="23"/>
      <c r="T322" s="23"/>
      <c r="U322" s="23"/>
      <c r="V322" s="23"/>
      <c r="W322" s="23"/>
      <c r="X322" s="23"/>
      <c r="Y322" s="23"/>
    </row>
    <row r="323" spans="1:25" s="24" customFormat="1" x14ac:dyDescent="0.2">
      <c r="A323" s="23"/>
      <c r="D323" s="13"/>
      <c r="E323" s="14"/>
      <c r="F323" s="870"/>
      <c r="G323" s="1036"/>
      <c r="H323" s="1036"/>
      <c r="I323" s="1036"/>
      <c r="J323" s="1036"/>
      <c r="K323" s="1036"/>
      <c r="L323" s="1036"/>
      <c r="M323" s="1036"/>
      <c r="N323" s="972"/>
      <c r="O323" s="36"/>
      <c r="P323" s="23"/>
      <c r="Q323" s="23"/>
      <c r="R323" s="23"/>
      <c r="S323" s="23"/>
      <c r="T323" s="23"/>
      <c r="U323" s="23"/>
      <c r="V323" s="23"/>
      <c r="W323" s="23"/>
      <c r="X323" s="23"/>
      <c r="Y323" s="23"/>
    </row>
    <row r="324" spans="1:25" s="24" customFormat="1" ht="5.0999999999999996" customHeight="1" x14ac:dyDescent="0.2">
      <c r="A324" s="23"/>
      <c r="D324" s="13"/>
      <c r="E324" s="14"/>
      <c r="F324" s="14"/>
      <c r="G324" s="14"/>
      <c r="H324" s="14"/>
      <c r="I324" s="14"/>
      <c r="L324" s="22"/>
      <c r="O324" s="36"/>
      <c r="P324" s="23"/>
      <c r="Q324" s="23"/>
      <c r="R324" s="23"/>
      <c r="S324" s="23"/>
      <c r="T324" s="23"/>
      <c r="U324" s="23"/>
      <c r="V324" s="23"/>
      <c r="W324" s="23"/>
      <c r="X324" s="23"/>
      <c r="Y324" s="23"/>
    </row>
    <row r="325" spans="1:25" s="24" customFormat="1" ht="15" x14ac:dyDescent="0.2">
      <c r="A325" s="23"/>
      <c r="D325" s="1040" t="str">
        <f>Translations!$B$545</f>
        <v>Comments and explanations:</v>
      </c>
      <c r="E325" s="1040"/>
      <c r="F325" s="1040"/>
      <c r="G325" s="1040"/>
      <c r="H325" s="1040"/>
      <c r="I325" s="1040"/>
      <c r="J325" s="1040"/>
      <c r="K325" s="1040"/>
      <c r="L325" s="1040"/>
      <c r="M325" s="1040"/>
      <c r="N325" s="1040"/>
      <c r="O325" s="36"/>
      <c r="P325" s="23"/>
      <c r="Q325" s="23"/>
      <c r="R325" s="23"/>
      <c r="S325" s="23"/>
      <c r="T325" s="23"/>
      <c r="U325" s="23"/>
      <c r="V325" s="23"/>
      <c r="W325" s="23"/>
      <c r="X325" s="23"/>
      <c r="Y325" s="23"/>
    </row>
    <row r="326" spans="1:25" s="24" customFormat="1" ht="5.0999999999999996" customHeight="1" x14ac:dyDescent="0.2">
      <c r="A326" s="23"/>
      <c r="D326" s="13"/>
      <c r="E326" s="67"/>
      <c r="F326" s="67"/>
      <c r="G326" s="67"/>
      <c r="H326" s="67"/>
      <c r="I326" s="67"/>
      <c r="J326" s="67"/>
      <c r="K326" s="67"/>
      <c r="L326" s="67"/>
      <c r="M326" s="67"/>
      <c r="N326" s="67"/>
      <c r="O326" s="36"/>
      <c r="P326" s="23"/>
      <c r="Q326" s="23"/>
      <c r="R326" s="23"/>
      <c r="S326" s="23"/>
      <c r="T326" s="23"/>
      <c r="U326" s="23"/>
      <c r="V326" s="23"/>
      <c r="W326" s="23"/>
      <c r="X326" s="23"/>
      <c r="Y326" s="23"/>
    </row>
    <row r="327" spans="1:25" s="24" customFormat="1" x14ac:dyDescent="0.2">
      <c r="A327" s="23"/>
      <c r="D327" s="13" t="s">
        <v>1351</v>
      </c>
      <c r="E327" s="949" t="str">
        <f>Translations!$B$1202</f>
        <v>Comments and justification if required tier is not applied:</v>
      </c>
      <c r="F327" s="949"/>
      <c r="G327" s="949"/>
      <c r="H327" s="949"/>
      <c r="I327" s="949"/>
      <c r="J327" s="949"/>
      <c r="K327" s="949"/>
      <c r="L327" s="949"/>
      <c r="M327" s="949"/>
      <c r="N327" s="949"/>
      <c r="O327" s="36"/>
      <c r="P327" s="23"/>
      <c r="Q327" s="23"/>
      <c r="R327" s="23"/>
      <c r="S327" s="23"/>
      <c r="T327" s="23"/>
      <c r="U327" s="23"/>
      <c r="V327" s="23"/>
      <c r="W327" s="23"/>
      <c r="X327" s="23"/>
      <c r="Y327" s="23"/>
    </row>
    <row r="328" spans="1:25" s="24" customFormat="1" ht="5.0999999999999996" customHeight="1" x14ac:dyDescent="0.2">
      <c r="A328" s="23"/>
      <c r="D328" s="13"/>
      <c r="E328" s="48"/>
      <c r="O328" s="36"/>
      <c r="P328" s="23"/>
      <c r="Q328" s="23"/>
      <c r="R328" s="23"/>
      <c r="S328" s="23"/>
      <c r="T328" s="23"/>
      <c r="U328" s="23"/>
      <c r="V328" s="23"/>
      <c r="W328" s="23"/>
      <c r="X328" s="23"/>
      <c r="Y328" s="23"/>
    </row>
    <row r="329" spans="1:25" s="24" customFormat="1" x14ac:dyDescent="0.2">
      <c r="A329" s="23"/>
      <c r="D329" s="13"/>
      <c r="E329" s="1045"/>
      <c r="F329" s="955"/>
      <c r="G329" s="955"/>
      <c r="H329" s="955"/>
      <c r="I329" s="955"/>
      <c r="J329" s="955"/>
      <c r="K329" s="955"/>
      <c r="L329" s="955"/>
      <c r="M329" s="955"/>
      <c r="N329" s="956"/>
      <c r="O329" s="36"/>
      <c r="P329" s="23"/>
      <c r="Q329" s="23"/>
      <c r="R329" s="23"/>
      <c r="S329" s="23"/>
      <c r="T329" s="23"/>
      <c r="U329" s="23"/>
      <c r="V329" s="23"/>
      <c r="W329" s="23"/>
      <c r="X329" s="23"/>
      <c r="Y329" s="23"/>
    </row>
    <row r="330" spans="1:25" s="24" customFormat="1" x14ac:dyDescent="0.2">
      <c r="A330" s="23"/>
      <c r="D330" s="13"/>
      <c r="E330" s="1037"/>
      <c r="F330" s="958"/>
      <c r="G330" s="958"/>
      <c r="H330" s="958"/>
      <c r="I330" s="958"/>
      <c r="J330" s="958"/>
      <c r="K330" s="958"/>
      <c r="L330" s="958"/>
      <c r="M330" s="958"/>
      <c r="N330" s="959"/>
      <c r="O330" s="36"/>
      <c r="P330" s="23"/>
      <c r="Q330" s="23"/>
      <c r="R330" s="23"/>
      <c r="S330" s="23"/>
      <c r="T330" s="23"/>
      <c r="U330" s="23"/>
      <c r="V330" s="23"/>
      <c r="W330" s="23"/>
      <c r="X330" s="23"/>
      <c r="Y330" s="23"/>
    </row>
    <row r="331" spans="1:25" s="24" customFormat="1" x14ac:dyDescent="0.2">
      <c r="A331" s="23"/>
      <c r="D331" s="13"/>
      <c r="E331" s="1038"/>
      <c r="F331" s="961"/>
      <c r="G331" s="961"/>
      <c r="H331" s="961"/>
      <c r="I331" s="961"/>
      <c r="J331" s="961"/>
      <c r="K331" s="961"/>
      <c r="L331" s="961"/>
      <c r="M331" s="961"/>
      <c r="N331" s="962"/>
      <c r="O331" s="36"/>
      <c r="P331" s="23"/>
      <c r="Q331" s="23"/>
      <c r="R331" s="23"/>
      <c r="S331" s="23"/>
      <c r="T331" s="23"/>
      <c r="U331" s="23"/>
      <c r="V331" s="23"/>
      <c r="W331" s="23"/>
      <c r="X331" s="23"/>
      <c r="Y331" s="23"/>
    </row>
    <row r="332" spans="1:25" ht="12.75" customHeight="1" thickBot="1" x14ac:dyDescent="0.25">
      <c r="B332" s="11"/>
      <c r="C332" s="54"/>
      <c r="D332" s="55"/>
      <c r="E332" s="56"/>
      <c r="F332" s="54"/>
      <c r="G332" s="57"/>
      <c r="H332" s="57"/>
      <c r="I332" s="57"/>
      <c r="J332" s="57"/>
      <c r="K332" s="57"/>
      <c r="L332" s="57"/>
      <c r="M332" s="57"/>
      <c r="N332" s="57"/>
      <c r="O332" s="36"/>
      <c r="P332" s="6"/>
      <c r="S332" s="359"/>
    </row>
    <row r="333" spans="1:25" ht="12.75" customHeight="1" thickBot="1" x14ac:dyDescent="0.25">
      <c r="B333" s="417"/>
      <c r="C333" s="417"/>
      <c r="D333" s="441"/>
      <c r="E333" s="411"/>
      <c r="F333" s="411"/>
      <c r="G333" s="411"/>
      <c r="H333" s="411"/>
      <c r="I333" s="411"/>
      <c r="J333" s="411"/>
      <c r="K333" s="411"/>
      <c r="L333" s="411"/>
      <c r="M333" s="417"/>
      <c r="N333" s="417"/>
      <c r="O333" s="36"/>
      <c r="P333" s="23"/>
      <c r="Q333" s="23"/>
      <c r="R333" s="23"/>
      <c r="S333" s="23"/>
      <c r="T333" s="23"/>
      <c r="U333" s="23"/>
      <c r="V333" s="23"/>
      <c r="W333" s="23"/>
      <c r="Y333" s="65" t="s">
        <v>727</v>
      </c>
    </row>
    <row r="334" spans="1:25" s="186" customFormat="1" ht="15" customHeight="1" thickBot="1" x14ac:dyDescent="0.25">
      <c r="A334" s="248"/>
      <c r="B334" s="34"/>
      <c r="C334" s="35" t="str">
        <f>"M"&amp;Q334</f>
        <v>M4</v>
      </c>
      <c r="D334" s="1040" t="str">
        <f>CONCATENATE(EUconst_MeasurementPoint," ",Q334,":")</f>
        <v>Measurement Point 4:</v>
      </c>
      <c r="E334" s="1040"/>
      <c r="F334" s="1040"/>
      <c r="G334" s="1066"/>
      <c r="H334" s="1067" t="str">
        <f>IF(INDEX(C_InstallationDescription!$F$171:$F$176,MATCH(C334,C_InstallationDescription!$E$171:$E$176,0))&gt;0,INDEX(C_InstallationDescription!$F$171:$F$176,MATCH(C334,C_InstallationDescription!$E$171:$E$176,0)),"")</f>
        <v/>
      </c>
      <c r="I334" s="1067"/>
      <c r="J334" s="1067"/>
      <c r="K334" s="1067"/>
      <c r="L334" s="1068"/>
      <c r="M334" s="1069" t="str">
        <f>IF(U334=TRUE,V334,"")</f>
        <v/>
      </c>
      <c r="N334" s="1070"/>
      <c r="O334" s="36"/>
      <c r="P334" s="252"/>
      <c r="Q334" s="33">
        <f>Q276+1</f>
        <v>4</v>
      </c>
      <c r="R334" s="37"/>
      <c r="S334" s="40" t="b">
        <f>IF(INDEX(C_InstallationDescription!$M:$M,MATCH(Q336,C_InstallationDescription!$Q:$Q,0))="",FALSE,TRUE)</f>
        <v>0</v>
      </c>
      <c r="T334" s="372" t="str">
        <f>IF(S334=TRUE,INDEX(C_InstallationDescription!$M:$M,MATCH(Q336,C_InstallationDescription!$Q:$Q,0)),"")</f>
        <v/>
      </c>
      <c r="U334" s="40" t="b">
        <f>IF(INDEX(C_InstallationDescription!$N:$N,MATCH(Q336,C_InstallationDescription!$Q:$Q,0))="",FALSE,TRUE)</f>
        <v>0</v>
      </c>
      <c r="V334" s="372" t="str">
        <f>IF(U334=TRUE,INDEX(C_InstallationDescription!$N:$N,MATCH(Q336,C_InstallationDescription!$Q:$Q,0)),"")</f>
        <v/>
      </c>
      <c r="W334" s="37"/>
      <c r="X334" s="37"/>
      <c r="Y334" s="40" t="s">
        <v>420</v>
      </c>
    </row>
    <row r="335" spans="1:25" s="24" customFormat="1" ht="5.0999999999999996" customHeight="1" thickBot="1" x14ac:dyDescent="0.25">
      <c r="A335" s="65"/>
      <c r="B335" s="8"/>
      <c r="C335" s="8"/>
      <c r="D335" s="10"/>
      <c r="E335" s="8"/>
      <c r="F335" s="8"/>
      <c r="G335" s="8"/>
      <c r="H335" s="8"/>
      <c r="I335" s="8"/>
      <c r="J335" s="8"/>
      <c r="K335" s="8"/>
      <c r="L335" s="8"/>
      <c r="M335" s="7"/>
      <c r="N335" s="7"/>
      <c r="O335" s="36"/>
      <c r="P335" s="12"/>
      <c r="Q335" s="12"/>
      <c r="R335" s="23"/>
      <c r="S335" s="23"/>
      <c r="T335" s="23"/>
      <c r="U335" s="23"/>
      <c r="V335" s="23"/>
      <c r="W335" s="23"/>
      <c r="X335" s="23"/>
      <c r="Y335" s="23"/>
    </row>
    <row r="336" spans="1:25" s="24" customFormat="1" ht="13.5" thickBot="1" x14ac:dyDescent="0.25">
      <c r="A336" s="23"/>
      <c r="D336" s="13" t="s">
        <v>1018</v>
      </c>
      <c r="E336" s="825" t="str">
        <f>Translations!$B$583</f>
        <v>Operation type:</v>
      </c>
      <c r="F336" s="825"/>
      <c r="G336" s="1100"/>
      <c r="H336" s="1101"/>
      <c r="I336" s="1101"/>
      <c r="J336" s="1101"/>
      <c r="K336" s="14"/>
      <c r="L336" s="14"/>
      <c r="M336" s="1069" t="str">
        <f>IF(S334=TRUE,T334,"")</f>
        <v/>
      </c>
      <c r="N336" s="1070"/>
      <c r="O336" s="36"/>
      <c r="P336" s="23"/>
      <c r="Q336" s="32" t="str">
        <f>EUconst_CNTR_SourceCategory&amp;C334</f>
        <v>SourceCategory_M4</v>
      </c>
      <c r="R336" s="23"/>
      <c r="S336" s="23"/>
      <c r="T336" s="23"/>
      <c r="U336" s="23"/>
      <c r="V336" s="23"/>
      <c r="W336" s="23"/>
      <c r="X336" s="23"/>
      <c r="Y336" s="23"/>
    </row>
    <row r="337" spans="1:25" s="24" customFormat="1" ht="5.0999999999999996" customHeight="1" x14ac:dyDescent="0.2">
      <c r="A337" s="23"/>
      <c r="D337" s="222"/>
      <c r="O337" s="36"/>
      <c r="P337" s="23"/>
      <c r="Q337" s="23"/>
      <c r="R337" s="23"/>
      <c r="S337" s="23"/>
      <c r="T337" s="23"/>
      <c r="U337" s="23"/>
      <c r="V337" s="23"/>
      <c r="W337" s="23"/>
      <c r="X337" s="23"/>
      <c r="Y337" s="23"/>
    </row>
    <row r="338" spans="1:25" s="24" customFormat="1" ht="12.75" customHeight="1" x14ac:dyDescent="0.2">
      <c r="A338" s="23"/>
      <c r="D338" s="1040" t="str">
        <f>Translations!$B$446</f>
        <v>Automatic guidance on applicable tiers:</v>
      </c>
      <c r="E338" s="1040"/>
      <c r="F338" s="1040"/>
      <c r="G338" s="1040"/>
      <c r="H338" s="1040"/>
      <c r="I338" s="1040"/>
      <c r="J338" s="1040"/>
      <c r="K338" s="1040"/>
      <c r="L338" s="1040"/>
      <c r="M338" s="1040"/>
      <c r="N338" s="1040"/>
      <c r="O338" s="36"/>
      <c r="P338" s="23"/>
      <c r="Q338" s="23"/>
      <c r="R338" s="23"/>
      <c r="S338" s="23"/>
      <c r="T338" s="23"/>
      <c r="U338" s="23"/>
      <c r="V338" s="23"/>
      <c r="W338" s="23"/>
      <c r="X338" s="23"/>
      <c r="Y338" s="23"/>
    </row>
    <row r="339" spans="1:25" s="24" customFormat="1" ht="4.5" customHeight="1" x14ac:dyDescent="0.2">
      <c r="A339" s="23"/>
      <c r="D339" s="13"/>
      <c r="E339" s="129"/>
      <c r="F339" s="129"/>
      <c r="G339" s="129"/>
      <c r="H339" s="129"/>
      <c r="I339" s="129"/>
      <c r="J339" s="129"/>
      <c r="K339" s="129"/>
      <c r="L339" s="129"/>
      <c r="M339" s="129"/>
      <c r="N339" s="129"/>
      <c r="O339" s="36"/>
      <c r="P339" s="23"/>
      <c r="Q339" s="23"/>
      <c r="R339" s="23"/>
      <c r="S339" s="23"/>
      <c r="T339" s="23"/>
      <c r="U339" s="23"/>
      <c r="V339" s="23"/>
      <c r="W339" s="23"/>
      <c r="X339" s="23"/>
      <c r="Y339" s="23"/>
    </row>
    <row r="340" spans="1:25" s="24" customFormat="1" ht="5.0999999999999996" customHeight="1" x14ac:dyDescent="0.2">
      <c r="A340" s="23"/>
      <c r="D340" s="13"/>
      <c r="O340" s="36"/>
      <c r="P340" s="23"/>
      <c r="Q340" s="23"/>
      <c r="R340" s="23"/>
      <c r="S340" s="23"/>
      <c r="T340" s="23"/>
      <c r="U340" s="23"/>
      <c r="V340" s="23"/>
      <c r="W340" s="23"/>
      <c r="X340" s="23"/>
      <c r="Y340" s="23"/>
    </row>
    <row r="341" spans="1:25" s="24" customFormat="1" ht="60" customHeight="1" x14ac:dyDescent="0.2">
      <c r="A341" s="23"/>
      <c r="D341" s="13"/>
      <c r="E341" s="1063" t="str">
        <f>IF(H334="","",INDEX(EUconst_CEMSTiersMsg,MATCH(Q341,EUconst_CEMSTiers,0)))</f>
        <v/>
      </c>
      <c r="F341" s="1064"/>
      <c r="G341" s="1064"/>
      <c r="H341" s="1064"/>
      <c r="I341" s="1064"/>
      <c r="J341" s="1064"/>
      <c r="K341" s="1064"/>
      <c r="L341" s="1064"/>
      <c r="M341" s="1064"/>
      <c r="N341" s="1065"/>
      <c r="O341" s="36"/>
      <c r="P341" s="6"/>
      <c r="Q341" s="207" t="str">
        <f>IF(CNTR_SmallEmitter=TRUE,EUconst_CNTR_SmallEmitter,EUconst_CNTR_NoSmallEmitter) &amp; "_" &amp; IF(M336="",1,MATCH(M336,SourceCategoryCEMS,0))</f>
        <v>NoSmallEmitter__1</v>
      </c>
      <c r="R341" s="23"/>
      <c r="S341" s="23"/>
      <c r="T341" s="23"/>
      <c r="U341" s="23"/>
      <c r="V341" s="23"/>
      <c r="W341" s="23"/>
      <c r="X341" s="23"/>
      <c r="Y341" s="23"/>
    </row>
    <row r="342" spans="1:25" s="24" customFormat="1" ht="12.75" customHeight="1" x14ac:dyDescent="0.2">
      <c r="A342" s="23"/>
      <c r="D342" s="13"/>
      <c r="O342" s="36"/>
      <c r="P342" s="23"/>
      <c r="Q342" s="23"/>
      <c r="R342" s="23"/>
      <c r="S342" s="23"/>
      <c r="T342" s="23"/>
      <c r="U342" s="23"/>
      <c r="V342" s="23"/>
      <c r="W342" s="23"/>
      <c r="X342" s="23"/>
      <c r="Y342" s="23"/>
    </row>
    <row r="343" spans="1:25" s="24" customFormat="1" ht="15" customHeight="1" x14ac:dyDescent="0.2">
      <c r="A343" s="23"/>
      <c r="D343" s="1040" t="str">
        <f>Translations!$B$590</f>
        <v>Instruments and tier levels:</v>
      </c>
      <c r="E343" s="1040"/>
      <c r="F343" s="1040"/>
      <c r="G343" s="1040"/>
      <c r="H343" s="1040"/>
      <c r="I343" s="1040"/>
      <c r="J343" s="1040"/>
      <c r="K343" s="1040"/>
      <c r="L343" s="1040"/>
      <c r="M343" s="1040"/>
      <c r="N343" s="1040"/>
      <c r="O343" s="36"/>
      <c r="P343" s="23"/>
      <c r="Q343" s="23"/>
      <c r="R343" s="23"/>
      <c r="S343" s="23"/>
      <c r="T343" s="23"/>
      <c r="U343" s="23"/>
      <c r="V343" s="23"/>
      <c r="W343" s="23"/>
      <c r="X343" s="23"/>
      <c r="Y343" s="23"/>
    </row>
    <row r="344" spans="1:25" s="24" customFormat="1" ht="5.0999999999999996" customHeight="1" x14ac:dyDescent="0.2">
      <c r="A344" s="23"/>
      <c r="D344" s="13"/>
      <c r="O344" s="36"/>
      <c r="P344" s="23"/>
      <c r="Q344" s="23"/>
      <c r="R344" s="23"/>
      <c r="S344" s="23"/>
      <c r="T344" s="23"/>
      <c r="U344" s="23"/>
      <c r="V344" s="23"/>
      <c r="W344" s="23"/>
      <c r="X344" s="23"/>
      <c r="Y344" s="23"/>
    </row>
    <row r="345" spans="1:25" s="24" customFormat="1" ht="12.75" customHeight="1" x14ac:dyDescent="0.2">
      <c r="A345" s="23"/>
      <c r="D345" s="13" t="s">
        <v>1020</v>
      </c>
      <c r="E345" s="14" t="str">
        <f>Translations!$B$472</f>
        <v>Measurement instruments used:</v>
      </c>
      <c r="H345" s="215"/>
      <c r="I345" s="215"/>
      <c r="J345" s="215"/>
      <c r="K345" s="215"/>
      <c r="L345" s="215"/>
      <c r="O345" s="36"/>
      <c r="P345" s="23"/>
      <c r="Q345" s="23"/>
      <c r="R345" s="23"/>
      <c r="S345" s="23"/>
      <c r="T345" s="23"/>
      <c r="U345" s="23"/>
      <c r="V345" s="23"/>
      <c r="W345" s="23"/>
      <c r="X345" s="23"/>
      <c r="Y345" s="23"/>
    </row>
    <row r="346" spans="1:25" s="24" customFormat="1" ht="5.0999999999999996" customHeight="1" x14ac:dyDescent="0.2">
      <c r="A346" s="23"/>
      <c r="D346" s="13"/>
      <c r="E346" s="14"/>
      <c r="O346" s="36"/>
      <c r="P346" s="6"/>
      <c r="Q346" s="23"/>
      <c r="R346" s="23"/>
      <c r="S346" s="23"/>
      <c r="T346" s="23"/>
      <c r="U346" s="23"/>
      <c r="V346" s="23"/>
      <c r="W346" s="23"/>
      <c r="X346" s="23"/>
      <c r="Y346" s="23"/>
    </row>
    <row r="347" spans="1:25" s="24" customFormat="1" x14ac:dyDescent="0.2">
      <c r="A347" s="23"/>
      <c r="D347" s="13"/>
      <c r="E347" s="24" t="str">
        <f>Translations!$B$475</f>
        <v>Comment / Description of approach, if several instruments used:</v>
      </c>
      <c r="I347" s="11"/>
      <c r="O347" s="36"/>
      <c r="P347" s="23"/>
      <c r="Q347" s="23"/>
      <c r="R347" s="23"/>
      <c r="S347" s="23"/>
      <c r="T347" s="23"/>
      <c r="U347" s="23"/>
      <c r="V347" s="23"/>
      <c r="W347" s="23"/>
      <c r="X347" s="23"/>
      <c r="Y347" s="23"/>
    </row>
    <row r="348" spans="1:25" s="24" customFormat="1" ht="5.0999999999999996" customHeight="1" x14ac:dyDescent="0.2">
      <c r="A348" s="23"/>
      <c r="D348" s="13"/>
      <c r="E348" s="67"/>
      <c r="F348" s="67"/>
      <c r="G348" s="67"/>
      <c r="H348" s="67"/>
      <c r="I348" s="67"/>
      <c r="J348" s="67"/>
      <c r="K348" s="67"/>
      <c r="L348" s="67"/>
      <c r="M348" s="67"/>
      <c r="N348" s="67"/>
      <c r="O348" s="36"/>
      <c r="P348" s="6"/>
      <c r="Q348" s="23"/>
      <c r="R348" s="23"/>
      <c r="S348" s="23"/>
      <c r="T348" s="23"/>
      <c r="U348" s="23"/>
      <c r="V348" s="23"/>
      <c r="W348" s="23"/>
      <c r="X348" s="23"/>
      <c r="Y348" s="23"/>
    </row>
    <row r="349" spans="1:25" s="24" customFormat="1" ht="12.75" customHeight="1" x14ac:dyDescent="0.2">
      <c r="A349" s="23"/>
      <c r="D349" s="13"/>
      <c r="E349" s="1099"/>
      <c r="F349" s="1052"/>
      <c r="G349" s="1052"/>
      <c r="H349" s="1052"/>
      <c r="I349" s="1052"/>
      <c r="J349" s="1052"/>
      <c r="K349" s="1052"/>
      <c r="L349" s="1052"/>
      <c r="M349" s="1052"/>
      <c r="N349" s="1053"/>
      <c r="O349" s="36"/>
      <c r="P349" s="23"/>
      <c r="Q349" s="23"/>
      <c r="R349" s="23"/>
      <c r="S349" s="23"/>
      <c r="T349" s="23"/>
      <c r="U349" s="23"/>
      <c r="V349" s="23"/>
      <c r="W349" s="23"/>
      <c r="X349" s="23"/>
      <c r="Y349" s="23"/>
    </row>
    <row r="350" spans="1:25" s="24" customFormat="1" x14ac:dyDescent="0.2">
      <c r="A350" s="23"/>
      <c r="D350" s="13"/>
      <c r="E350" s="1054"/>
      <c r="F350" s="1055"/>
      <c r="G350" s="1055"/>
      <c r="H350" s="1055"/>
      <c r="I350" s="1055"/>
      <c r="J350" s="1055"/>
      <c r="K350" s="1055"/>
      <c r="L350" s="1055"/>
      <c r="M350" s="1055"/>
      <c r="N350" s="1056"/>
      <c r="O350" s="36"/>
      <c r="P350" s="23"/>
      <c r="Q350" s="23"/>
      <c r="R350" s="23"/>
      <c r="S350" s="23"/>
      <c r="T350" s="23"/>
      <c r="U350" s="23"/>
      <c r="V350" s="23"/>
      <c r="W350" s="23"/>
      <c r="X350" s="23"/>
      <c r="Y350" s="23"/>
    </row>
    <row r="351" spans="1:25" s="24" customFormat="1" x14ac:dyDescent="0.2">
      <c r="A351" s="23"/>
      <c r="D351" s="13"/>
      <c r="E351" s="1057"/>
      <c r="F351" s="1058"/>
      <c r="G351" s="1058"/>
      <c r="H351" s="1058"/>
      <c r="I351" s="1058"/>
      <c r="J351" s="1058"/>
      <c r="K351" s="1058"/>
      <c r="L351" s="1058"/>
      <c r="M351" s="1058"/>
      <c r="N351" s="1059"/>
      <c r="O351" s="36"/>
      <c r="P351" s="23"/>
      <c r="Q351" s="23"/>
      <c r="R351" s="23"/>
      <c r="S351" s="23"/>
      <c r="T351" s="23"/>
      <c r="U351" s="23"/>
      <c r="V351" s="23"/>
      <c r="W351" s="23"/>
      <c r="X351" s="23"/>
      <c r="Y351" s="23"/>
    </row>
    <row r="352" spans="1:25" s="24" customFormat="1" x14ac:dyDescent="0.2">
      <c r="A352" s="23"/>
      <c r="D352" s="13"/>
      <c r="O352" s="36"/>
      <c r="P352" s="23"/>
      <c r="Q352" s="23"/>
      <c r="R352" s="23"/>
      <c r="S352" s="23" t="s">
        <v>419</v>
      </c>
      <c r="T352" s="23"/>
      <c r="U352" s="23"/>
      <c r="V352" s="23"/>
      <c r="W352" s="23"/>
      <c r="X352" s="23"/>
      <c r="Y352" s="23"/>
    </row>
    <row r="353" spans="1:25" s="24" customFormat="1" x14ac:dyDescent="0.2">
      <c r="A353" s="23"/>
      <c r="D353" s="13" t="s">
        <v>554</v>
      </c>
      <c r="E353" s="14" t="str">
        <f>Translations!$B$595</f>
        <v>Tier level required:</v>
      </c>
      <c r="H353" s="30" t="str">
        <f>IF(H334="","",IF(CNTR_Category="A",INDEX(EUconst_CEMSMinimumTiers,MATCH(M334,EUconst_CEMSTypes,0)),INDEX(EUconst_CEMSHighestTiers,MATCH(M334,EUconst_CEMSTypes,0))))</f>
        <v/>
      </c>
      <c r="I353" s="26" t="str">
        <f>IF(H353="","",IF(S353=0,EUconst_NA,IF(ISERROR(S353),"",EUconst_MsgTierActivityLevel &amp; " " &amp;S353)))</f>
        <v/>
      </c>
      <c r="J353" s="27"/>
      <c r="K353" s="27"/>
      <c r="L353" s="27"/>
      <c r="M353" s="27"/>
      <c r="N353" s="28"/>
      <c r="O353" s="36"/>
      <c r="P353" s="23"/>
      <c r="Q353" s="65"/>
      <c r="R353" s="23"/>
      <c r="S353" s="32" t="str">
        <f>IF(H353="","",IF(H353=EUconst_NA,"",INDEX(EUwideConstants!$H$778:$O$781,MATCH(M334,EUconst_CEMSTypes,0),MATCH(H353,CNTR_TierList,0))))</f>
        <v/>
      </c>
      <c r="T353" s="23"/>
      <c r="U353" s="23"/>
      <c r="V353" s="23"/>
      <c r="W353" s="23"/>
      <c r="X353" s="23"/>
      <c r="Y353" s="23"/>
    </row>
    <row r="354" spans="1:25" s="24" customFormat="1" x14ac:dyDescent="0.2">
      <c r="A354" s="23"/>
      <c r="D354" s="13" t="s">
        <v>1022</v>
      </c>
      <c r="E354" s="14" t="str">
        <f>Translations!$B$596</f>
        <v>Tier used:</v>
      </c>
      <c r="H354" s="192"/>
      <c r="I354" s="26" t="str">
        <f>IF(OR(ISBLANK(H354),H354=EUconst_NoTier),"",IF(S354=EUconst_NA,EUconst_NA,IF(ISERROR(S354),"",EUconst_MsgTierActivityLevel &amp; " " &amp;S354)))</f>
        <v/>
      </c>
      <c r="J354" s="27"/>
      <c r="K354" s="27"/>
      <c r="L354" s="27"/>
      <c r="M354" s="27"/>
      <c r="N354" s="28"/>
      <c r="O354" s="36"/>
      <c r="P354" s="23"/>
      <c r="Q354" s="65"/>
      <c r="R354" s="23"/>
      <c r="S354" s="32" t="str">
        <f>IF(H354="","",IF(H354=EUconst_NA,"",INDEX(EUwideConstants!$H$778:$O$781,MATCH(M334,EUconst_CEMSTypes,0),MATCH(H354,CNTR_TierList,0))))</f>
        <v/>
      </c>
      <c r="T354" s="23"/>
      <c r="U354" s="23"/>
      <c r="V354" s="23"/>
      <c r="W354" s="23"/>
      <c r="X354" s="23"/>
      <c r="Y354" s="23"/>
    </row>
    <row r="355" spans="1:25" s="24" customFormat="1" x14ac:dyDescent="0.2">
      <c r="A355" s="23"/>
      <c r="D355" s="13" t="s">
        <v>1023</v>
      </c>
      <c r="E355" s="14" t="str">
        <f>Translations!$B$479</f>
        <v>Uncertainty achieved:</v>
      </c>
      <c r="H355" s="400"/>
      <c r="I355" s="14" t="str">
        <f>Translations!$B$480</f>
        <v>Comment:</v>
      </c>
      <c r="J355" s="578"/>
      <c r="K355" s="194"/>
      <c r="L355" s="194"/>
      <c r="M355" s="194"/>
      <c r="N355" s="195"/>
      <c r="O355" s="36"/>
      <c r="P355" s="23"/>
      <c r="Q355" s="23"/>
      <c r="R355" s="23"/>
      <c r="S355" s="23"/>
      <c r="T355" s="23"/>
      <c r="U355" s="23"/>
      <c r="V355" s="23"/>
      <c r="W355" s="23"/>
      <c r="X355" s="23"/>
      <c r="Y355" s="23"/>
    </row>
    <row r="356" spans="1:25" s="24" customFormat="1" x14ac:dyDescent="0.2">
      <c r="A356" s="23"/>
      <c r="D356" s="13"/>
      <c r="E356" s="67"/>
      <c r="F356" s="67"/>
      <c r="G356" s="67"/>
      <c r="H356" s="67"/>
      <c r="I356" s="67"/>
      <c r="J356" s="67"/>
      <c r="K356" s="67"/>
      <c r="L356" s="67"/>
      <c r="M356" s="67"/>
      <c r="N356" s="67"/>
      <c r="O356" s="36"/>
      <c r="P356" s="23"/>
      <c r="Q356" s="23"/>
      <c r="R356" s="23"/>
      <c r="S356" s="23"/>
      <c r="T356" s="23"/>
      <c r="U356" s="23"/>
      <c r="V356" s="23"/>
      <c r="W356" s="23"/>
      <c r="X356" s="23"/>
      <c r="Y356" s="23"/>
    </row>
    <row r="357" spans="1:25" s="24" customFormat="1" ht="15" x14ac:dyDescent="0.2">
      <c r="A357" s="23"/>
      <c r="D357" s="1040" t="str">
        <f>Translations!$B$599</f>
        <v>Standards and procedures:</v>
      </c>
      <c r="E357" s="1040"/>
      <c r="F357" s="1040"/>
      <c r="G357" s="1040"/>
      <c r="H357" s="1040"/>
      <c r="I357" s="1040"/>
      <c r="J357" s="1040"/>
      <c r="K357" s="1040"/>
      <c r="L357" s="1040"/>
      <c r="M357" s="1040"/>
      <c r="N357" s="1040"/>
      <c r="O357" s="36"/>
      <c r="P357" s="23"/>
      <c r="Q357" s="23"/>
      <c r="R357" s="23"/>
      <c r="S357" s="23"/>
      <c r="T357" s="23"/>
      <c r="U357" s="23"/>
      <c r="V357" s="23"/>
      <c r="W357" s="23"/>
      <c r="X357" s="23"/>
      <c r="Y357" s="23"/>
    </row>
    <row r="358" spans="1:25" s="24" customFormat="1" ht="5.0999999999999996" customHeight="1" x14ac:dyDescent="0.2">
      <c r="A358" s="23"/>
      <c r="D358" s="13"/>
      <c r="E358" s="67"/>
      <c r="F358" s="67"/>
      <c r="G358" s="67"/>
      <c r="H358" s="67"/>
      <c r="I358" s="67"/>
      <c r="J358" s="67"/>
      <c r="K358" s="67"/>
      <c r="L358" s="67"/>
      <c r="M358" s="67"/>
      <c r="N358" s="67"/>
      <c r="O358" s="36"/>
      <c r="P358" s="23"/>
      <c r="Q358" s="23"/>
      <c r="R358" s="23"/>
      <c r="S358" s="23"/>
      <c r="T358" s="23"/>
      <c r="U358" s="23"/>
      <c r="V358" s="23"/>
      <c r="W358" s="23"/>
      <c r="X358" s="23"/>
      <c r="Y358" s="23"/>
    </row>
    <row r="359" spans="1:25" s="24" customFormat="1" x14ac:dyDescent="0.2">
      <c r="A359" s="23"/>
      <c r="D359" s="13" t="s">
        <v>1019</v>
      </c>
      <c r="E359" s="949" t="str">
        <f>Translations!$B$600</f>
        <v>Applied standards and of any deviations from those standards</v>
      </c>
      <c r="F359" s="949"/>
      <c r="G359" s="949"/>
      <c r="H359" s="949"/>
      <c r="I359" s="949"/>
      <c r="J359" s="949"/>
      <c r="K359" s="949"/>
      <c r="L359" s="949"/>
      <c r="M359" s="949"/>
      <c r="N359" s="949"/>
      <c r="O359" s="36"/>
      <c r="P359" s="23"/>
      <c r="Q359" s="23"/>
      <c r="R359" s="23"/>
      <c r="S359" s="23"/>
      <c r="T359" s="23"/>
      <c r="U359" s="23"/>
      <c r="V359" s="23"/>
      <c r="W359" s="23"/>
      <c r="X359" s="23"/>
      <c r="Y359" s="23"/>
    </row>
    <row r="360" spans="1:25" s="24" customFormat="1" x14ac:dyDescent="0.2">
      <c r="A360" s="23"/>
      <c r="D360" s="13"/>
      <c r="E360" s="869" t="str">
        <f>Translations!$B$601</f>
        <v>Please use references to table 9(e) above as appropriate.</v>
      </c>
      <c r="F360" s="869"/>
      <c r="G360" s="869"/>
      <c r="H360" s="869"/>
      <c r="I360" s="869"/>
      <c r="J360" s="869"/>
      <c r="K360" s="869"/>
      <c r="L360" s="869"/>
      <c r="M360" s="869"/>
      <c r="N360" s="869"/>
      <c r="O360" s="36"/>
      <c r="P360" s="23"/>
      <c r="Q360" s="23"/>
      <c r="R360" s="23"/>
      <c r="S360" s="23"/>
      <c r="T360" s="23"/>
      <c r="U360" s="23"/>
      <c r="V360" s="23"/>
      <c r="W360" s="23"/>
      <c r="X360" s="23"/>
      <c r="Y360" s="23"/>
    </row>
    <row r="361" spans="1:25" s="24" customFormat="1" ht="5.0999999999999996" customHeight="1" x14ac:dyDescent="0.2">
      <c r="A361" s="23"/>
      <c r="D361" s="13"/>
      <c r="O361" s="36"/>
      <c r="P361" s="23"/>
      <c r="Q361" s="23"/>
      <c r="R361" s="23"/>
      <c r="S361" s="23"/>
      <c r="T361" s="23"/>
      <c r="U361" s="23"/>
      <c r="V361" s="23"/>
      <c r="W361" s="23"/>
      <c r="X361" s="23"/>
      <c r="Y361" s="23"/>
    </row>
    <row r="362" spans="1:25" s="24" customFormat="1" ht="12.75" customHeight="1" x14ac:dyDescent="0.2">
      <c r="A362" s="23"/>
      <c r="D362" s="13"/>
      <c r="E362" s="1099"/>
      <c r="F362" s="1052"/>
      <c r="G362" s="1052"/>
      <c r="H362" s="1052"/>
      <c r="I362" s="1052"/>
      <c r="J362" s="1052"/>
      <c r="K362" s="1052"/>
      <c r="L362" s="1052"/>
      <c r="M362" s="1052"/>
      <c r="N362" s="1053"/>
      <c r="O362" s="36"/>
      <c r="P362" s="23"/>
      <c r="Q362" s="23"/>
      <c r="R362" s="23"/>
      <c r="S362" s="23"/>
      <c r="T362" s="23"/>
      <c r="U362" s="23"/>
      <c r="V362" s="23"/>
      <c r="W362" s="23"/>
      <c r="X362" s="23"/>
      <c r="Y362" s="23"/>
    </row>
    <row r="363" spans="1:25" s="24" customFormat="1" x14ac:dyDescent="0.2">
      <c r="A363" s="23"/>
      <c r="D363" s="13"/>
      <c r="E363" s="1054"/>
      <c r="F363" s="1055"/>
      <c r="G363" s="1055"/>
      <c r="H363" s="1055"/>
      <c r="I363" s="1055"/>
      <c r="J363" s="1055"/>
      <c r="K363" s="1055"/>
      <c r="L363" s="1055"/>
      <c r="M363" s="1055"/>
      <c r="N363" s="1056"/>
      <c r="O363" s="36"/>
      <c r="P363" s="23"/>
      <c r="Q363" s="23"/>
      <c r="R363" s="23"/>
      <c r="S363" s="23"/>
      <c r="T363" s="23"/>
      <c r="U363" s="23"/>
      <c r="V363" s="23"/>
      <c r="W363" s="23"/>
      <c r="X363" s="23"/>
      <c r="Y363" s="23"/>
    </row>
    <row r="364" spans="1:25" s="24" customFormat="1" x14ac:dyDescent="0.2">
      <c r="A364" s="23"/>
      <c r="D364" s="13"/>
      <c r="E364" s="1057"/>
      <c r="F364" s="1058"/>
      <c r="G364" s="1058"/>
      <c r="H364" s="1058"/>
      <c r="I364" s="1058"/>
      <c r="J364" s="1058"/>
      <c r="K364" s="1058"/>
      <c r="L364" s="1058"/>
      <c r="M364" s="1058"/>
      <c r="N364" s="1059"/>
      <c r="O364" s="36"/>
      <c r="P364" s="23"/>
      <c r="Q364" s="23"/>
      <c r="R364" s="23"/>
      <c r="S364" s="23"/>
      <c r="T364" s="23"/>
      <c r="U364" s="23"/>
      <c r="V364" s="23"/>
      <c r="W364" s="23"/>
      <c r="X364" s="23"/>
      <c r="Y364" s="23"/>
    </row>
    <row r="365" spans="1:25" s="24" customFormat="1" x14ac:dyDescent="0.2">
      <c r="A365" s="23"/>
      <c r="D365" s="13"/>
      <c r="O365" s="36"/>
      <c r="P365" s="23"/>
      <c r="Q365" s="23"/>
      <c r="R365" s="23"/>
      <c r="S365" s="23"/>
      <c r="T365" s="23"/>
      <c r="U365" s="23"/>
      <c r="V365" s="23"/>
      <c r="W365" s="23"/>
      <c r="X365" s="23"/>
      <c r="Y365" s="23"/>
    </row>
    <row r="366" spans="1:25" s="24" customFormat="1" x14ac:dyDescent="0.2">
      <c r="A366" s="23"/>
      <c r="D366" s="13" t="s">
        <v>1349</v>
      </c>
      <c r="E366" s="949" t="str">
        <f>Translations!$B$602</f>
        <v>References to procedures</v>
      </c>
      <c r="F366" s="949"/>
      <c r="G366" s="949"/>
      <c r="H366" s="949"/>
      <c r="I366" s="949"/>
      <c r="J366" s="949"/>
      <c r="K366" s="949"/>
      <c r="L366" s="949"/>
      <c r="M366" s="949"/>
      <c r="N366" s="949"/>
      <c r="O366" s="36"/>
      <c r="P366" s="23"/>
      <c r="Q366" s="23"/>
      <c r="R366" s="23"/>
      <c r="S366" s="23"/>
      <c r="T366" s="23"/>
      <c r="U366" s="23"/>
      <c r="V366" s="23"/>
      <c r="W366" s="23"/>
      <c r="X366" s="23"/>
      <c r="Y366" s="23"/>
    </row>
    <row r="367" spans="1:25" s="24" customFormat="1" ht="5.0999999999999996" customHeight="1" x14ac:dyDescent="0.2">
      <c r="A367" s="23"/>
      <c r="D367" s="13"/>
      <c r="O367" s="36"/>
      <c r="P367" s="23"/>
      <c r="Q367" s="23"/>
      <c r="R367" s="23"/>
      <c r="S367" s="23"/>
      <c r="T367" s="23"/>
      <c r="U367" s="23"/>
      <c r="V367" s="23"/>
      <c r="W367" s="23"/>
      <c r="X367" s="23"/>
      <c r="Y367" s="23"/>
    </row>
    <row r="368" spans="1:25" s="24" customFormat="1" x14ac:dyDescent="0.2">
      <c r="A368" s="23"/>
      <c r="D368" s="13"/>
      <c r="E368" s="46" t="s">
        <v>1030</v>
      </c>
      <c r="F368" s="1049" t="str">
        <f>Translations!$B$604</f>
        <v>Any calculation formulae used for data aggregation and used to determine the annual emissions</v>
      </c>
      <c r="G368" s="1049"/>
      <c r="H368" s="1049"/>
      <c r="I368" s="1049"/>
      <c r="J368" s="1049"/>
      <c r="K368" s="1049"/>
      <c r="L368" s="1049"/>
      <c r="M368" s="1049"/>
      <c r="N368" s="1049"/>
      <c r="O368" s="36"/>
      <c r="P368" s="23"/>
      <c r="Q368" s="23"/>
      <c r="R368" s="23"/>
      <c r="S368" s="23"/>
      <c r="T368" s="23"/>
      <c r="U368" s="23"/>
      <c r="V368" s="23"/>
      <c r="W368" s="23"/>
      <c r="X368" s="23"/>
      <c r="Y368" s="23"/>
    </row>
    <row r="369" spans="1:25" s="24" customFormat="1" x14ac:dyDescent="0.2">
      <c r="A369" s="23"/>
      <c r="D369" s="13"/>
      <c r="E369" s="14"/>
      <c r="F369" s="870"/>
      <c r="G369" s="1036"/>
      <c r="H369" s="1036"/>
      <c r="I369" s="1036"/>
      <c r="J369" s="1036"/>
      <c r="K369" s="1036"/>
      <c r="L369" s="1036"/>
      <c r="M369" s="1036"/>
      <c r="N369" s="972"/>
      <c r="O369" s="36"/>
      <c r="P369" s="23"/>
      <c r="Q369" s="23"/>
      <c r="R369" s="23"/>
      <c r="S369" s="23"/>
      <c r="T369" s="23"/>
      <c r="U369" s="23"/>
      <c r="V369" s="23"/>
      <c r="W369" s="23"/>
      <c r="X369" s="23"/>
      <c r="Y369" s="23"/>
    </row>
    <row r="370" spans="1:25" s="24" customFormat="1" ht="5.0999999999999996" customHeight="1" x14ac:dyDescent="0.2">
      <c r="A370" s="23"/>
      <c r="D370" s="13"/>
      <c r="E370" s="14"/>
      <c r="F370" s="14"/>
      <c r="G370" s="14"/>
      <c r="H370" s="14"/>
      <c r="I370" s="14"/>
      <c r="L370" s="22"/>
      <c r="O370" s="36"/>
      <c r="P370" s="23"/>
      <c r="Q370" s="23"/>
      <c r="R370" s="23"/>
      <c r="S370" s="23"/>
      <c r="T370" s="23"/>
      <c r="U370" s="23"/>
      <c r="V370" s="23"/>
      <c r="W370" s="23"/>
      <c r="X370" s="23"/>
      <c r="Y370" s="23"/>
    </row>
    <row r="371" spans="1:25" s="24" customFormat="1" ht="25.5" customHeight="1" x14ac:dyDescent="0.2">
      <c r="A371" s="23"/>
      <c r="D371" s="13"/>
      <c r="E371" s="46" t="s">
        <v>1031</v>
      </c>
      <c r="F371" s="752" t="str">
        <f>Translations!$B$605</f>
        <v>Method for determining whether valid hours or shorter reference periods for each parameter can be calculated (using the threshold given in Article 44(2)), and for substitution of missing data in accordance with Article 45</v>
      </c>
      <c r="G371" s="752"/>
      <c r="H371" s="752"/>
      <c r="I371" s="752"/>
      <c r="J371" s="752"/>
      <c r="K371" s="752"/>
      <c r="L371" s="752"/>
      <c r="M371" s="752"/>
      <c r="N371" s="752"/>
      <c r="O371" s="36"/>
      <c r="P371" s="23"/>
      <c r="Q371" s="23"/>
      <c r="R371" s="23"/>
      <c r="S371" s="23"/>
      <c r="T371" s="23"/>
      <c r="U371" s="23"/>
      <c r="V371" s="23"/>
      <c r="W371" s="23"/>
      <c r="X371" s="23"/>
      <c r="Y371" s="23"/>
    </row>
    <row r="372" spans="1:25" s="24" customFormat="1" x14ac:dyDescent="0.2">
      <c r="A372" s="23"/>
      <c r="D372" s="13"/>
      <c r="E372" s="14"/>
      <c r="F372" s="870"/>
      <c r="G372" s="1036"/>
      <c r="H372" s="1036"/>
      <c r="I372" s="1036"/>
      <c r="J372" s="1036"/>
      <c r="K372" s="1036"/>
      <c r="L372" s="1036"/>
      <c r="M372" s="1036"/>
      <c r="N372" s="972"/>
      <c r="O372" s="36"/>
      <c r="P372" s="23"/>
      <c r="Q372" s="23"/>
      <c r="R372" s="23"/>
      <c r="S372" s="23"/>
      <c r="T372" s="23"/>
      <c r="U372" s="23"/>
      <c r="V372" s="23"/>
      <c r="W372" s="23"/>
      <c r="X372" s="23"/>
      <c r="Y372" s="23"/>
    </row>
    <row r="373" spans="1:25" s="24" customFormat="1" ht="5.0999999999999996" customHeight="1" x14ac:dyDescent="0.2">
      <c r="A373" s="23"/>
      <c r="D373" s="13"/>
      <c r="E373" s="14"/>
      <c r="F373" s="14"/>
      <c r="G373" s="14"/>
      <c r="H373" s="14"/>
      <c r="I373" s="14"/>
      <c r="L373" s="22"/>
      <c r="O373" s="36"/>
      <c r="P373" s="23"/>
      <c r="Q373" s="23"/>
      <c r="R373" s="23"/>
      <c r="S373" s="23"/>
      <c r="T373" s="23"/>
      <c r="U373" s="23"/>
      <c r="V373" s="23"/>
      <c r="W373" s="23"/>
      <c r="X373" s="23"/>
      <c r="Y373" s="23"/>
    </row>
    <row r="374" spans="1:25" s="24" customFormat="1" x14ac:dyDescent="0.2">
      <c r="A374" s="23"/>
      <c r="D374" s="13"/>
      <c r="E374" s="46" t="s">
        <v>1468</v>
      </c>
      <c r="F374" s="1049" t="str">
        <f>Translations!$B$606</f>
        <v>Calculation of the flue gas flow, if applicable</v>
      </c>
      <c r="G374" s="1049"/>
      <c r="H374" s="1049"/>
      <c r="I374" s="1049"/>
      <c r="J374" s="1049"/>
      <c r="K374" s="1049"/>
      <c r="L374" s="1049"/>
      <c r="M374" s="1049"/>
      <c r="N374" s="1049"/>
      <c r="O374" s="36"/>
      <c r="P374" s="23"/>
      <c r="Q374" s="23"/>
      <c r="R374" s="23"/>
      <c r="S374" s="23"/>
      <c r="T374" s="23"/>
      <c r="U374" s="23"/>
      <c r="V374" s="23"/>
      <c r="W374" s="23"/>
      <c r="X374" s="23"/>
      <c r="Y374" s="23"/>
    </row>
    <row r="375" spans="1:25" s="24" customFormat="1" x14ac:dyDescent="0.2">
      <c r="A375" s="23"/>
      <c r="D375" s="13"/>
      <c r="E375" s="14"/>
      <c r="F375" s="870"/>
      <c r="G375" s="1036"/>
      <c r="H375" s="1036"/>
      <c r="I375" s="1036"/>
      <c r="J375" s="1036"/>
      <c r="K375" s="1036"/>
      <c r="L375" s="1036"/>
      <c r="M375" s="1036"/>
      <c r="N375" s="972"/>
      <c r="O375" s="36"/>
      <c r="P375" s="23"/>
      <c r="Q375" s="23"/>
      <c r="R375" s="23"/>
      <c r="S375" s="23"/>
      <c r="T375" s="23"/>
      <c r="U375" s="23"/>
      <c r="V375" s="23"/>
      <c r="W375" s="23"/>
      <c r="X375" s="23"/>
      <c r="Y375" s="23"/>
    </row>
    <row r="376" spans="1:25" s="24" customFormat="1" ht="5.0999999999999996" customHeight="1" x14ac:dyDescent="0.2">
      <c r="A376" s="23"/>
      <c r="D376" s="13"/>
      <c r="E376" s="14"/>
      <c r="F376" s="11"/>
      <c r="G376" s="14"/>
      <c r="H376" s="14"/>
      <c r="I376" s="14"/>
      <c r="L376" s="22"/>
      <c r="O376" s="36"/>
      <c r="P376" s="23"/>
      <c r="Q376" s="23"/>
      <c r="R376" s="23"/>
      <c r="S376" s="23"/>
      <c r="T376" s="23"/>
      <c r="U376" s="23"/>
      <c r="V376" s="23"/>
      <c r="W376" s="23"/>
      <c r="X376" s="23"/>
      <c r="Y376" s="23"/>
    </row>
    <row r="377" spans="1:25" s="24" customFormat="1" x14ac:dyDescent="0.2">
      <c r="A377" s="23"/>
      <c r="D377" s="13"/>
      <c r="E377" s="46" t="s">
        <v>1469</v>
      </c>
      <c r="F377" s="1049" t="str">
        <f>Translations!$B$1356</f>
        <v>Determination of CO2 stemming from biomass or from any other zero-rated fraction, if applicable</v>
      </c>
      <c r="G377" s="1049"/>
      <c r="H377" s="1049"/>
      <c r="I377" s="1049"/>
      <c r="J377" s="1049"/>
      <c r="K377" s="1049"/>
      <c r="L377" s="1049"/>
      <c r="M377" s="1049"/>
      <c r="N377" s="1049"/>
      <c r="O377" s="36"/>
      <c r="P377" s="23"/>
      <c r="Q377" s="23"/>
      <c r="R377" s="23"/>
      <c r="S377" s="23"/>
      <c r="T377" s="23"/>
      <c r="U377" s="23"/>
      <c r="V377" s="23"/>
      <c r="W377" s="23"/>
      <c r="X377" s="23"/>
      <c r="Y377" s="23"/>
    </row>
    <row r="378" spans="1:25" s="24" customFormat="1" x14ac:dyDescent="0.2">
      <c r="A378" s="23"/>
      <c r="D378" s="13"/>
      <c r="E378" s="14"/>
      <c r="F378" s="870"/>
      <c r="G378" s="1036"/>
      <c r="H378" s="1036"/>
      <c r="I378" s="1036"/>
      <c r="J378" s="1036"/>
      <c r="K378" s="1036"/>
      <c r="L378" s="1036"/>
      <c r="M378" s="1036"/>
      <c r="N378" s="972"/>
      <c r="O378" s="36"/>
      <c r="P378" s="23"/>
      <c r="Q378" s="23"/>
      <c r="R378" s="23"/>
      <c r="S378" s="23"/>
      <c r="T378" s="23"/>
      <c r="U378" s="23"/>
      <c r="V378" s="23"/>
      <c r="W378" s="23"/>
      <c r="X378" s="23"/>
      <c r="Y378" s="23"/>
    </row>
    <row r="379" spans="1:25" s="24" customFormat="1" ht="5.0999999999999996" customHeight="1" x14ac:dyDescent="0.2">
      <c r="A379" s="23"/>
      <c r="D379" s="13"/>
      <c r="E379" s="14"/>
      <c r="F379" s="14"/>
      <c r="G379" s="14"/>
      <c r="H379" s="14"/>
      <c r="I379" s="14"/>
      <c r="J379" s="234"/>
      <c r="K379" s="234"/>
      <c r="L379" s="234"/>
      <c r="M379" s="234"/>
      <c r="N379" s="234"/>
      <c r="O379" s="36"/>
      <c r="P379" s="23"/>
      <c r="Q379" s="23"/>
      <c r="R379" s="23"/>
      <c r="S379" s="23"/>
      <c r="T379" s="23"/>
      <c r="U379" s="23"/>
      <c r="V379" s="23"/>
      <c r="W379" s="23"/>
      <c r="X379" s="23"/>
      <c r="Y379" s="23"/>
    </row>
    <row r="380" spans="1:25" s="24" customFormat="1" x14ac:dyDescent="0.2">
      <c r="A380" s="23"/>
      <c r="D380" s="13"/>
      <c r="E380" s="46" t="s">
        <v>1470</v>
      </c>
      <c r="F380" s="1049" t="str">
        <f>Translations!$B$608</f>
        <v>Corroborating calculations in accordance with Article 46 that are carried out, if applicable</v>
      </c>
      <c r="G380" s="1049"/>
      <c r="H380" s="1049"/>
      <c r="I380" s="1049"/>
      <c r="J380" s="1049"/>
      <c r="K380" s="1049"/>
      <c r="L380" s="1049"/>
      <c r="M380" s="1049"/>
      <c r="N380" s="1049"/>
      <c r="O380" s="36"/>
      <c r="P380" s="23"/>
      <c r="Q380" s="23"/>
      <c r="R380" s="23"/>
      <c r="S380" s="23"/>
      <c r="T380" s="23"/>
      <c r="U380" s="23"/>
      <c r="V380" s="23"/>
      <c r="W380" s="23"/>
      <c r="X380" s="23"/>
      <c r="Y380" s="23"/>
    </row>
    <row r="381" spans="1:25" s="24" customFormat="1" x14ac:dyDescent="0.2">
      <c r="A381" s="23"/>
      <c r="D381" s="13"/>
      <c r="E381" s="14"/>
      <c r="F381" s="870"/>
      <c r="G381" s="1036"/>
      <c r="H381" s="1036"/>
      <c r="I381" s="1036"/>
      <c r="J381" s="1036"/>
      <c r="K381" s="1036"/>
      <c r="L381" s="1036"/>
      <c r="M381" s="1036"/>
      <c r="N381" s="972"/>
      <c r="O381" s="36"/>
      <c r="P381" s="23"/>
      <c r="Q381" s="23"/>
      <c r="R381" s="23"/>
      <c r="S381" s="23"/>
      <c r="T381" s="23"/>
      <c r="U381" s="23"/>
      <c r="V381" s="23"/>
      <c r="W381" s="23"/>
      <c r="X381" s="23"/>
      <c r="Y381" s="23"/>
    </row>
    <row r="382" spans="1:25" s="24" customFormat="1" ht="5.0999999999999996" customHeight="1" x14ac:dyDescent="0.2">
      <c r="A382" s="23"/>
      <c r="D382" s="13"/>
      <c r="E382" s="14"/>
      <c r="F382" s="14"/>
      <c r="G382" s="14"/>
      <c r="H382" s="14"/>
      <c r="I382" s="14"/>
      <c r="L382" s="22"/>
      <c r="O382" s="36"/>
      <c r="P382" s="23"/>
      <c r="Q382" s="23"/>
      <c r="R382" s="23"/>
      <c r="S382" s="23"/>
      <c r="T382" s="23"/>
      <c r="U382" s="23"/>
      <c r="V382" s="23"/>
      <c r="W382" s="23"/>
      <c r="X382" s="23"/>
      <c r="Y382" s="23"/>
    </row>
    <row r="383" spans="1:25" s="24" customFormat="1" ht="15" x14ac:dyDescent="0.2">
      <c r="A383" s="23"/>
      <c r="D383" s="1040" t="str">
        <f>Translations!$B$545</f>
        <v>Comments and explanations:</v>
      </c>
      <c r="E383" s="1040"/>
      <c r="F383" s="1040"/>
      <c r="G383" s="1040"/>
      <c r="H383" s="1040"/>
      <c r="I383" s="1040"/>
      <c r="J383" s="1040"/>
      <c r="K383" s="1040"/>
      <c r="L383" s="1040"/>
      <c r="M383" s="1040"/>
      <c r="N383" s="1040"/>
      <c r="O383" s="36"/>
      <c r="P383" s="23"/>
      <c r="Q383" s="23"/>
      <c r="R383" s="23"/>
      <c r="S383" s="23"/>
      <c r="T383" s="23"/>
      <c r="U383" s="23"/>
      <c r="V383" s="23"/>
      <c r="W383" s="23"/>
      <c r="X383" s="23"/>
      <c r="Y383" s="23"/>
    </row>
    <row r="384" spans="1:25" s="24" customFormat="1" ht="5.0999999999999996" customHeight="1" x14ac:dyDescent="0.2">
      <c r="A384" s="23"/>
      <c r="D384" s="13"/>
      <c r="E384" s="67"/>
      <c r="F384" s="67"/>
      <c r="G384" s="67"/>
      <c r="H384" s="67"/>
      <c r="I384" s="67"/>
      <c r="J384" s="67"/>
      <c r="K384" s="67"/>
      <c r="L384" s="67"/>
      <c r="M384" s="67"/>
      <c r="N384" s="67"/>
      <c r="O384" s="36"/>
      <c r="P384" s="23"/>
      <c r="Q384" s="23"/>
      <c r="R384" s="23"/>
      <c r="S384" s="23"/>
      <c r="T384" s="23"/>
      <c r="U384" s="23"/>
      <c r="V384" s="23"/>
      <c r="W384" s="23"/>
      <c r="X384" s="23"/>
      <c r="Y384" s="23"/>
    </row>
    <row r="385" spans="1:25" s="24" customFormat="1" x14ac:dyDescent="0.2">
      <c r="A385" s="23"/>
      <c r="D385" s="13" t="s">
        <v>1351</v>
      </c>
      <c r="E385" s="949" t="str">
        <f>Translations!$B$1202</f>
        <v>Comments and justification if required tier is not applied:</v>
      </c>
      <c r="F385" s="949"/>
      <c r="G385" s="949"/>
      <c r="H385" s="949"/>
      <c r="I385" s="949"/>
      <c r="J385" s="949"/>
      <c r="K385" s="949"/>
      <c r="L385" s="949"/>
      <c r="M385" s="949"/>
      <c r="N385" s="949"/>
      <c r="O385" s="36"/>
      <c r="P385" s="23"/>
      <c r="Q385" s="23"/>
      <c r="R385" s="23"/>
      <c r="S385" s="23"/>
      <c r="T385" s="23"/>
      <c r="U385" s="23"/>
      <c r="V385" s="23"/>
      <c r="W385" s="23"/>
      <c r="X385" s="23"/>
      <c r="Y385" s="23"/>
    </row>
    <row r="386" spans="1:25" s="24" customFormat="1" ht="5.0999999999999996" customHeight="1" x14ac:dyDescent="0.2">
      <c r="A386" s="23"/>
      <c r="D386" s="13"/>
      <c r="E386" s="48"/>
      <c r="O386" s="36"/>
      <c r="P386" s="23"/>
      <c r="Q386" s="23"/>
      <c r="R386" s="23"/>
      <c r="S386" s="23"/>
      <c r="T386" s="23"/>
      <c r="U386" s="23"/>
      <c r="V386" s="23"/>
      <c r="W386" s="23"/>
      <c r="X386" s="23"/>
      <c r="Y386" s="23"/>
    </row>
    <row r="387" spans="1:25" s="24" customFormat="1" x14ac:dyDescent="0.2">
      <c r="A387" s="23"/>
      <c r="D387" s="13"/>
      <c r="E387" s="1045"/>
      <c r="F387" s="955"/>
      <c r="G387" s="955"/>
      <c r="H387" s="955"/>
      <c r="I387" s="955"/>
      <c r="J387" s="955"/>
      <c r="K387" s="955"/>
      <c r="L387" s="955"/>
      <c r="M387" s="955"/>
      <c r="N387" s="956"/>
      <c r="O387" s="36"/>
      <c r="P387" s="23"/>
      <c r="Q387" s="23"/>
      <c r="R387" s="23"/>
      <c r="S387" s="23"/>
      <c r="T387" s="23"/>
      <c r="U387" s="23"/>
      <c r="V387" s="23"/>
      <c r="W387" s="23"/>
      <c r="X387" s="23"/>
      <c r="Y387" s="23"/>
    </row>
    <row r="388" spans="1:25" s="24" customFormat="1" x14ac:dyDescent="0.2">
      <c r="A388" s="23"/>
      <c r="D388" s="13"/>
      <c r="E388" s="1037"/>
      <c r="F388" s="958"/>
      <c r="G388" s="958"/>
      <c r="H388" s="958"/>
      <c r="I388" s="958"/>
      <c r="J388" s="958"/>
      <c r="K388" s="958"/>
      <c r="L388" s="958"/>
      <c r="M388" s="958"/>
      <c r="N388" s="959"/>
      <c r="O388" s="36"/>
      <c r="P388" s="23"/>
      <c r="Q388" s="23"/>
      <c r="R388" s="23"/>
      <c r="S388" s="23"/>
      <c r="T388" s="23"/>
      <c r="U388" s="23"/>
      <c r="V388" s="23"/>
      <c r="W388" s="23"/>
      <c r="X388" s="23"/>
      <c r="Y388" s="23"/>
    </row>
    <row r="389" spans="1:25" s="24" customFormat="1" x14ac:dyDescent="0.2">
      <c r="A389" s="23"/>
      <c r="D389" s="13"/>
      <c r="E389" s="1038"/>
      <c r="F389" s="961"/>
      <c r="G389" s="961"/>
      <c r="H389" s="961"/>
      <c r="I389" s="961"/>
      <c r="J389" s="961"/>
      <c r="K389" s="961"/>
      <c r="L389" s="961"/>
      <c r="M389" s="961"/>
      <c r="N389" s="962"/>
      <c r="O389" s="36"/>
      <c r="P389" s="23"/>
      <c r="Q389" s="23"/>
      <c r="R389" s="23"/>
      <c r="S389" s="23"/>
      <c r="T389" s="23"/>
      <c r="U389" s="23"/>
      <c r="V389" s="23"/>
      <c r="W389" s="23"/>
      <c r="X389" s="23"/>
      <c r="Y389" s="23"/>
    </row>
    <row r="390" spans="1:25" ht="12.75" customHeight="1" thickBot="1" x14ac:dyDescent="0.25">
      <c r="B390" s="11"/>
      <c r="C390" s="54"/>
      <c r="D390" s="55"/>
      <c r="E390" s="56"/>
      <c r="F390" s="54"/>
      <c r="G390" s="57"/>
      <c r="H390" s="57"/>
      <c r="I390" s="57"/>
      <c r="J390" s="57"/>
      <c r="K390" s="57"/>
      <c r="L390" s="57"/>
      <c r="M390" s="57"/>
      <c r="N390" s="57"/>
      <c r="O390" s="36"/>
      <c r="P390" s="6"/>
      <c r="S390" s="359"/>
    </row>
    <row r="391" spans="1:25" ht="12.75" customHeight="1" thickBot="1" x14ac:dyDescent="0.25">
      <c r="A391" s="12" t="s">
        <v>6</v>
      </c>
      <c r="B391" s="417"/>
      <c r="C391" s="417"/>
      <c r="D391" s="441"/>
      <c r="E391" s="411"/>
      <c r="F391" s="411"/>
      <c r="G391" s="411"/>
      <c r="H391" s="411"/>
      <c r="I391" s="411"/>
      <c r="J391" s="411"/>
      <c r="K391" s="411"/>
      <c r="L391" s="411"/>
      <c r="M391" s="417"/>
      <c r="N391" s="417"/>
      <c r="O391" s="36"/>
      <c r="P391" s="23"/>
      <c r="Q391" s="23"/>
      <c r="R391" s="23"/>
      <c r="S391" s="23"/>
      <c r="T391" s="23"/>
      <c r="U391" s="23"/>
      <c r="V391" s="23"/>
      <c r="W391" s="23"/>
      <c r="Y391" s="65" t="s">
        <v>727</v>
      </c>
    </row>
    <row r="392" spans="1:25" s="186" customFormat="1" ht="15" customHeight="1" thickBot="1" x14ac:dyDescent="0.25">
      <c r="A392" s="248"/>
      <c r="B392" s="34"/>
      <c r="C392" s="35" t="str">
        <f>"M"&amp;Q392</f>
        <v>M5</v>
      </c>
      <c r="D392" s="1040" t="str">
        <f>CONCATENATE(EUconst_MeasurementPoint," ",Q392,":")</f>
        <v>Measurement Point 5:</v>
      </c>
      <c r="E392" s="1040"/>
      <c r="F392" s="1040"/>
      <c r="G392" s="1066"/>
      <c r="H392" s="1067" t="str">
        <f>IF(INDEX(C_InstallationDescription!$F$171:$F$176,MATCH(C392,C_InstallationDescription!$E$171:$E$176,0))&gt;0,INDEX(C_InstallationDescription!$F$171:$F$176,MATCH(C392,C_InstallationDescription!$E$171:$E$176,0)),"")</f>
        <v/>
      </c>
      <c r="I392" s="1067"/>
      <c r="J392" s="1067"/>
      <c r="K392" s="1067"/>
      <c r="L392" s="1068"/>
      <c r="M392" s="1069" t="str">
        <f>IF(U392=TRUE,V392,"")</f>
        <v/>
      </c>
      <c r="N392" s="1070"/>
      <c r="O392" s="36"/>
      <c r="P392" s="252"/>
      <c r="Q392" s="33">
        <f>Q334+1</f>
        <v>5</v>
      </c>
      <c r="R392" s="37"/>
      <c r="S392" s="40" t="b">
        <f>IF(INDEX(C_InstallationDescription!$M:$M,MATCH(Q394,C_InstallationDescription!$Q:$Q,0))="",FALSE,TRUE)</f>
        <v>0</v>
      </c>
      <c r="T392" s="372" t="str">
        <f>IF(S392=TRUE,INDEX(C_InstallationDescription!$M:$M,MATCH(Q394,C_InstallationDescription!$Q:$Q,0)),"")</f>
        <v/>
      </c>
      <c r="U392" s="40" t="b">
        <f>IF(INDEX(C_InstallationDescription!$N:$N,MATCH(Q394,C_InstallationDescription!$Q:$Q,0))="",FALSE,TRUE)</f>
        <v>0</v>
      </c>
      <c r="V392" s="372" t="str">
        <f>IF(U392=TRUE,INDEX(C_InstallationDescription!$N:$N,MATCH(Q394,C_InstallationDescription!$Q:$Q,0)),"")</f>
        <v/>
      </c>
      <c r="W392" s="37"/>
      <c r="X392" s="37"/>
      <c r="Y392" s="40" t="s">
        <v>420</v>
      </c>
    </row>
    <row r="393" spans="1:25" s="24" customFormat="1" ht="5.0999999999999996" customHeight="1" thickBot="1" x14ac:dyDescent="0.25">
      <c r="A393" s="65"/>
      <c r="B393" s="8"/>
      <c r="C393" s="8"/>
      <c r="D393" s="10"/>
      <c r="E393" s="8"/>
      <c r="F393" s="8"/>
      <c r="G393" s="8"/>
      <c r="H393" s="8"/>
      <c r="I393" s="8"/>
      <c r="J393" s="8"/>
      <c r="K393" s="8"/>
      <c r="L393" s="8"/>
      <c r="M393" s="7"/>
      <c r="N393" s="7"/>
      <c r="O393" s="36"/>
      <c r="P393" s="12"/>
      <c r="Q393" s="12"/>
      <c r="R393" s="23"/>
      <c r="S393" s="23"/>
      <c r="T393" s="23"/>
      <c r="U393" s="23"/>
      <c r="V393" s="23"/>
      <c r="W393" s="23"/>
      <c r="X393" s="23"/>
      <c r="Y393" s="23"/>
    </row>
    <row r="394" spans="1:25" s="24" customFormat="1" ht="13.5" thickBot="1" x14ac:dyDescent="0.25">
      <c r="A394" s="23"/>
      <c r="D394" s="13" t="s">
        <v>1018</v>
      </c>
      <c r="E394" s="825" t="str">
        <f>Translations!$B$583</f>
        <v>Operation type:</v>
      </c>
      <c r="F394" s="825"/>
      <c r="G394" s="1100"/>
      <c r="H394" s="1101"/>
      <c r="I394" s="1101"/>
      <c r="J394" s="1101"/>
      <c r="K394" s="14"/>
      <c r="L394" s="14"/>
      <c r="M394" s="1069" t="str">
        <f>IF(S392=TRUE,T392,"")</f>
        <v/>
      </c>
      <c r="N394" s="1070"/>
      <c r="O394" s="36"/>
      <c r="P394" s="23"/>
      <c r="Q394" s="32" t="str">
        <f>EUconst_CNTR_SourceCategory&amp;C392</f>
        <v>SourceCategory_M5</v>
      </c>
      <c r="R394" s="23"/>
      <c r="S394" s="23"/>
      <c r="T394" s="23"/>
      <c r="U394" s="23"/>
      <c r="V394" s="23"/>
      <c r="W394" s="23"/>
      <c r="X394" s="23"/>
      <c r="Y394" s="23"/>
    </row>
    <row r="395" spans="1:25" s="24" customFormat="1" ht="5.0999999999999996" customHeight="1" x14ac:dyDescent="0.2">
      <c r="A395" s="23"/>
      <c r="D395" s="222"/>
      <c r="O395" s="36"/>
      <c r="P395" s="23"/>
      <c r="Q395" s="23"/>
      <c r="R395" s="23"/>
      <c r="S395" s="23"/>
      <c r="T395" s="23"/>
      <c r="U395" s="23"/>
      <c r="V395" s="23"/>
      <c r="W395" s="23"/>
      <c r="X395" s="23"/>
      <c r="Y395" s="23"/>
    </row>
    <row r="396" spans="1:25" s="24" customFormat="1" ht="12.75" customHeight="1" x14ac:dyDescent="0.2">
      <c r="A396" s="23"/>
      <c r="D396" s="1040" t="str">
        <f>Translations!$B$446</f>
        <v>Automatic guidance on applicable tiers:</v>
      </c>
      <c r="E396" s="1040"/>
      <c r="F396" s="1040"/>
      <c r="G396" s="1040"/>
      <c r="H396" s="1040"/>
      <c r="I396" s="1040"/>
      <c r="J396" s="1040"/>
      <c r="K396" s="1040"/>
      <c r="L396" s="1040"/>
      <c r="M396" s="1040"/>
      <c r="N396" s="1040"/>
      <c r="O396" s="36"/>
      <c r="P396" s="23"/>
      <c r="Q396" s="23"/>
      <c r="R396" s="23"/>
      <c r="S396" s="23"/>
      <c r="T396" s="23"/>
      <c r="U396" s="23"/>
      <c r="V396" s="23"/>
      <c r="W396" s="23"/>
      <c r="X396" s="23"/>
      <c r="Y396" s="23"/>
    </row>
    <row r="397" spans="1:25" s="24" customFormat="1" ht="4.5" customHeight="1" x14ac:dyDescent="0.2">
      <c r="A397" s="23"/>
      <c r="D397" s="13"/>
      <c r="E397" s="129"/>
      <c r="F397" s="129"/>
      <c r="G397" s="129"/>
      <c r="H397" s="129"/>
      <c r="I397" s="129"/>
      <c r="J397" s="129"/>
      <c r="K397" s="129"/>
      <c r="L397" s="129"/>
      <c r="M397" s="129"/>
      <c r="N397" s="129"/>
      <c r="O397" s="36"/>
      <c r="P397" s="23"/>
      <c r="Q397" s="23"/>
      <c r="R397" s="23"/>
      <c r="S397" s="23"/>
      <c r="T397" s="23"/>
      <c r="U397" s="23"/>
      <c r="V397" s="23"/>
      <c r="W397" s="23"/>
      <c r="X397" s="23"/>
      <c r="Y397" s="23"/>
    </row>
    <row r="398" spans="1:25" s="24" customFormat="1" ht="5.0999999999999996" customHeight="1" x14ac:dyDescent="0.2">
      <c r="A398" s="23"/>
      <c r="D398" s="13"/>
      <c r="O398" s="36"/>
      <c r="P398" s="23"/>
      <c r="Q398" s="23"/>
      <c r="R398" s="23"/>
      <c r="S398" s="23"/>
      <c r="T398" s="23"/>
      <c r="U398" s="23"/>
      <c r="V398" s="23"/>
      <c r="W398" s="23"/>
      <c r="X398" s="23"/>
      <c r="Y398" s="23"/>
    </row>
    <row r="399" spans="1:25" s="24" customFormat="1" ht="60" customHeight="1" x14ac:dyDescent="0.2">
      <c r="A399" s="23"/>
      <c r="D399" s="13"/>
      <c r="E399" s="1063" t="str">
        <f>IF(H392="","",INDEX(EUconst_CEMSTiersMsg,MATCH(Q399,EUconst_CEMSTiers,0)))</f>
        <v/>
      </c>
      <c r="F399" s="1064"/>
      <c r="G399" s="1064"/>
      <c r="H399" s="1064"/>
      <c r="I399" s="1064"/>
      <c r="J399" s="1064"/>
      <c r="K399" s="1064"/>
      <c r="L399" s="1064"/>
      <c r="M399" s="1064"/>
      <c r="N399" s="1065"/>
      <c r="O399" s="36"/>
      <c r="P399" s="6"/>
      <c r="Q399" s="207" t="str">
        <f>IF(CNTR_SmallEmitter=TRUE,EUconst_CNTR_SmallEmitter,EUconst_CNTR_NoSmallEmitter) &amp; "_" &amp; IF(M394="",1,MATCH(M394,SourceCategoryCEMS,0))</f>
        <v>NoSmallEmitter__1</v>
      </c>
      <c r="R399" s="23"/>
      <c r="S399" s="23"/>
      <c r="T399" s="23"/>
      <c r="U399" s="23"/>
      <c r="V399" s="23"/>
      <c r="W399" s="23"/>
      <c r="X399" s="23"/>
      <c r="Y399" s="23"/>
    </row>
    <row r="400" spans="1:25" s="24" customFormat="1" ht="12.75" customHeight="1" x14ac:dyDescent="0.2">
      <c r="A400" s="23"/>
      <c r="D400" s="13"/>
      <c r="O400" s="36"/>
      <c r="P400" s="23"/>
      <c r="Q400" s="23"/>
      <c r="R400" s="23"/>
      <c r="S400" s="23"/>
      <c r="T400" s="23"/>
      <c r="U400" s="23"/>
      <c r="V400" s="23"/>
      <c r="W400" s="23"/>
      <c r="X400" s="23"/>
      <c r="Y400" s="23"/>
    </row>
    <row r="401" spans="1:25" s="24" customFormat="1" ht="15" customHeight="1" x14ac:dyDescent="0.2">
      <c r="A401" s="23"/>
      <c r="D401" s="1040" t="str">
        <f>Translations!$B$590</f>
        <v>Instruments and tier levels:</v>
      </c>
      <c r="E401" s="1040"/>
      <c r="F401" s="1040"/>
      <c r="G401" s="1040"/>
      <c r="H401" s="1040"/>
      <c r="I401" s="1040"/>
      <c r="J401" s="1040"/>
      <c r="K401" s="1040"/>
      <c r="L401" s="1040"/>
      <c r="M401" s="1040"/>
      <c r="N401" s="1040"/>
      <c r="O401" s="36"/>
      <c r="P401" s="23"/>
      <c r="Q401" s="23"/>
      <c r="R401" s="23"/>
      <c r="S401" s="23"/>
      <c r="T401" s="23"/>
      <c r="U401" s="23"/>
      <c r="V401" s="23"/>
      <c r="W401" s="23"/>
      <c r="X401" s="23"/>
      <c r="Y401" s="23"/>
    </row>
    <row r="402" spans="1:25" s="24" customFormat="1" ht="5.0999999999999996" customHeight="1" x14ac:dyDescent="0.2">
      <c r="A402" s="23"/>
      <c r="D402" s="13"/>
      <c r="O402" s="36"/>
      <c r="P402" s="23"/>
      <c r="Q402" s="23"/>
      <c r="R402" s="23"/>
      <c r="S402" s="23"/>
      <c r="T402" s="23"/>
      <c r="U402" s="23"/>
      <c r="V402" s="23"/>
      <c r="W402" s="23"/>
      <c r="X402" s="23"/>
      <c r="Y402" s="23"/>
    </row>
    <row r="403" spans="1:25" s="24" customFormat="1" ht="12.75" customHeight="1" x14ac:dyDescent="0.2">
      <c r="A403" s="23"/>
      <c r="D403" s="13" t="s">
        <v>1020</v>
      </c>
      <c r="E403" s="14" t="str">
        <f>Translations!$B$472</f>
        <v>Measurement instruments used:</v>
      </c>
      <c r="H403" s="215"/>
      <c r="I403" s="215"/>
      <c r="J403" s="215"/>
      <c r="K403" s="215"/>
      <c r="L403" s="215"/>
      <c r="O403" s="36"/>
      <c r="P403" s="23"/>
      <c r="Q403" s="23"/>
      <c r="R403" s="23"/>
      <c r="S403" s="23"/>
      <c r="T403" s="23"/>
      <c r="U403" s="23"/>
      <c r="V403" s="23"/>
      <c r="W403" s="23"/>
      <c r="X403" s="23"/>
      <c r="Y403" s="23"/>
    </row>
    <row r="404" spans="1:25" s="24" customFormat="1" ht="5.0999999999999996" customHeight="1" x14ac:dyDescent="0.2">
      <c r="A404" s="23"/>
      <c r="D404" s="13"/>
      <c r="E404" s="14"/>
      <c r="O404" s="36"/>
      <c r="P404" s="6"/>
      <c r="Q404" s="23"/>
      <c r="R404" s="23"/>
      <c r="S404" s="23"/>
      <c r="T404" s="23"/>
      <c r="U404" s="23"/>
      <c r="V404" s="23"/>
      <c r="W404" s="23"/>
      <c r="X404" s="23"/>
      <c r="Y404" s="23"/>
    </row>
    <row r="405" spans="1:25" s="24" customFormat="1" x14ac:dyDescent="0.2">
      <c r="A405" s="23"/>
      <c r="D405" s="13"/>
      <c r="E405" s="24" t="str">
        <f>Translations!$B$475</f>
        <v>Comment / Description of approach, if several instruments used:</v>
      </c>
      <c r="I405" s="11"/>
      <c r="O405" s="36"/>
      <c r="P405" s="23"/>
      <c r="Q405" s="23"/>
      <c r="R405" s="23"/>
      <c r="S405" s="23"/>
      <c r="T405" s="23"/>
      <c r="U405" s="23"/>
      <c r="V405" s="23"/>
      <c r="W405" s="23"/>
      <c r="X405" s="23"/>
      <c r="Y405" s="23"/>
    </row>
    <row r="406" spans="1:25" s="24" customFormat="1" ht="5.0999999999999996" customHeight="1" x14ac:dyDescent="0.2">
      <c r="A406" s="23"/>
      <c r="D406" s="13"/>
      <c r="E406" s="67"/>
      <c r="F406" s="67"/>
      <c r="G406" s="67"/>
      <c r="H406" s="67"/>
      <c r="I406" s="67"/>
      <c r="J406" s="67"/>
      <c r="K406" s="67"/>
      <c r="L406" s="67"/>
      <c r="M406" s="67"/>
      <c r="N406" s="67"/>
      <c r="O406" s="36"/>
      <c r="P406" s="6"/>
      <c r="Q406" s="23"/>
      <c r="R406" s="23"/>
      <c r="S406" s="23"/>
      <c r="T406" s="23"/>
      <c r="U406" s="23"/>
      <c r="V406" s="23"/>
      <c r="W406" s="23"/>
      <c r="X406" s="23"/>
      <c r="Y406" s="23"/>
    </row>
    <row r="407" spans="1:25" s="24" customFormat="1" ht="12.75" customHeight="1" x14ac:dyDescent="0.2">
      <c r="A407" s="23"/>
      <c r="D407" s="13"/>
      <c r="E407" s="1099"/>
      <c r="F407" s="1052"/>
      <c r="G407" s="1052"/>
      <c r="H407" s="1052"/>
      <c r="I407" s="1052"/>
      <c r="J407" s="1052"/>
      <c r="K407" s="1052"/>
      <c r="L407" s="1052"/>
      <c r="M407" s="1052"/>
      <c r="N407" s="1053"/>
      <c r="O407" s="36"/>
      <c r="P407" s="23"/>
      <c r="Q407" s="23"/>
      <c r="R407" s="23"/>
      <c r="S407" s="23"/>
      <c r="T407" s="23"/>
      <c r="U407" s="23"/>
      <c r="V407" s="23"/>
      <c r="W407" s="23"/>
      <c r="X407" s="23"/>
      <c r="Y407" s="23"/>
    </row>
    <row r="408" spans="1:25" s="24" customFormat="1" x14ac:dyDescent="0.2">
      <c r="A408" s="23"/>
      <c r="D408" s="13"/>
      <c r="E408" s="1054"/>
      <c r="F408" s="1055"/>
      <c r="G408" s="1055"/>
      <c r="H408" s="1055"/>
      <c r="I408" s="1055"/>
      <c r="J408" s="1055"/>
      <c r="K408" s="1055"/>
      <c r="L408" s="1055"/>
      <c r="M408" s="1055"/>
      <c r="N408" s="1056"/>
      <c r="O408" s="36"/>
      <c r="P408" s="23"/>
      <c r="Q408" s="23"/>
      <c r="R408" s="23"/>
      <c r="S408" s="23"/>
      <c r="T408" s="23"/>
      <c r="U408" s="23"/>
      <c r="V408" s="23"/>
      <c r="W408" s="23"/>
      <c r="X408" s="23"/>
      <c r="Y408" s="23"/>
    </row>
    <row r="409" spans="1:25" s="24" customFormat="1" x14ac:dyDescent="0.2">
      <c r="A409" s="23"/>
      <c r="D409" s="13"/>
      <c r="E409" s="1057"/>
      <c r="F409" s="1058"/>
      <c r="G409" s="1058"/>
      <c r="H409" s="1058"/>
      <c r="I409" s="1058"/>
      <c r="J409" s="1058"/>
      <c r="K409" s="1058"/>
      <c r="L409" s="1058"/>
      <c r="M409" s="1058"/>
      <c r="N409" s="1059"/>
      <c r="O409" s="36"/>
      <c r="P409" s="23"/>
      <c r="Q409" s="23"/>
      <c r="R409" s="23"/>
      <c r="S409" s="23"/>
      <c r="T409" s="23"/>
      <c r="U409" s="23"/>
      <c r="V409" s="23"/>
      <c r="W409" s="23"/>
      <c r="X409" s="23"/>
      <c r="Y409" s="23"/>
    </row>
    <row r="410" spans="1:25" s="24" customFormat="1" x14ac:dyDescent="0.2">
      <c r="A410" s="23"/>
      <c r="D410" s="13"/>
      <c r="O410" s="36"/>
      <c r="P410" s="23"/>
      <c r="Q410" s="23"/>
      <c r="R410" s="23"/>
      <c r="S410" s="23" t="s">
        <v>419</v>
      </c>
      <c r="T410" s="23"/>
      <c r="U410" s="23"/>
      <c r="V410" s="23"/>
      <c r="W410" s="23"/>
      <c r="X410" s="23"/>
      <c r="Y410" s="23"/>
    </row>
    <row r="411" spans="1:25" s="24" customFormat="1" x14ac:dyDescent="0.2">
      <c r="A411" s="23"/>
      <c r="D411" s="13" t="s">
        <v>554</v>
      </c>
      <c r="E411" s="14" t="str">
        <f>Translations!$B$595</f>
        <v>Tier level required:</v>
      </c>
      <c r="H411" s="30" t="str">
        <f>IF(H392="","",IF(CNTR_Category="A",INDEX(EUconst_CEMSMinimumTiers,MATCH(M392,EUconst_CEMSTypes,0)),INDEX(EUconst_CEMSHighestTiers,MATCH(M392,EUconst_CEMSTypes,0))))</f>
        <v/>
      </c>
      <c r="I411" s="26" t="str">
        <f>IF(H411="","",IF(S411=0,EUconst_NA,IF(ISERROR(S411),"",EUconst_MsgTierActivityLevel &amp; " " &amp;S411)))</f>
        <v/>
      </c>
      <c r="J411" s="27"/>
      <c r="K411" s="27"/>
      <c r="L411" s="27"/>
      <c r="M411" s="27"/>
      <c r="N411" s="28"/>
      <c r="O411" s="36"/>
      <c r="P411" s="23"/>
      <c r="Q411" s="65"/>
      <c r="R411" s="23"/>
      <c r="S411" s="32" t="str">
        <f>IF(H411="","",IF(H411=EUconst_NA,"",INDEX(EUwideConstants!$H$778:$O$781,MATCH(M392,EUconst_CEMSTypes,0),MATCH(H411,CNTR_TierList,0))))</f>
        <v/>
      </c>
      <c r="T411" s="23"/>
      <c r="U411" s="23"/>
      <c r="V411" s="23"/>
      <c r="W411" s="23"/>
      <c r="X411" s="23"/>
      <c r="Y411" s="23"/>
    </row>
    <row r="412" spans="1:25" s="24" customFormat="1" x14ac:dyDescent="0.2">
      <c r="A412" s="23"/>
      <c r="D412" s="13" t="s">
        <v>1022</v>
      </c>
      <c r="E412" s="14" t="str">
        <f>Translations!$B$596</f>
        <v>Tier used:</v>
      </c>
      <c r="H412" s="192"/>
      <c r="I412" s="26" t="str">
        <f>IF(OR(ISBLANK(H412),H412=EUconst_NoTier),"",IF(S412=EUconst_NA,EUconst_NA,IF(ISERROR(S412),"",EUconst_MsgTierActivityLevel &amp; " " &amp;S412)))</f>
        <v/>
      </c>
      <c r="J412" s="27"/>
      <c r="K412" s="27"/>
      <c r="L412" s="27"/>
      <c r="M412" s="27"/>
      <c r="N412" s="28"/>
      <c r="O412" s="36"/>
      <c r="P412" s="23"/>
      <c r="Q412" s="65"/>
      <c r="R412" s="23"/>
      <c r="S412" s="32" t="str">
        <f>IF(H412="","",IF(H412=EUconst_NA,"",INDEX(EUwideConstants!$H$778:$O$781,MATCH(M392,EUconst_CEMSTypes,0),MATCH(H412,CNTR_TierList,0))))</f>
        <v/>
      </c>
      <c r="T412" s="23"/>
      <c r="U412" s="23"/>
      <c r="V412" s="23"/>
      <c r="W412" s="23"/>
      <c r="X412" s="23"/>
      <c r="Y412" s="23"/>
    </row>
    <row r="413" spans="1:25" s="24" customFormat="1" x14ac:dyDescent="0.2">
      <c r="A413" s="23"/>
      <c r="D413" s="13" t="s">
        <v>1023</v>
      </c>
      <c r="E413" s="14" t="str">
        <f>Translations!$B$479</f>
        <v>Uncertainty achieved:</v>
      </c>
      <c r="H413" s="400"/>
      <c r="I413" s="14" t="str">
        <f>Translations!$B$480</f>
        <v>Comment:</v>
      </c>
      <c r="J413" s="578"/>
      <c r="K413" s="194"/>
      <c r="L413" s="194"/>
      <c r="M413" s="194"/>
      <c r="N413" s="195"/>
      <c r="O413" s="36"/>
      <c r="P413" s="23"/>
      <c r="Q413" s="23"/>
      <c r="R413" s="23"/>
      <c r="S413" s="23"/>
      <c r="T413" s="23"/>
      <c r="U413" s="23"/>
      <c r="V413" s="23"/>
      <c r="W413" s="23"/>
      <c r="X413" s="23"/>
      <c r="Y413" s="23"/>
    </row>
    <row r="414" spans="1:25" s="24" customFormat="1" x14ac:dyDescent="0.2">
      <c r="A414" s="23"/>
      <c r="D414" s="13"/>
      <c r="E414" s="67"/>
      <c r="F414" s="67"/>
      <c r="G414" s="67"/>
      <c r="H414" s="67"/>
      <c r="I414" s="67"/>
      <c r="J414" s="67"/>
      <c r="K414" s="67"/>
      <c r="L414" s="67"/>
      <c r="M414" s="67"/>
      <c r="N414" s="67"/>
      <c r="O414" s="36"/>
      <c r="P414" s="23"/>
      <c r="Q414" s="23"/>
      <c r="R414" s="23"/>
      <c r="S414" s="23"/>
      <c r="T414" s="23"/>
      <c r="U414" s="23"/>
      <c r="V414" s="23"/>
      <c r="W414" s="23"/>
      <c r="X414" s="23"/>
      <c r="Y414" s="23"/>
    </row>
    <row r="415" spans="1:25" s="24" customFormat="1" ht="15" x14ac:dyDescent="0.2">
      <c r="A415" s="23"/>
      <c r="D415" s="1040" t="str">
        <f>Translations!$B$599</f>
        <v>Standards and procedures:</v>
      </c>
      <c r="E415" s="1040"/>
      <c r="F415" s="1040"/>
      <c r="G415" s="1040"/>
      <c r="H415" s="1040"/>
      <c r="I415" s="1040"/>
      <c r="J415" s="1040"/>
      <c r="K415" s="1040"/>
      <c r="L415" s="1040"/>
      <c r="M415" s="1040"/>
      <c r="N415" s="1040"/>
      <c r="O415" s="36"/>
      <c r="P415" s="23"/>
      <c r="Q415" s="23"/>
      <c r="R415" s="23"/>
      <c r="S415" s="23"/>
      <c r="T415" s="23"/>
      <c r="U415" s="23"/>
      <c r="V415" s="23"/>
      <c r="W415" s="23"/>
      <c r="X415" s="23"/>
      <c r="Y415" s="23"/>
    </row>
    <row r="416" spans="1:25" s="24" customFormat="1" ht="5.0999999999999996" customHeight="1" x14ac:dyDescent="0.2">
      <c r="A416" s="23"/>
      <c r="D416" s="13"/>
      <c r="E416" s="67"/>
      <c r="F416" s="67"/>
      <c r="G416" s="67"/>
      <c r="H416" s="67"/>
      <c r="I416" s="67"/>
      <c r="J416" s="67"/>
      <c r="K416" s="67"/>
      <c r="L416" s="67"/>
      <c r="M416" s="67"/>
      <c r="N416" s="67"/>
      <c r="O416" s="36"/>
      <c r="P416" s="23"/>
      <c r="Q416" s="23"/>
      <c r="R416" s="23"/>
      <c r="S416" s="23"/>
      <c r="T416" s="23"/>
      <c r="U416" s="23"/>
      <c r="V416" s="23"/>
      <c r="W416" s="23"/>
      <c r="X416" s="23"/>
      <c r="Y416" s="23"/>
    </row>
    <row r="417" spans="1:25" s="24" customFormat="1" x14ac:dyDescent="0.2">
      <c r="A417" s="23"/>
      <c r="D417" s="13" t="s">
        <v>1019</v>
      </c>
      <c r="E417" s="949" t="str">
        <f>Translations!$B$600</f>
        <v>Applied standards and of any deviations from those standards</v>
      </c>
      <c r="F417" s="949"/>
      <c r="G417" s="949"/>
      <c r="H417" s="949"/>
      <c r="I417" s="949"/>
      <c r="J417" s="949"/>
      <c r="K417" s="949"/>
      <c r="L417" s="949"/>
      <c r="M417" s="949"/>
      <c r="N417" s="949"/>
      <c r="O417" s="36"/>
      <c r="P417" s="23"/>
      <c r="Q417" s="23"/>
      <c r="R417" s="23"/>
      <c r="S417" s="23"/>
      <c r="T417" s="23"/>
      <c r="U417" s="23"/>
      <c r="V417" s="23"/>
      <c r="W417" s="23"/>
      <c r="X417" s="23"/>
      <c r="Y417" s="23"/>
    </row>
    <row r="418" spans="1:25" s="24" customFormat="1" x14ac:dyDescent="0.2">
      <c r="A418" s="23"/>
      <c r="D418" s="13"/>
      <c r="E418" s="869" t="str">
        <f>Translations!$B$601</f>
        <v>Please use references to table 9(e) above as appropriate.</v>
      </c>
      <c r="F418" s="869"/>
      <c r="G418" s="869"/>
      <c r="H418" s="869"/>
      <c r="I418" s="869"/>
      <c r="J418" s="869"/>
      <c r="K418" s="869"/>
      <c r="L418" s="869"/>
      <c r="M418" s="869"/>
      <c r="N418" s="869"/>
      <c r="O418" s="36"/>
      <c r="P418" s="23"/>
      <c r="Q418" s="23"/>
      <c r="R418" s="23"/>
      <c r="S418" s="23"/>
      <c r="T418" s="23"/>
      <c r="U418" s="23"/>
      <c r="V418" s="23"/>
      <c r="W418" s="23"/>
      <c r="X418" s="23"/>
      <c r="Y418" s="23"/>
    </row>
    <row r="419" spans="1:25" s="24" customFormat="1" ht="5.0999999999999996" customHeight="1" x14ac:dyDescent="0.2">
      <c r="A419" s="23"/>
      <c r="D419" s="13"/>
      <c r="O419" s="36"/>
      <c r="P419" s="23"/>
      <c r="Q419" s="23"/>
      <c r="R419" s="23"/>
      <c r="S419" s="23"/>
      <c r="T419" s="23"/>
      <c r="U419" s="23"/>
      <c r="V419" s="23"/>
      <c r="W419" s="23"/>
      <c r="X419" s="23"/>
      <c r="Y419" s="23"/>
    </row>
    <row r="420" spans="1:25" s="24" customFormat="1" ht="12.75" customHeight="1" x14ac:dyDescent="0.2">
      <c r="A420" s="23"/>
      <c r="D420" s="13"/>
      <c r="E420" s="1099"/>
      <c r="F420" s="1052"/>
      <c r="G420" s="1052"/>
      <c r="H420" s="1052"/>
      <c r="I420" s="1052"/>
      <c r="J420" s="1052"/>
      <c r="K420" s="1052"/>
      <c r="L420" s="1052"/>
      <c r="M420" s="1052"/>
      <c r="N420" s="1053"/>
      <c r="O420" s="36"/>
      <c r="P420" s="23"/>
      <c r="Q420" s="23"/>
      <c r="R420" s="23"/>
      <c r="S420" s="23"/>
      <c r="T420" s="23"/>
      <c r="U420" s="23"/>
      <c r="V420" s="23"/>
      <c r="W420" s="23"/>
      <c r="X420" s="23"/>
      <c r="Y420" s="23"/>
    </row>
    <row r="421" spans="1:25" s="24" customFormat="1" x14ac:dyDescent="0.2">
      <c r="A421" s="23"/>
      <c r="D421" s="13"/>
      <c r="E421" s="1054"/>
      <c r="F421" s="1055"/>
      <c r="G421" s="1055"/>
      <c r="H421" s="1055"/>
      <c r="I421" s="1055"/>
      <c r="J421" s="1055"/>
      <c r="K421" s="1055"/>
      <c r="L421" s="1055"/>
      <c r="M421" s="1055"/>
      <c r="N421" s="1056"/>
      <c r="O421" s="36"/>
      <c r="P421" s="23"/>
      <c r="Q421" s="23"/>
      <c r="R421" s="23"/>
      <c r="S421" s="23"/>
      <c r="T421" s="23"/>
      <c r="U421" s="23"/>
      <c r="V421" s="23"/>
      <c r="W421" s="23"/>
      <c r="X421" s="23"/>
      <c r="Y421" s="23"/>
    </row>
    <row r="422" spans="1:25" s="24" customFormat="1" x14ac:dyDescent="0.2">
      <c r="A422" s="23"/>
      <c r="D422" s="13"/>
      <c r="E422" s="1057"/>
      <c r="F422" s="1058"/>
      <c r="G422" s="1058"/>
      <c r="H422" s="1058"/>
      <c r="I422" s="1058"/>
      <c r="J422" s="1058"/>
      <c r="K422" s="1058"/>
      <c r="L422" s="1058"/>
      <c r="M422" s="1058"/>
      <c r="N422" s="1059"/>
      <c r="O422" s="36"/>
      <c r="P422" s="23"/>
      <c r="Q422" s="23"/>
      <c r="R422" s="23"/>
      <c r="S422" s="23"/>
      <c r="T422" s="23"/>
      <c r="U422" s="23"/>
      <c r="V422" s="23"/>
      <c r="W422" s="23"/>
      <c r="X422" s="23"/>
      <c r="Y422" s="23"/>
    </row>
    <row r="423" spans="1:25" s="24" customFormat="1" x14ac:dyDescent="0.2">
      <c r="A423" s="23"/>
      <c r="D423" s="13"/>
      <c r="O423" s="36"/>
      <c r="P423" s="23"/>
      <c r="Q423" s="23"/>
      <c r="R423" s="23"/>
      <c r="S423" s="23"/>
      <c r="T423" s="23"/>
      <c r="U423" s="23"/>
      <c r="V423" s="23"/>
      <c r="W423" s="23"/>
      <c r="X423" s="23"/>
      <c r="Y423" s="23"/>
    </row>
    <row r="424" spans="1:25" s="24" customFormat="1" x14ac:dyDescent="0.2">
      <c r="A424" s="23"/>
      <c r="D424" s="13" t="s">
        <v>1349</v>
      </c>
      <c r="E424" s="949" t="str">
        <f>Translations!$B$602</f>
        <v>References to procedures</v>
      </c>
      <c r="F424" s="949"/>
      <c r="G424" s="949"/>
      <c r="H424" s="949"/>
      <c r="I424" s="949"/>
      <c r="J424" s="949"/>
      <c r="K424" s="949"/>
      <c r="L424" s="949"/>
      <c r="M424" s="949"/>
      <c r="N424" s="949"/>
      <c r="O424" s="36"/>
      <c r="P424" s="23"/>
      <c r="Q424" s="23"/>
      <c r="R424" s="23"/>
      <c r="S424" s="23"/>
      <c r="T424" s="23"/>
      <c r="U424" s="23"/>
      <c r="V424" s="23"/>
      <c r="W424" s="23"/>
      <c r="X424" s="23"/>
      <c r="Y424" s="23"/>
    </row>
    <row r="425" spans="1:25" s="24" customFormat="1" ht="5.0999999999999996" customHeight="1" x14ac:dyDescent="0.2">
      <c r="A425" s="23"/>
      <c r="D425" s="13"/>
      <c r="O425" s="36"/>
      <c r="P425" s="23"/>
      <c r="Q425" s="23"/>
      <c r="R425" s="23"/>
      <c r="S425" s="23"/>
      <c r="T425" s="23"/>
      <c r="U425" s="23"/>
      <c r="V425" s="23"/>
      <c r="W425" s="23"/>
      <c r="X425" s="23"/>
      <c r="Y425" s="23"/>
    </row>
    <row r="426" spans="1:25" s="24" customFormat="1" x14ac:dyDescent="0.2">
      <c r="A426" s="23"/>
      <c r="D426" s="13"/>
      <c r="E426" s="46" t="s">
        <v>1030</v>
      </c>
      <c r="F426" s="1049" t="str">
        <f>Translations!$B$604</f>
        <v>Any calculation formulae used for data aggregation and used to determine the annual emissions</v>
      </c>
      <c r="G426" s="1049"/>
      <c r="H426" s="1049"/>
      <c r="I426" s="1049"/>
      <c r="J426" s="1049"/>
      <c r="K426" s="1049"/>
      <c r="L426" s="1049"/>
      <c r="M426" s="1049"/>
      <c r="N426" s="1049"/>
      <c r="O426" s="36"/>
      <c r="P426" s="23"/>
      <c r="Q426" s="23"/>
      <c r="R426" s="23"/>
      <c r="S426" s="23"/>
      <c r="T426" s="23"/>
      <c r="U426" s="23"/>
      <c r="V426" s="23"/>
      <c r="W426" s="23"/>
      <c r="X426" s="23"/>
      <c r="Y426" s="23"/>
    </row>
    <row r="427" spans="1:25" s="24" customFormat="1" x14ac:dyDescent="0.2">
      <c r="A427" s="23"/>
      <c r="D427" s="13"/>
      <c r="E427" s="14"/>
      <c r="F427" s="870"/>
      <c r="G427" s="1036"/>
      <c r="H427" s="1036"/>
      <c r="I427" s="1036"/>
      <c r="J427" s="1036"/>
      <c r="K427" s="1036"/>
      <c r="L427" s="1036"/>
      <c r="M427" s="1036"/>
      <c r="N427" s="972"/>
      <c r="O427" s="36"/>
      <c r="P427" s="23"/>
      <c r="Q427" s="23"/>
      <c r="R427" s="23"/>
      <c r="S427" s="23"/>
      <c r="T427" s="23"/>
      <c r="U427" s="23"/>
      <c r="V427" s="23"/>
      <c r="W427" s="23"/>
      <c r="X427" s="23"/>
      <c r="Y427" s="23"/>
    </row>
    <row r="428" spans="1:25" s="24" customFormat="1" ht="5.0999999999999996" customHeight="1" x14ac:dyDescent="0.2">
      <c r="A428" s="23"/>
      <c r="D428" s="13"/>
      <c r="E428" s="14"/>
      <c r="F428" s="14"/>
      <c r="G428" s="14"/>
      <c r="H428" s="14"/>
      <c r="I428" s="14"/>
      <c r="L428" s="22"/>
      <c r="O428" s="36"/>
      <c r="P428" s="23"/>
      <c r="Q428" s="23"/>
      <c r="R428" s="23"/>
      <c r="S428" s="23"/>
      <c r="T428" s="23"/>
      <c r="U428" s="23"/>
      <c r="V428" s="23"/>
      <c r="W428" s="23"/>
      <c r="X428" s="23"/>
      <c r="Y428" s="23"/>
    </row>
    <row r="429" spans="1:25" s="24" customFormat="1" ht="25.5" customHeight="1" x14ac:dyDescent="0.2">
      <c r="A429" s="23"/>
      <c r="D429" s="13"/>
      <c r="E429" s="46" t="s">
        <v>1031</v>
      </c>
      <c r="F429" s="752" t="str">
        <f>Translations!$B$605</f>
        <v>Method for determining whether valid hours or shorter reference periods for each parameter can be calculated (using the threshold given in Article 44(2)), and for substitution of missing data in accordance with Article 45</v>
      </c>
      <c r="G429" s="752"/>
      <c r="H429" s="752"/>
      <c r="I429" s="752"/>
      <c r="J429" s="752"/>
      <c r="K429" s="752"/>
      <c r="L429" s="752"/>
      <c r="M429" s="752"/>
      <c r="N429" s="752"/>
      <c r="O429" s="36"/>
      <c r="P429" s="23"/>
      <c r="Q429" s="23"/>
      <c r="R429" s="23"/>
      <c r="S429" s="23"/>
      <c r="T429" s="23"/>
      <c r="U429" s="23"/>
      <c r="V429" s="23"/>
      <c r="W429" s="23"/>
      <c r="X429" s="23"/>
      <c r="Y429" s="23"/>
    </row>
    <row r="430" spans="1:25" s="24" customFormat="1" x14ac:dyDescent="0.2">
      <c r="A430" s="23"/>
      <c r="D430" s="13"/>
      <c r="E430" s="14"/>
      <c r="F430" s="870"/>
      <c r="G430" s="1036"/>
      <c r="H430" s="1036"/>
      <c r="I430" s="1036"/>
      <c r="J430" s="1036"/>
      <c r="K430" s="1036"/>
      <c r="L430" s="1036"/>
      <c r="M430" s="1036"/>
      <c r="N430" s="972"/>
      <c r="O430" s="36"/>
      <c r="P430" s="23"/>
      <c r="Q430" s="23"/>
      <c r="R430" s="23"/>
      <c r="S430" s="23"/>
      <c r="T430" s="23"/>
      <c r="U430" s="23"/>
      <c r="V430" s="23"/>
      <c r="W430" s="23"/>
      <c r="X430" s="23"/>
      <c r="Y430" s="23"/>
    </row>
    <row r="431" spans="1:25" s="24" customFormat="1" ht="5.0999999999999996" customHeight="1" x14ac:dyDescent="0.2">
      <c r="A431" s="23"/>
      <c r="D431" s="13"/>
      <c r="E431" s="14"/>
      <c r="F431" s="14"/>
      <c r="G431" s="14"/>
      <c r="H431" s="14"/>
      <c r="I431" s="14"/>
      <c r="L431" s="22"/>
      <c r="O431" s="36"/>
      <c r="P431" s="23"/>
      <c r="Q431" s="23"/>
      <c r="R431" s="23"/>
      <c r="S431" s="23"/>
      <c r="T431" s="23"/>
      <c r="U431" s="23"/>
      <c r="V431" s="23"/>
      <c r="W431" s="23"/>
      <c r="X431" s="23"/>
      <c r="Y431" s="23"/>
    </row>
    <row r="432" spans="1:25" s="24" customFormat="1" x14ac:dyDescent="0.2">
      <c r="A432" s="23"/>
      <c r="D432" s="13"/>
      <c r="E432" s="46" t="s">
        <v>1468</v>
      </c>
      <c r="F432" s="1049" t="str">
        <f>Translations!$B$606</f>
        <v>Calculation of the flue gas flow, if applicable</v>
      </c>
      <c r="G432" s="1049"/>
      <c r="H432" s="1049"/>
      <c r="I432" s="1049"/>
      <c r="J432" s="1049"/>
      <c r="K432" s="1049"/>
      <c r="L432" s="1049"/>
      <c r="M432" s="1049"/>
      <c r="N432" s="1049"/>
      <c r="O432" s="36"/>
      <c r="P432" s="23"/>
      <c r="Q432" s="23"/>
      <c r="R432" s="23"/>
      <c r="S432" s="23"/>
      <c r="T432" s="23"/>
      <c r="U432" s="23"/>
      <c r="V432" s="23"/>
      <c r="W432" s="23"/>
      <c r="X432" s="23"/>
      <c r="Y432" s="23"/>
    </row>
    <row r="433" spans="1:25" s="24" customFormat="1" x14ac:dyDescent="0.2">
      <c r="A433" s="23"/>
      <c r="D433" s="13"/>
      <c r="E433" s="14"/>
      <c r="F433" s="870"/>
      <c r="G433" s="1036"/>
      <c r="H433" s="1036"/>
      <c r="I433" s="1036"/>
      <c r="J433" s="1036"/>
      <c r="K433" s="1036"/>
      <c r="L433" s="1036"/>
      <c r="M433" s="1036"/>
      <c r="N433" s="972"/>
      <c r="O433" s="36"/>
      <c r="P433" s="23"/>
      <c r="Q433" s="23"/>
      <c r="R433" s="23"/>
      <c r="S433" s="23"/>
      <c r="T433" s="23"/>
      <c r="U433" s="23"/>
      <c r="V433" s="23"/>
      <c r="W433" s="23"/>
      <c r="X433" s="23"/>
      <c r="Y433" s="23"/>
    </row>
    <row r="434" spans="1:25" s="24" customFormat="1" ht="5.0999999999999996" customHeight="1" x14ac:dyDescent="0.2">
      <c r="A434" s="23"/>
      <c r="D434" s="13"/>
      <c r="E434" s="14"/>
      <c r="F434" s="11"/>
      <c r="G434" s="14"/>
      <c r="H434" s="14"/>
      <c r="I434" s="14"/>
      <c r="L434" s="22"/>
      <c r="O434" s="36"/>
      <c r="P434" s="23"/>
      <c r="Q434" s="23"/>
      <c r="R434" s="23"/>
      <c r="S434" s="23"/>
      <c r="T434" s="23"/>
      <c r="U434" s="23"/>
      <c r="V434" s="23"/>
      <c r="W434" s="23"/>
      <c r="X434" s="23"/>
      <c r="Y434" s="23"/>
    </row>
    <row r="435" spans="1:25" s="24" customFormat="1" x14ac:dyDescent="0.2">
      <c r="A435" s="23"/>
      <c r="D435" s="13"/>
      <c r="E435" s="46" t="s">
        <v>1469</v>
      </c>
      <c r="F435" s="1049" t="str">
        <f>Translations!$B$1356</f>
        <v>Determination of CO2 stemming from biomass or from any other zero-rated fraction, if applicable</v>
      </c>
      <c r="G435" s="1049"/>
      <c r="H435" s="1049"/>
      <c r="I435" s="1049"/>
      <c r="J435" s="1049"/>
      <c r="K435" s="1049"/>
      <c r="L435" s="1049"/>
      <c r="M435" s="1049"/>
      <c r="N435" s="1049"/>
      <c r="O435" s="36"/>
      <c r="P435" s="23"/>
      <c r="Q435" s="23"/>
      <c r="R435" s="23"/>
      <c r="S435" s="23"/>
      <c r="T435" s="23"/>
      <c r="U435" s="23"/>
      <c r="V435" s="23"/>
      <c r="W435" s="23"/>
      <c r="X435" s="23"/>
      <c r="Y435" s="23"/>
    </row>
    <row r="436" spans="1:25" s="24" customFormat="1" x14ac:dyDescent="0.2">
      <c r="A436" s="23"/>
      <c r="D436" s="13"/>
      <c r="E436" s="14"/>
      <c r="F436" s="870"/>
      <c r="G436" s="1036"/>
      <c r="H436" s="1036"/>
      <c r="I436" s="1036"/>
      <c r="J436" s="1036"/>
      <c r="K436" s="1036"/>
      <c r="L436" s="1036"/>
      <c r="M436" s="1036"/>
      <c r="N436" s="972"/>
      <c r="O436" s="36"/>
      <c r="P436" s="23"/>
      <c r="Q436" s="23"/>
      <c r="R436" s="23"/>
      <c r="S436" s="23"/>
      <c r="T436" s="23"/>
      <c r="U436" s="23"/>
      <c r="V436" s="23"/>
      <c r="W436" s="23"/>
      <c r="X436" s="23"/>
      <c r="Y436" s="23"/>
    </row>
    <row r="437" spans="1:25" s="24" customFormat="1" ht="5.0999999999999996" customHeight="1" x14ac:dyDescent="0.2">
      <c r="A437" s="23"/>
      <c r="D437" s="13"/>
      <c r="E437" s="14"/>
      <c r="F437" s="14"/>
      <c r="G437" s="14"/>
      <c r="H437" s="14"/>
      <c r="I437" s="14"/>
      <c r="J437" s="234"/>
      <c r="K437" s="234"/>
      <c r="L437" s="234"/>
      <c r="M437" s="234"/>
      <c r="N437" s="234"/>
      <c r="O437" s="36"/>
      <c r="P437" s="23"/>
      <c r="Q437" s="23"/>
      <c r="R437" s="23"/>
      <c r="S437" s="23"/>
      <c r="T437" s="23"/>
      <c r="U437" s="23"/>
      <c r="V437" s="23"/>
      <c r="W437" s="23"/>
      <c r="X437" s="23"/>
      <c r="Y437" s="23"/>
    </row>
    <row r="438" spans="1:25" s="24" customFormat="1" x14ac:dyDescent="0.2">
      <c r="A438" s="23"/>
      <c r="D438" s="13"/>
      <c r="E438" s="46" t="s">
        <v>1470</v>
      </c>
      <c r="F438" s="1049" t="str">
        <f>Translations!$B$608</f>
        <v>Corroborating calculations in accordance with Article 46 that are carried out, if applicable</v>
      </c>
      <c r="G438" s="1049"/>
      <c r="H438" s="1049"/>
      <c r="I438" s="1049"/>
      <c r="J438" s="1049"/>
      <c r="K438" s="1049"/>
      <c r="L438" s="1049"/>
      <c r="M438" s="1049"/>
      <c r="N438" s="1049"/>
      <c r="O438" s="36"/>
      <c r="P438" s="23"/>
      <c r="Q438" s="23"/>
      <c r="R438" s="23"/>
      <c r="S438" s="23"/>
      <c r="T438" s="23"/>
      <c r="U438" s="23"/>
      <c r="V438" s="23"/>
      <c r="W438" s="23"/>
      <c r="X438" s="23"/>
      <c r="Y438" s="23"/>
    </row>
    <row r="439" spans="1:25" s="24" customFormat="1" x14ac:dyDescent="0.2">
      <c r="A439" s="23"/>
      <c r="D439" s="13"/>
      <c r="E439" s="14"/>
      <c r="F439" s="870"/>
      <c r="G439" s="1036"/>
      <c r="H439" s="1036"/>
      <c r="I439" s="1036"/>
      <c r="J439" s="1036"/>
      <c r="K439" s="1036"/>
      <c r="L439" s="1036"/>
      <c r="M439" s="1036"/>
      <c r="N439" s="972"/>
      <c r="O439" s="36"/>
      <c r="P439" s="23"/>
      <c r="Q439" s="23"/>
      <c r="R439" s="23"/>
      <c r="S439" s="23"/>
      <c r="T439" s="23"/>
      <c r="U439" s="23"/>
      <c r="V439" s="23"/>
      <c r="W439" s="23"/>
      <c r="X439" s="23"/>
      <c r="Y439" s="23"/>
    </row>
    <row r="440" spans="1:25" s="24" customFormat="1" ht="5.0999999999999996" customHeight="1" x14ac:dyDescent="0.2">
      <c r="A440" s="23"/>
      <c r="D440" s="13"/>
      <c r="E440" s="14"/>
      <c r="F440" s="14"/>
      <c r="G440" s="14"/>
      <c r="H440" s="14"/>
      <c r="I440" s="14"/>
      <c r="L440" s="22"/>
      <c r="O440" s="36"/>
      <c r="P440" s="23"/>
      <c r="Q440" s="23"/>
      <c r="R440" s="23"/>
      <c r="S440" s="23"/>
      <c r="T440" s="23"/>
      <c r="U440" s="23"/>
      <c r="V440" s="23"/>
      <c r="W440" s="23"/>
      <c r="X440" s="23"/>
      <c r="Y440" s="23"/>
    </row>
    <row r="441" spans="1:25" s="24" customFormat="1" ht="15" x14ac:dyDescent="0.2">
      <c r="A441" s="23"/>
      <c r="D441" s="1040" t="str">
        <f>Translations!$B$545</f>
        <v>Comments and explanations:</v>
      </c>
      <c r="E441" s="1040"/>
      <c r="F441" s="1040"/>
      <c r="G441" s="1040"/>
      <c r="H441" s="1040"/>
      <c r="I441" s="1040"/>
      <c r="J441" s="1040"/>
      <c r="K441" s="1040"/>
      <c r="L441" s="1040"/>
      <c r="M441" s="1040"/>
      <c r="N441" s="1040"/>
      <c r="O441" s="36"/>
      <c r="P441" s="23"/>
      <c r="Q441" s="23"/>
      <c r="R441" s="23"/>
      <c r="S441" s="23"/>
      <c r="T441" s="23"/>
      <c r="U441" s="23"/>
      <c r="V441" s="23"/>
      <c r="W441" s="23"/>
      <c r="X441" s="23"/>
      <c r="Y441" s="23"/>
    </row>
    <row r="442" spans="1:25" s="24" customFormat="1" ht="5.0999999999999996" customHeight="1" x14ac:dyDescent="0.2">
      <c r="A442" s="23"/>
      <c r="D442" s="13"/>
      <c r="E442" s="67"/>
      <c r="F442" s="67"/>
      <c r="G442" s="67"/>
      <c r="H442" s="67"/>
      <c r="I442" s="67"/>
      <c r="J442" s="67"/>
      <c r="K442" s="67"/>
      <c r="L442" s="67"/>
      <c r="M442" s="67"/>
      <c r="N442" s="67"/>
      <c r="O442" s="36"/>
      <c r="P442" s="23"/>
      <c r="Q442" s="23"/>
      <c r="R442" s="23"/>
      <c r="S442" s="23"/>
      <c r="T442" s="23"/>
      <c r="U442" s="23"/>
      <c r="V442" s="23"/>
      <c r="W442" s="23"/>
      <c r="X442" s="23"/>
      <c r="Y442" s="23"/>
    </row>
    <row r="443" spans="1:25" s="24" customFormat="1" x14ac:dyDescent="0.2">
      <c r="A443" s="23"/>
      <c r="D443" s="13" t="s">
        <v>1351</v>
      </c>
      <c r="E443" s="949" t="str">
        <f>Translations!$B$1202</f>
        <v>Comments and justification if required tier is not applied:</v>
      </c>
      <c r="F443" s="949"/>
      <c r="G443" s="949"/>
      <c r="H443" s="949"/>
      <c r="I443" s="949"/>
      <c r="J443" s="949"/>
      <c r="K443" s="949"/>
      <c r="L443" s="949"/>
      <c r="M443" s="949"/>
      <c r="N443" s="949"/>
      <c r="O443" s="36"/>
      <c r="P443" s="23"/>
      <c r="Q443" s="23"/>
      <c r="R443" s="23"/>
      <c r="S443" s="23"/>
      <c r="T443" s="23"/>
      <c r="U443" s="23"/>
      <c r="V443" s="23"/>
      <c r="W443" s="23"/>
      <c r="X443" s="23"/>
      <c r="Y443" s="23"/>
    </row>
    <row r="444" spans="1:25" s="24" customFormat="1" ht="5.0999999999999996" customHeight="1" x14ac:dyDescent="0.2">
      <c r="A444" s="23"/>
      <c r="D444" s="13"/>
      <c r="E444" s="48"/>
      <c r="O444" s="36"/>
      <c r="P444" s="23"/>
      <c r="Q444" s="23"/>
      <c r="R444" s="23"/>
      <c r="S444" s="23"/>
      <c r="T444" s="23"/>
      <c r="U444" s="23"/>
      <c r="V444" s="23"/>
      <c r="W444" s="23"/>
      <c r="X444" s="23"/>
      <c r="Y444" s="23"/>
    </row>
    <row r="445" spans="1:25" s="24" customFormat="1" x14ac:dyDescent="0.2">
      <c r="A445" s="23"/>
      <c r="D445" s="13"/>
      <c r="E445" s="1045"/>
      <c r="F445" s="955"/>
      <c r="G445" s="955"/>
      <c r="H445" s="955"/>
      <c r="I445" s="955"/>
      <c r="J445" s="955"/>
      <c r="K445" s="955"/>
      <c r="L445" s="955"/>
      <c r="M445" s="955"/>
      <c r="N445" s="956"/>
      <c r="O445" s="36"/>
      <c r="P445" s="23"/>
      <c r="Q445" s="23"/>
      <c r="R445" s="23"/>
      <c r="S445" s="23"/>
      <c r="T445" s="23"/>
      <c r="U445" s="23"/>
      <c r="V445" s="23"/>
      <c r="W445" s="23"/>
      <c r="X445" s="23"/>
      <c r="Y445" s="23"/>
    </row>
    <row r="446" spans="1:25" s="24" customFormat="1" x14ac:dyDescent="0.2">
      <c r="A446" s="23"/>
      <c r="D446" s="13"/>
      <c r="E446" s="1037"/>
      <c r="F446" s="958"/>
      <c r="G446" s="958"/>
      <c r="H446" s="958"/>
      <c r="I446" s="958"/>
      <c r="J446" s="958"/>
      <c r="K446" s="958"/>
      <c r="L446" s="958"/>
      <c r="M446" s="958"/>
      <c r="N446" s="959"/>
      <c r="O446" s="36"/>
      <c r="P446" s="23"/>
      <c r="Q446" s="23"/>
      <c r="R446" s="23"/>
      <c r="S446" s="23"/>
      <c r="T446" s="23"/>
      <c r="U446" s="23"/>
      <c r="V446" s="23"/>
      <c r="W446" s="23"/>
      <c r="X446" s="23"/>
      <c r="Y446" s="23"/>
    </row>
    <row r="447" spans="1:25" s="24" customFormat="1" x14ac:dyDescent="0.2">
      <c r="A447" s="23"/>
      <c r="D447" s="13"/>
      <c r="E447" s="1038"/>
      <c r="F447" s="961"/>
      <c r="G447" s="961"/>
      <c r="H447" s="961"/>
      <c r="I447" s="961"/>
      <c r="J447" s="961"/>
      <c r="K447" s="961"/>
      <c r="L447" s="961"/>
      <c r="M447" s="961"/>
      <c r="N447" s="962"/>
      <c r="O447" s="36"/>
      <c r="P447" s="23"/>
      <c r="Q447" s="23"/>
      <c r="R447" s="23"/>
      <c r="S447" s="23"/>
      <c r="T447" s="23"/>
      <c r="U447" s="23"/>
      <c r="V447" s="23"/>
      <c r="W447" s="23"/>
      <c r="X447" s="23"/>
      <c r="Y447" s="23"/>
    </row>
    <row r="448" spans="1:25" ht="12.75" customHeight="1" thickBot="1" x14ac:dyDescent="0.25">
      <c r="B448" s="11"/>
      <c r="C448" s="54"/>
      <c r="D448" s="55"/>
      <c r="E448" s="56"/>
      <c r="F448" s="54"/>
      <c r="G448" s="57"/>
      <c r="H448" s="57"/>
      <c r="I448" s="57"/>
      <c r="J448" s="57"/>
      <c r="K448" s="57"/>
      <c r="L448" s="57"/>
      <c r="M448" s="57"/>
      <c r="N448" s="57"/>
      <c r="O448" s="36"/>
      <c r="P448" s="6"/>
    </row>
    <row r="449" spans="1:25" ht="12.75" customHeight="1" x14ac:dyDescent="0.2">
      <c r="A449" s="12" t="s">
        <v>6</v>
      </c>
      <c r="B449" s="11"/>
      <c r="C449" s="11"/>
      <c r="D449" s="13"/>
      <c r="E449" s="22"/>
      <c r="F449" s="11"/>
      <c r="G449" s="2"/>
      <c r="H449" s="2"/>
      <c r="I449" s="2"/>
      <c r="J449" s="2"/>
      <c r="K449" s="2"/>
      <c r="L449" s="2"/>
      <c r="M449" s="2"/>
      <c r="N449" s="2"/>
      <c r="O449" s="36"/>
      <c r="P449" s="15"/>
    </row>
    <row r="450" spans="1:25" ht="12.75" customHeight="1" x14ac:dyDescent="0.2">
      <c r="A450" s="72"/>
      <c r="B450" s="11"/>
      <c r="C450" s="11"/>
      <c r="D450" s="13"/>
      <c r="E450" s="22"/>
      <c r="F450" s="11"/>
      <c r="G450" s="2"/>
      <c r="H450" s="2"/>
      <c r="I450" s="2"/>
      <c r="J450" s="2"/>
      <c r="K450" s="2"/>
      <c r="L450" s="2"/>
      <c r="M450" s="2"/>
      <c r="N450" s="2"/>
      <c r="O450" s="36"/>
      <c r="P450" s="15"/>
    </row>
    <row r="451" spans="1:25" s="34" customFormat="1" ht="18.75" customHeight="1" x14ac:dyDescent="0.2">
      <c r="A451" s="65"/>
      <c r="B451" s="414"/>
      <c r="C451" s="53">
        <v>11</v>
      </c>
      <c r="D451" s="884" t="str">
        <f>Translations!$B$23</f>
        <v>Management and procedures for measurement based approaches</v>
      </c>
      <c r="E451" s="884"/>
      <c r="F451" s="884"/>
      <c r="G451" s="884"/>
      <c r="H451" s="884"/>
      <c r="I451" s="884"/>
      <c r="J451" s="884"/>
      <c r="K451" s="884"/>
      <c r="L451" s="884"/>
      <c r="M451" s="884"/>
      <c r="N451" s="884"/>
      <c r="O451" s="36"/>
      <c r="P451" s="6"/>
      <c r="Q451" s="65"/>
      <c r="R451" s="65"/>
      <c r="S451" s="65"/>
      <c r="T451" s="65"/>
      <c r="U451" s="65"/>
      <c r="V451" s="65"/>
      <c r="W451" s="65"/>
      <c r="X451" s="65"/>
      <c r="Y451" s="65"/>
    </row>
    <row r="452" spans="1:25" x14ac:dyDescent="0.2">
      <c r="B452" s="417"/>
      <c r="C452" s="417"/>
      <c r="D452" s="441"/>
      <c r="E452" s="417"/>
      <c r="F452" s="417"/>
      <c r="G452" s="417"/>
      <c r="H452" s="417"/>
      <c r="I452" s="417"/>
      <c r="J452" s="417"/>
      <c r="K452" s="417"/>
      <c r="L452" s="417"/>
      <c r="M452" s="417"/>
      <c r="N452" s="417"/>
      <c r="O452" s="36"/>
      <c r="P452" s="6"/>
    </row>
    <row r="453" spans="1:25" ht="25.5" customHeight="1" x14ac:dyDescent="0.2">
      <c r="B453" s="417"/>
      <c r="C453" s="417"/>
      <c r="D453" s="13" t="s">
        <v>1018</v>
      </c>
      <c r="E453" s="949" t="str">
        <f>Translations!$B$611</f>
        <v>Please provide details about the written procedures detailing the method and any calculation formulae used for data aggregation and to determine the annual CO2e emissions where measurement based methodologies are applied.</v>
      </c>
      <c r="F453" s="949"/>
      <c r="G453" s="949"/>
      <c r="H453" s="949"/>
      <c r="I453" s="949"/>
      <c r="J453" s="949"/>
      <c r="K453" s="949"/>
      <c r="L453" s="949"/>
      <c r="M453" s="949"/>
      <c r="N453" s="949"/>
      <c r="O453" s="36"/>
      <c r="P453" s="6"/>
    </row>
    <row r="454" spans="1:25" ht="12.75" customHeight="1" x14ac:dyDescent="0.2">
      <c r="B454" s="417"/>
      <c r="C454" s="417"/>
      <c r="D454" s="441"/>
      <c r="E454" s="869" t="str">
        <f>Translations!$B$612</f>
        <v>Please provide details about the written procedures in accordance with Article 44 of the MRR.</v>
      </c>
      <c r="F454" s="869"/>
      <c r="G454" s="869"/>
      <c r="H454" s="869"/>
      <c r="I454" s="869"/>
      <c r="J454" s="869"/>
      <c r="K454" s="869"/>
      <c r="L454" s="869"/>
      <c r="M454" s="869"/>
      <c r="N454" s="869"/>
      <c r="O454" s="36"/>
      <c r="P454" s="6"/>
    </row>
    <row r="455" spans="1:25" s="316" customFormat="1" ht="25.5" customHeight="1" x14ac:dyDescent="0.2">
      <c r="A455" s="65"/>
      <c r="B455" s="417"/>
      <c r="C455" s="417"/>
      <c r="D455" s="417"/>
      <c r="E455" s="869" t="str">
        <f>Translations!$B$613</f>
        <v>Where a number of procedures are used for a similar purpose but for different emission sources or measurement points, please provide details of an overarching procedure which covers the common elements and quality assurance of the applied methods.</v>
      </c>
      <c r="F455" s="869"/>
      <c r="G455" s="869"/>
      <c r="H455" s="869"/>
      <c r="I455" s="869"/>
      <c r="J455" s="869"/>
      <c r="K455" s="869"/>
      <c r="L455" s="869"/>
      <c r="M455" s="869"/>
      <c r="N455" s="869"/>
      <c r="O455" s="36"/>
      <c r="P455" s="65"/>
      <c r="Q455" s="65"/>
      <c r="R455" s="65"/>
      <c r="S455" s="65"/>
      <c r="T455" s="65"/>
      <c r="U455" s="65"/>
      <c r="V455" s="65"/>
      <c r="W455" s="65"/>
      <c r="X455" s="65"/>
      <c r="Y455" s="65"/>
    </row>
    <row r="456" spans="1:25" s="316" customFormat="1" ht="25.5" customHeight="1" x14ac:dyDescent="0.2">
      <c r="A456" s="65"/>
      <c r="B456" s="417"/>
      <c r="C456" s="417"/>
      <c r="D456" s="417"/>
      <c r="E456" s="869" t="str">
        <f>Translations!$B$614</f>
        <v>You may then either give here references to individual "sub-procedures", or you may provide details of each relevant procedure separately. For the latter, please use the "add procedure" button at the end of this sheet. However, please ensure that clear reference to the appropriate (sub-)procedure can be given.</v>
      </c>
      <c r="F456" s="869"/>
      <c r="G456" s="869"/>
      <c r="H456" s="869"/>
      <c r="I456" s="869"/>
      <c r="J456" s="869"/>
      <c r="K456" s="869"/>
      <c r="L456" s="869"/>
      <c r="M456" s="869"/>
      <c r="N456" s="869"/>
      <c r="O456" s="36"/>
      <c r="P456" s="65"/>
      <c r="Q456" s="65"/>
      <c r="R456" s="65"/>
      <c r="S456" s="65"/>
      <c r="T456" s="65"/>
      <c r="U456" s="65"/>
      <c r="V456" s="65"/>
      <c r="W456" s="65"/>
      <c r="X456" s="65"/>
      <c r="Y456" s="65"/>
    </row>
    <row r="457" spans="1:25" s="316" customFormat="1" ht="5.0999999999999996" customHeight="1" x14ac:dyDescent="0.2">
      <c r="A457" s="65"/>
      <c r="B457" s="417"/>
      <c r="C457" s="417"/>
      <c r="D457" s="417"/>
      <c r="E457" s="397"/>
      <c r="F457" s="397"/>
      <c r="G457" s="397"/>
      <c r="H457" s="397"/>
      <c r="I457" s="397"/>
      <c r="J457" s="397"/>
      <c r="K457" s="397"/>
      <c r="L457" s="397"/>
      <c r="M457" s="397"/>
      <c r="N457" s="397"/>
      <c r="O457" s="36"/>
      <c r="P457" s="65"/>
      <c r="Q457" s="65"/>
      <c r="R457" s="65"/>
      <c r="S457" s="65"/>
      <c r="T457" s="65"/>
      <c r="U457" s="65"/>
      <c r="V457" s="65"/>
      <c r="W457" s="65"/>
      <c r="X457" s="317"/>
      <c r="Y457" s="317"/>
    </row>
    <row r="458" spans="1:25" ht="15" customHeight="1" x14ac:dyDescent="0.2">
      <c r="B458" s="417"/>
      <c r="C458" s="417"/>
      <c r="D458" s="441"/>
      <c r="E458" s="1102" t="str">
        <f>Translations!$B$405</f>
        <v>Title of procedure</v>
      </c>
      <c r="F458" s="1103"/>
      <c r="G458" s="870"/>
      <c r="H458" s="1036"/>
      <c r="I458" s="1036"/>
      <c r="J458" s="1036"/>
      <c r="K458" s="1036"/>
      <c r="L458" s="1036"/>
      <c r="M458" s="1036"/>
      <c r="N458" s="972"/>
      <c r="O458" s="36"/>
      <c r="P458" s="6"/>
      <c r="S458" s="359"/>
    </row>
    <row r="459" spans="1:25" ht="15" customHeight="1" x14ac:dyDescent="0.2">
      <c r="B459" s="417"/>
      <c r="C459" s="417"/>
      <c r="D459" s="441"/>
      <c r="E459" s="1102" t="str">
        <f>Translations!$B$407</f>
        <v>Reference for procedure</v>
      </c>
      <c r="F459" s="1103"/>
      <c r="G459" s="870"/>
      <c r="H459" s="1036"/>
      <c r="I459" s="1036"/>
      <c r="J459" s="1036"/>
      <c r="K459" s="1036"/>
      <c r="L459" s="1036"/>
      <c r="M459" s="1036"/>
      <c r="N459" s="972"/>
      <c r="O459" s="36"/>
      <c r="P459" s="6"/>
      <c r="S459" s="359"/>
    </row>
    <row r="460" spans="1:25" ht="25.5" customHeight="1" x14ac:dyDescent="0.2">
      <c r="B460" s="417"/>
      <c r="C460" s="417"/>
      <c r="D460" s="441"/>
      <c r="E460" s="1102" t="str">
        <f>Translations!$B$409</f>
        <v>Diagram reference (where applicable)</v>
      </c>
      <c r="F460" s="1103"/>
      <c r="G460" s="870"/>
      <c r="H460" s="1036"/>
      <c r="I460" s="1036"/>
      <c r="J460" s="1036"/>
      <c r="K460" s="1036"/>
      <c r="L460" s="1036"/>
      <c r="M460" s="1036"/>
      <c r="N460" s="972"/>
      <c r="O460" s="36"/>
      <c r="P460" s="6"/>
      <c r="S460" s="359"/>
    </row>
    <row r="461" spans="1:25" ht="105" customHeight="1" x14ac:dyDescent="0.2">
      <c r="B461" s="417"/>
      <c r="C461" s="417"/>
      <c r="D461" s="441"/>
      <c r="E461" s="1102" t="str">
        <f>Translations!$B$615</f>
        <v>Brief description of procedure    (Description should cover the essential parameters and operations performed)</v>
      </c>
      <c r="F461" s="1103"/>
      <c r="G461" s="870"/>
      <c r="H461" s="1036"/>
      <c r="I461" s="1036"/>
      <c r="J461" s="1036"/>
      <c r="K461" s="1036"/>
      <c r="L461" s="1036"/>
      <c r="M461" s="1036"/>
      <c r="N461" s="972"/>
      <c r="O461" s="36"/>
      <c r="P461" s="6"/>
      <c r="S461" s="359"/>
    </row>
    <row r="462" spans="1:25" ht="39" customHeight="1" x14ac:dyDescent="0.2">
      <c r="B462" s="417"/>
      <c r="C462" s="417"/>
      <c r="D462" s="441"/>
      <c r="E462" s="1102" t="str">
        <f>Translations!$B$414</f>
        <v>Post or department responsible for the procedure and for any data generated</v>
      </c>
      <c r="F462" s="1103"/>
      <c r="G462" s="870"/>
      <c r="H462" s="1036"/>
      <c r="I462" s="1036"/>
      <c r="J462" s="1036"/>
      <c r="K462" s="1036"/>
      <c r="L462" s="1036"/>
      <c r="M462" s="1036"/>
      <c r="N462" s="972"/>
      <c r="O462" s="36"/>
      <c r="P462" s="6"/>
      <c r="S462" s="359"/>
    </row>
    <row r="463" spans="1:25" ht="27.75" customHeight="1" x14ac:dyDescent="0.2">
      <c r="B463" s="417"/>
      <c r="C463" s="417"/>
      <c r="D463" s="441"/>
      <c r="E463" s="1102" t="str">
        <f>Translations!$B$416</f>
        <v>Location where records are kept</v>
      </c>
      <c r="F463" s="1103"/>
      <c r="G463" s="870"/>
      <c r="H463" s="1036"/>
      <c r="I463" s="1036"/>
      <c r="J463" s="1036"/>
      <c r="K463" s="1036"/>
      <c r="L463" s="1036"/>
      <c r="M463" s="1036"/>
      <c r="N463" s="972"/>
      <c r="O463" s="36"/>
      <c r="P463" s="6"/>
      <c r="S463" s="359"/>
    </row>
    <row r="464" spans="1:25" ht="30" customHeight="1" x14ac:dyDescent="0.2">
      <c r="B464" s="417"/>
      <c r="C464" s="417"/>
      <c r="D464" s="441"/>
      <c r="E464" s="1102" t="str">
        <f>Translations!$B$418</f>
        <v>Name of IT system used (where applicable).</v>
      </c>
      <c r="F464" s="1103"/>
      <c r="G464" s="870"/>
      <c r="H464" s="1036"/>
      <c r="I464" s="1036"/>
      <c r="J464" s="1036"/>
      <c r="K464" s="1036"/>
      <c r="L464" s="1036"/>
      <c r="M464" s="1036"/>
      <c r="N464" s="972"/>
      <c r="O464" s="36"/>
      <c r="P464" s="6"/>
      <c r="S464" s="359"/>
    </row>
    <row r="465" spans="2:19" ht="31.5" customHeight="1" x14ac:dyDescent="0.2">
      <c r="B465" s="417"/>
      <c r="C465" s="417"/>
      <c r="D465" s="441"/>
      <c r="E465" s="1102" t="str">
        <f>Translations!$B$420</f>
        <v>List of EN or other standards applied (where relevant)</v>
      </c>
      <c r="F465" s="1103"/>
      <c r="G465" s="870"/>
      <c r="H465" s="1036"/>
      <c r="I465" s="1036"/>
      <c r="J465" s="1036"/>
      <c r="K465" s="1036"/>
      <c r="L465" s="1036"/>
      <c r="M465" s="1036"/>
      <c r="N465" s="972"/>
      <c r="O465" s="36"/>
      <c r="P465" s="6"/>
      <c r="S465" s="359"/>
    </row>
    <row r="466" spans="2:19" x14ac:dyDescent="0.2">
      <c r="B466" s="417"/>
      <c r="C466" s="417"/>
      <c r="D466" s="441"/>
      <c r="E466" s="417"/>
      <c r="F466" s="417"/>
      <c r="G466" s="417"/>
      <c r="H466" s="417"/>
      <c r="I466" s="417"/>
      <c r="J466" s="417"/>
      <c r="K466" s="417"/>
      <c r="L466" s="417"/>
      <c r="M466" s="417"/>
      <c r="N466" s="417"/>
      <c r="O466" s="36"/>
      <c r="P466" s="6"/>
      <c r="S466" s="359"/>
    </row>
    <row r="467" spans="2:19" ht="25.5" customHeight="1" x14ac:dyDescent="0.2">
      <c r="B467" s="417"/>
      <c r="C467" s="417"/>
      <c r="D467" s="13" t="s">
        <v>1020</v>
      </c>
      <c r="E467" s="949" t="str">
        <f>Translations!$B$616</f>
        <v>Please provide details about the written procedures which describe the methods used for determining the valid hours (or shorter reference periods) for each parameter and for substitution of missing data.</v>
      </c>
      <c r="F467" s="949"/>
      <c r="G467" s="949"/>
      <c r="H467" s="949"/>
      <c r="I467" s="949"/>
      <c r="J467" s="949"/>
      <c r="K467" s="949"/>
      <c r="L467" s="949"/>
      <c r="M467" s="949"/>
      <c r="N467" s="949"/>
      <c r="O467" s="36"/>
      <c r="P467" s="6"/>
      <c r="S467" s="359"/>
    </row>
    <row r="468" spans="2:19" ht="25.5" customHeight="1" x14ac:dyDescent="0.2">
      <c r="B468" s="417"/>
      <c r="C468" s="417"/>
      <c r="D468" s="441"/>
      <c r="E468" s="869" t="str">
        <f>Translations!$B$617</f>
        <v>Please provide details about the written procedures which describe the methods for determining if valid hours or shorter reference periods for each parameter can be provided, and for substitution of missing data in accordance with Article 45 of the MRR.</v>
      </c>
      <c r="F468" s="869"/>
      <c r="G468" s="869"/>
      <c r="H468" s="869"/>
      <c r="I468" s="869"/>
      <c r="J468" s="869"/>
      <c r="K468" s="869"/>
      <c r="L468" s="869"/>
      <c r="M468" s="869"/>
      <c r="N468" s="869"/>
      <c r="O468" s="36"/>
      <c r="P468" s="6"/>
      <c r="S468" s="359"/>
    </row>
    <row r="469" spans="2:19" ht="5.0999999999999996" customHeight="1" x14ac:dyDescent="0.2">
      <c r="B469" s="417"/>
      <c r="C469" s="417"/>
      <c r="D469" s="441"/>
      <c r="E469" s="67"/>
      <c r="F469" s="67"/>
      <c r="G469" s="67"/>
      <c r="H469" s="67"/>
      <c r="I469" s="67"/>
      <c r="J469" s="67"/>
      <c r="K469" s="67"/>
      <c r="L469" s="67"/>
      <c r="M469" s="67"/>
      <c r="N469" s="67"/>
      <c r="O469" s="36"/>
      <c r="P469" s="6"/>
      <c r="S469" s="359"/>
    </row>
    <row r="470" spans="2:19" ht="12.75" customHeight="1" x14ac:dyDescent="0.2">
      <c r="B470" s="417"/>
      <c r="C470" s="417"/>
      <c r="D470" s="441"/>
      <c r="E470" s="1102" t="str">
        <f>Translations!$B$405</f>
        <v>Title of procedure</v>
      </c>
      <c r="F470" s="1103"/>
      <c r="G470" s="870"/>
      <c r="H470" s="1036"/>
      <c r="I470" s="1036"/>
      <c r="J470" s="1036"/>
      <c r="K470" s="1036"/>
      <c r="L470" s="1036"/>
      <c r="M470" s="1036"/>
      <c r="N470" s="972"/>
      <c r="O470" s="36"/>
      <c r="P470" s="6"/>
      <c r="S470" s="359"/>
    </row>
    <row r="471" spans="2:19" ht="12.75" customHeight="1" x14ac:dyDescent="0.2">
      <c r="B471" s="417"/>
      <c r="C471" s="417"/>
      <c r="D471" s="441"/>
      <c r="E471" s="1102" t="str">
        <f>Translations!$B$407</f>
        <v>Reference for procedure</v>
      </c>
      <c r="F471" s="1103"/>
      <c r="G471" s="870"/>
      <c r="H471" s="1036"/>
      <c r="I471" s="1036"/>
      <c r="J471" s="1036"/>
      <c r="K471" s="1036"/>
      <c r="L471" s="1036"/>
      <c r="M471" s="1036"/>
      <c r="N471" s="972"/>
      <c r="O471" s="36"/>
      <c r="P471" s="6"/>
      <c r="S471" s="359"/>
    </row>
    <row r="472" spans="2:19" ht="29.25" customHeight="1" x14ac:dyDescent="0.2">
      <c r="B472" s="417"/>
      <c r="C472" s="417"/>
      <c r="D472" s="441"/>
      <c r="E472" s="1102" t="str">
        <f>Translations!$B$409</f>
        <v>Diagram reference (where applicable)</v>
      </c>
      <c r="F472" s="1103"/>
      <c r="G472" s="870"/>
      <c r="H472" s="1036"/>
      <c r="I472" s="1036"/>
      <c r="J472" s="1036"/>
      <c r="K472" s="1036"/>
      <c r="L472" s="1036"/>
      <c r="M472" s="1036"/>
      <c r="N472" s="972"/>
      <c r="O472" s="36"/>
      <c r="P472" s="6"/>
      <c r="S472" s="359"/>
    </row>
    <row r="473" spans="2:19" ht="105" customHeight="1" x14ac:dyDescent="0.2">
      <c r="B473" s="417"/>
      <c r="C473" s="417"/>
      <c r="D473" s="441"/>
      <c r="E473" s="1102" t="str">
        <f>Translations!$B$615</f>
        <v>Brief description of procedure    (Description should cover the essential parameters and operations performed)</v>
      </c>
      <c r="F473" s="1103"/>
      <c r="G473" s="870"/>
      <c r="H473" s="1036"/>
      <c r="I473" s="1036"/>
      <c r="J473" s="1036"/>
      <c r="K473" s="1036"/>
      <c r="L473" s="1036"/>
      <c r="M473" s="1036"/>
      <c r="N473" s="972"/>
      <c r="O473" s="36"/>
      <c r="P473" s="6"/>
      <c r="S473" s="359"/>
    </row>
    <row r="474" spans="2:19" ht="42" customHeight="1" x14ac:dyDescent="0.2">
      <c r="B474" s="417"/>
      <c r="C474" s="417"/>
      <c r="D474" s="441"/>
      <c r="E474" s="1102" t="str">
        <f>Translations!$B$414</f>
        <v>Post or department responsible for the procedure and for any data generated</v>
      </c>
      <c r="F474" s="1103"/>
      <c r="G474" s="870"/>
      <c r="H474" s="1036"/>
      <c r="I474" s="1036"/>
      <c r="J474" s="1036"/>
      <c r="K474" s="1036"/>
      <c r="L474" s="1036"/>
      <c r="M474" s="1036"/>
      <c r="N474" s="972"/>
      <c r="O474" s="36"/>
      <c r="P474" s="6"/>
      <c r="S474" s="359"/>
    </row>
    <row r="475" spans="2:19" ht="24.75" customHeight="1" x14ac:dyDescent="0.2">
      <c r="B475" s="417"/>
      <c r="C475" s="417"/>
      <c r="D475" s="441"/>
      <c r="E475" s="1102" t="str">
        <f>Translations!$B$416</f>
        <v>Location where records are kept</v>
      </c>
      <c r="F475" s="1103"/>
      <c r="G475" s="870"/>
      <c r="H475" s="1036"/>
      <c r="I475" s="1036"/>
      <c r="J475" s="1036"/>
      <c r="K475" s="1036"/>
      <c r="L475" s="1036"/>
      <c r="M475" s="1036"/>
      <c r="N475" s="972"/>
      <c r="O475" s="36"/>
      <c r="P475" s="6"/>
      <c r="S475" s="359"/>
    </row>
    <row r="476" spans="2:19" ht="24.75" customHeight="1" x14ac:dyDescent="0.2">
      <c r="B476" s="417"/>
      <c r="C476" s="417"/>
      <c r="D476" s="441"/>
      <c r="E476" s="1102" t="str">
        <f>Translations!$B$418</f>
        <v>Name of IT system used (where applicable).</v>
      </c>
      <c r="F476" s="1103"/>
      <c r="G476" s="870"/>
      <c r="H476" s="1036"/>
      <c r="I476" s="1036"/>
      <c r="J476" s="1036"/>
      <c r="K476" s="1036"/>
      <c r="L476" s="1036"/>
      <c r="M476" s="1036"/>
      <c r="N476" s="972"/>
      <c r="O476" s="36"/>
      <c r="P476" s="6"/>
      <c r="S476" s="359"/>
    </row>
    <row r="477" spans="2:19" ht="25.5" customHeight="1" x14ac:dyDescent="0.2">
      <c r="B477" s="417"/>
      <c r="C477" s="417"/>
      <c r="D477" s="441"/>
      <c r="E477" s="1102" t="str">
        <f>Translations!$B$420</f>
        <v>List of EN or other standards applied (where relevant)</v>
      </c>
      <c r="F477" s="1103"/>
      <c r="G477" s="870"/>
      <c r="H477" s="1036"/>
      <c r="I477" s="1036"/>
      <c r="J477" s="1036"/>
      <c r="K477" s="1036"/>
      <c r="L477" s="1036"/>
      <c r="M477" s="1036"/>
      <c r="N477" s="972"/>
      <c r="O477" s="36"/>
      <c r="P477" s="6"/>
      <c r="S477" s="359"/>
    </row>
    <row r="478" spans="2:19" x14ac:dyDescent="0.2">
      <c r="B478" s="417"/>
      <c r="C478" s="417"/>
      <c r="D478" s="441"/>
      <c r="E478" s="417"/>
      <c r="F478" s="417"/>
      <c r="G478" s="417"/>
      <c r="H478" s="417"/>
      <c r="I478" s="417"/>
      <c r="J478" s="417"/>
      <c r="K478" s="417"/>
      <c r="L478" s="417"/>
      <c r="M478" s="417"/>
      <c r="N478" s="417"/>
      <c r="O478" s="36"/>
      <c r="P478" s="6"/>
      <c r="S478" s="359"/>
    </row>
    <row r="479" spans="2:19" ht="32.25" customHeight="1" x14ac:dyDescent="0.2">
      <c r="B479" s="417"/>
      <c r="C479" s="417"/>
      <c r="D479" s="13" t="s">
        <v>554</v>
      </c>
      <c r="E479" s="949" t="str">
        <f>Translations!$B$618</f>
        <v>Where flue gas flow is determined by calculation, please provide details about the written procedure for this calculation for each relevant emission source in accordance with Article 43(5)(a) of the MRR.</v>
      </c>
      <c r="F479" s="949"/>
      <c r="G479" s="949"/>
      <c r="H479" s="949"/>
      <c r="I479" s="949"/>
      <c r="J479" s="949"/>
      <c r="K479" s="949"/>
      <c r="L479" s="949"/>
      <c r="M479" s="949"/>
      <c r="N479" s="949"/>
      <c r="O479" s="36"/>
      <c r="P479" s="6"/>
      <c r="S479" s="359"/>
    </row>
    <row r="480" spans="2:19" ht="12.75" customHeight="1" x14ac:dyDescent="0.2">
      <c r="B480" s="417"/>
      <c r="C480" s="417"/>
      <c r="D480" s="441"/>
      <c r="E480" s="1102" t="str">
        <f>Translations!$B$405</f>
        <v>Title of procedure</v>
      </c>
      <c r="F480" s="1103"/>
      <c r="G480" s="870"/>
      <c r="H480" s="1036"/>
      <c r="I480" s="1036"/>
      <c r="J480" s="1036"/>
      <c r="K480" s="1036"/>
      <c r="L480" s="1036"/>
      <c r="M480" s="1036"/>
      <c r="N480" s="972"/>
      <c r="O480" s="36"/>
      <c r="P480" s="6"/>
      <c r="S480" s="359"/>
    </row>
    <row r="481" spans="2:19" ht="12.75" customHeight="1" x14ac:dyDescent="0.2">
      <c r="B481" s="417"/>
      <c r="C481" s="417"/>
      <c r="D481" s="441"/>
      <c r="E481" s="1102" t="str">
        <f>Translations!$B$407</f>
        <v>Reference for procedure</v>
      </c>
      <c r="F481" s="1103"/>
      <c r="G481" s="870"/>
      <c r="H481" s="1036"/>
      <c r="I481" s="1036"/>
      <c r="J481" s="1036"/>
      <c r="K481" s="1036"/>
      <c r="L481" s="1036"/>
      <c r="M481" s="1036"/>
      <c r="N481" s="972"/>
      <c r="O481" s="36"/>
      <c r="P481" s="6"/>
      <c r="S481" s="359"/>
    </row>
    <row r="482" spans="2:19" ht="27" customHeight="1" x14ac:dyDescent="0.2">
      <c r="B482" s="417"/>
      <c r="C482" s="417"/>
      <c r="D482" s="441"/>
      <c r="E482" s="1102" t="str">
        <f>Translations!$B$409</f>
        <v>Diagram reference (where applicable)</v>
      </c>
      <c r="F482" s="1103"/>
      <c r="G482" s="870"/>
      <c r="H482" s="1036"/>
      <c r="I482" s="1036"/>
      <c r="J482" s="1036"/>
      <c r="K482" s="1036"/>
      <c r="L482" s="1036"/>
      <c r="M482" s="1036"/>
      <c r="N482" s="972"/>
      <c r="O482" s="36"/>
      <c r="P482" s="6"/>
      <c r="S482" s="359"/>
    </row>
    <row r="483" spans="2:19" ht="105" customHeight="1" x14ac:dyDescent="0.2">
      <c r="B483" s="417"/>
      <c r="C483" s="417"/>
      <c r="D483" s="441"/>
      <c r="E483" s="1102" t="str">
        <f>Translations!$B$615</f>
        <v>Brief description of procedure    (Description should cover the essential parameters and operations performed)</v>
      </c>
      <c r="F483" s="1103"/>
      <c r="G483" s="870"/>
      <c r="H483" s="1036"/>
      <c r="I483" s="1036"/>
      <c r="J483" s="1036"/>
      <c r="K483" s="1036"/>
      <c r="L483" s="1036"/>
      <c r="M483" s="1036"/>
      <c r="N483" s="972"/>
      <c r="O483" s="36"/>
      <c r="P483" s="6"/>
      <c r="S483" s="359"/>
    </row>
    <row r="484" spans="2:19" ht="39.75" customHeight="1" x14ac:dyDescent="0.2">
      <c r="B484" s="417"/>
      <c r="C484" s="417"/>
      <c r="D484" s="441"/>
      <c r="E484" s="1102" t="str">
        <f>Translations!$B$414</f>
        <v>Post or department responsible for the procedure and for any data generated</v>
      </c>
      <c r="F484" s="1103"/>
      <c r="G484" s="870"/>
      <c r="H484" s="1036"/>
      <c r="I484" s="1036"/>
      <c r="J484" s="1036"/>
      <c r="K484" s="1036"/>
      <c r="L484" s="1036"/>
      <c r="M484" s="1036"/>
      <c r="N484" s="972"/>
      <c r="O484" s="36"/>
      <c r="P484" s="6"/>
      <c r="S484" s="359"/>
    </row>
    <row r="485" spans="2:19" ht="27" customHeight="1" x14ac:dyDescent="0.2">
      <c r="B485" s="417"/>
      <c r="C485" s="417"/>
      <c r="D485" s="441"/>
      <c r="E485" s="1102" t="str">
        <f>Translations!$B$416</f>
        <v>Location where records are kept</v>
      </c>
      <c r="F485" s="1103"/>
      <c r="G485" s="870"/>
      <c r="H485" s="1036"/>
      <c r="I485" s="1036"/>
      <c r="J485" s="1036"/>
      <c r="K485" s="1036"/>
      <c r="L485" s="1036"/>
      <c r="M485" s="1036"/>
      <c r="N485" s="972"/>
      <c r="O485" s="36"/>
      <c r="P485" s="6"/>
      <c r="S485" s="359"/>
    </row>
    <row r="486" spans="2:19" ht="33" customHeight="1" x14ac:dyDescent="0.2">
      <c r="B486" s="417"/>
      <c r="C486" s="417"/>
      <c r="D486" s="441"/>
      <c r="E486" s="1102" t="str">
        <f>Translations!$B$418</f>
        <v>Name of IT system used (where applicable).</v>
      </c>
      <c r="F486" s="1103"/>
      <c r="G486" s="870"/>
      <c r="H486" s="1036"/>
      <c r="I486" s="1036"/>
      <c r="J486" s="1036"/>
      <c r="K486" s="1036"/>
      <c r="L486" s="1036"/>
      <c r="M486" s="1036"/>
      <c r="N486" s="972"/>
      <c r="O486" s="36"/>
      <c r="P486" s="6"/>
      <c r="S486" s="359"/>
    </row>
    <row r="487" spans="2:19" ht="24.75" customHeight="1" x14ac:dyDescent="0.2">
      <c r="B487" s="417"/>
      <c r="C487" s="417"/>
      <c r="D487" s="441"/>
      <c r="E487" s="1102" t="str">
        <f>Translations!$B$420</f>
        <v>List of EN or other standards applied (where relevant)</v>
      </c>
      <c r="F487" s="1103"/>
      <c r="G487" s="870"/>
      <c r="H487" s="1036"/>
      <c r="I487" s="1036"/>
      <c r="J487" s="1036"/>
      <c r="K487" s="1036"/>
      <c r="L487" s="1036"/>
      <c r="M487" s="1036"/>
      <c r="N487" s="972"/>
      <c r="O487" s="36"/>
      <c r="P487" s="6"/>
      <c r="S487" s="359"/>
    </row>
    <row r="488" spans="2:19" x14ac:dyDescent="0.2">
      <c r="B488" s="417"/>
      <c r="C488" s="417"/>
      <c r="D488" s="441"/>
      <c r="E488" s="417"/>
      <c r="F488" s="417"/>
      <c r="G488" s="417"/>
      <c r="H488" s="417"/>
      <c r="I488" s="417"/>
      <c r="J488" s="417"/>
      <c r="K488" s="417"/>
      <c r="L488" s="417"/>
      <c r="M488" s="417"/>
      <c r="N488" s="417"/>
      <c r="O488" s="36"/>
      <c r="P488" s="6"/>
      <c r="S488" s="359"/>
    </row>
    <row r="489" spans="2:19" ht="48.75" customHeight="1" x14ac:dyDescent="0.2">
      <c r="B489" s="417"/>
      <c r="C489" s="417"/>
      <c r="D489" s="13" t="s">
        <v>1022</v>
      </c>
      <c r="E489" s="949" t="str">
        <f>Translations!$B$1203</f>
        <v>Where CO2 stemming from biomass is included in the emissions measurement, please provide details about the written procedure detailing how the biomass CO2 is to be determined and subtracted from the measured CO2 emissions, where applicable, in accordance with Article 43(4) and 43(4a) of the MRR.</v>
      </c>
      <c r="F489" s="949"/>
      <c r="G489" s="949"/>
      <c r="H489" s="949"/>
      <c r="I489" s="949"/>
      <c r="J489" s="949"/>
      <c r="K489" s="949"/>
      <c r="L489" s="949"/>
      <c r="M489" s="949"/>
      <c r="N489" s="949"/>
      <c r="O489" s="36"/>
      <c r="P489" s="6"/>
      <c r="S489" s="359"/>
    </row>
    <row r="490" spans="2:19" ht="12.75" customHeight="1" x14ac:dyDescent="0.2">
      <c r="B490" s="417"/>
      <c r="C490" s="417"/>
      <c r="D490" s="441"/>
      <c r="E490" s="1102" t="str">
        <f>Translations!$B$405</f>
        <v>Title of procedure</v>
      </c>
      <c r="F490" s="1103"/>
      <c r="G490" s="870"/>
      <c r="H490" s="1036"/>
      <c r="I490" s="1036"/>
      <c r="J490" s="1036"/>
      <c r="K490" s="1036"/>
      <c r="L490" s="1036"/>
      <c r="M490" s="1036"/>
      <c r="N490" s="972"/>
      <c r="O490" s="36"/>
      <c r="P490" s="6"/>
      <c r="S490" s="359"/>
    </row>
    <row r="491" spans="2:19" ht="12.75" customHeight="1" x14ac:dyDescent="0.2">
      <c r="B491" s="417"/>
      <c r="C491" s="417"/>
      <c r="D491" s="441"/>
      <c r="E491" s="1102" t="str">
        <f>Translations!$B$407</f>
        <v>Reference for procedure</v>
      </c>
      <c r="F491" s="1103"/>
      <c r="G491" s="870"/>
      <c r="H491" s="1036"/>
      <c r="I491" s="1036"/>
      <c r="J491" s="1036"/>
      <c r="K491" s="1036"/>
      <c r="L491" s="1036"/>
      <c r="M491" s="1036"/>
      <c r="N491" s="972"/>
      <c r="P491" s="6"/>
      <c r="S491" s="359"/>
    </row>
    <row r="492" spans="2:19" ht="23.25" customHeight="1" x14ac:dyDescent="0.2">
      <c r="B492" s="417"/>
      <c r="C492" s="417"/>
      <c r="D492" s="441"/>
      <c r="E492" s="1102" t="str">
        <f>Translations!$B$409</f>
        <v>Diagram reference (where applicable)</v>
      </c>
      <c r="F492" s="1103"/>
      <c r="G492" s="870"/>
      <c r="H492" s="1036"/>
      <c r="I492" s="1036"/>
      <c r="J492" s="1036"/>
      <c r="K492" s="1036"/>
      <c r="L492" s="1036"/>
      <c r="M492" s="1036"/>
      <c r="N492" s="972"/>
      <c r="P492" s="6"/>
      <c r="S492" s="359"/>
    </row>
    <row r="493" spans="2:19" ht="105" customHeight="1" x14ac:dyDescent="0.2">
      <c r="B493" s="417"/>
      <c r="C493" s="417"/>
      <c r="D493" s="441"/>
      <c r="E493" s="1102" t="str">
        <f>Translations!$B$615</f>
        <v>Brief description of procedure    (Description should cover the essential parameters and operations performed)</v>
      </c>
      <c r="F493" s="1103"/>
      <c r="G493" s="870"/>
      <c r="H493" s="1036"/>
      <c r="I493" s="1036"/>
      <c r="J493" s="1036"/>
      <c r="K493" s="1036"/>
      <c r="L493" s="1036"/>
      <c r="M493" s="1036"/>
      <c r="N493" s="972"/>
      <c r="P493" s="6"/>
      <c r="S493" s="359"/>
    </row>
    <row r="494" spans="2:19" ht="36" customHeight="1" x14ac:dyDescent="0.2">
      <c r="B494" s="417"/>
      <c r="C494" s="417"/>
      <c r="D494" s="441"/>
      <c r="E494" s="1102" t="str">
        <f>Translations!$B$414</f>
        <v>Post or department responsible for the procedure and for any data generated</v>
      </c>
      <c r="F494" s="1103"/>
      <c r="G494" s="870"/>
      <c r="H494" s="1036"/>
      <c r="I494" s="1036"/>
      <c r="J494" s="1036"/>
      <c r="K494" s="1036"/>
      <c r="L494" s="1036"/>
      <c r="M494" s="1036"/>
      <c r="N494" s="972"/>
      <c r="P494" s="6"/>
      <c r="S494" s="359"/>
    </row>
    <row r="495" spans="2:19" ht="24" customHeight="1" x14ac:dyDescent="0.2">
      <c r="B495" s="417"/>
      <c r="C495" s="417"/>
      <c r="D495" s="441"/>
      <c r="E495" s="1102" t="str">
        <f>Translations!$B$416</f>
        <v>Location where records are kept</v>
      </c>
      <c r="F495" s="1103"/>
      <c r="G495" s="870"/>
      <c r="H495" s="1036"/>
      <c r="I495" s="1036"/>
      <c r="J495" s="1036"/>
      <c r="K495" s="1036"/>
      <c r="L495" s="1036"/>
      <c r="M495" s="1036"/>
      <c r="N495" s="972"/>
      <c r="P495" s="6"/>
      <c r="S495" s="359"/>
    </row>
    <row r="496" spans="2:19" ht="25.5" customHeight="1" x14ac:dyDescent="0.2">
      <c r="B496" s="417"/>
      <c r="C496" s="417"/>
      <c r="D496" s="441"/>
      <c r="E496" s="1102" t="str">
        <f>Translations!$B$418</f>
        <v>Name of IT system used (where applicable).</v>
      </c>
      <c r="F496" s="1103"/>
      <c r="G496" s="870"/>
      <c r="H496" s="1036"/>
      <c r="I496" s="1036"/>
      <c r="J496" s="1036"/>
      <c r="K496" s="1036"/>
      <c r="L496" s="1036"/>
      <c r="M496" s="1036"/>
      <c r="N496" s="972"/>
      <c r="P496" s="6"/>
      <c r="S496" s="359"/>
    </row>
    <row r="497" spans="1:25" ht="24.75" customHeight="1" x14ac:dyDescent="0.2">
      <c r="B497" s="417"/>
      <c r="C497" s="417"/>
      <c r="D497" s="441"/>
      <c r="E497" s="1102" t="str">
        <f>Translations!$B$420</f>
        <v>List of EN or other standards applied (where relevant)</v>
      </c>
      <c r="F497" s="1103"/>
      <c r="G497" s="870"/>
      <c r="H497" s="1036"/>
      <c r="I497" s="1036"/>
      <c r="J497" s="1036"/>
      <c r="K497" s="1036"/>
      <c r="L497" s="1036"/>
      <c r="M497" s="1036"/>
      <c r="N497" s="972"/>
      <c r="P497" s="6"/>
      <c r="S497" s="359"/>
    </row>
    <row r="498" spans="1:25" x14ac:dyDescent="0.2">
      <c r="B498" s="417"/>
      <c r="C498" s="417"/>
      <c r="D498" s="441"/>
      <c r="E498" s="417"/>
      <c r="F498" s="417"/>
      <c r="G498" s="417"/>
      <c r="H498" s="417"/>
      <c r="I498" s="417"/>
      <c r="J498" s="417"/>
      <c r="K498" s="417"/>
      <c r="L498" s="417"/>
      <c r="M498" s="417"/>
      <c r="N498" s="417"/>
      <c r="P498" s="6"/>
      <c r="S498" s="359"/>
    </row>
    <row r="499" spans="1:25" ht="30.75" customHeight="1" x14ac:dyDescent="0.2">
      <c r="B499" s="417"/>
      <c r="C499" s="417"/>
      <c r="D499" s="13" t="s">
        <v>1023</v>
      </c>
      <c r="E499" s="949" t="str">
        <f>Translations!$B$620</f>
        <v>Please provide details about the written procedure for carrying out the corroborating calculations, where applicable, in accordance with Article 46 of the MRR.</v>
      </c>
      <c r="F499" s="949"/>
      <c r="G499" s="949"/>
      <c r="H499" s="949"/>
      <c r="I499" s="949"/>
      <c r="J499" s="949"/>
      <c r="K499" s="949"/>
      <c r="L499" s="949"/>
      <c r="M499" s="949"/>
      <c r="N499" s="949"/>
      <c r="P499" s="6"/>
      <c r="S499" s="359"/>
    </row>
    <row r="500" spans="1:25" ht="12.75" customHeight="1" x14ac:dyDescent="0.2">
      <c r="B500" s="417"/>
      <c r="C500" s="417"/>
      <c r="D500" s="441"/>
      <c r="E500" s="1102" t="str">
        <f>Translations!$B$405</f>
        <v>Title of procedure</v>
      </c>
      <c r="F500" s="1103"/>
      <c r="G500" s="870"/>
      <c r="H500" s="1036"/>
      <c r="I500" s="1036"/>
      <c r="J500" s="1036"/>
      <c r="K500" s="1036"/>
      <c r="L500" s="1036"/>
      <c r="M500" s="1036"/>
      <c r="N500" s="972"/>
      <c r="P500" s="6"/>
      <c r="S500" s="359"/>
    </row>
    <row r="501" spans="1:25" ht="12.75" customHeight="1" x14ac:dyDescent="0.2">
      <c r="B501" s="417"/>
      <c r="C501" s="417"/>
      <c r="D501" s="441"/>
      <c r="E501" s="1102" t="str">
        <f>Translations!$B$407</f>
        <v>Reference for procedure</v>
      </c>
      <c r="F501" s="1103"/>
      <c r="G501" s="870"/>
      <c r="H501" s="1036"/>
      <c r="I501" s="1036"/>
      <c r="J501" s="1036"/>
      <c r="K501" s="1036"/>
      <c r="L501" s="1036"/>
      <c r="M501" s="1036"/>
      <c r="N501" s="972"/>
      <c r="P501" s="6"/>
      <c r="S501" s="359"/>
    </row>
    <row r="502" spans="1:25" ht="24.75" customHeight="1" x14ac:dyDescent="0.2">
      <c r="B502" s="417"/>
      <c r="C502" s="417"/>
      <c r="D502" s="441"/>
      <c r="E502" s="1102" t="str">
        <f>Translations!$B$409</f>
        <v>Diagram reference (where applicable)</v>
      </c>
      <c r="F502" s="1103"/>
      <c r="G502" s="870"/>
      <c r="H502" s="1036"/>
      <c r="I502" s="1036"/>
      <c r="J502" s="1036"/>
      <c r="K502" s="1036"/>
      <c r="L502" s="1036"/>
      <c r="M502" s="1036"/>
      <c r="N502" s="972"/>
      <c r="P502" s="6"/>
      <c r="S502" s="359"/>
    </row>
    <row r="503" spans="1:25" ht="105" customHeight="1" x14ac:dyDescent="0.2">
      <c r="B503" s="417"/>
      <c r="C503" s="417"/>
      <c r="D503" s="441"/>
      <c r="E503" s="1102" t="str">
        <f>Translations!$B$615</f>
        <v>Brief description of procedure    (Description should cover the essential parameters and operations performed)</v>
      </c>
      <c r="F503" s="1103"/>
      <c r="G503" s="870"/>
      <c r="H503" s="1036"/>
      <c r="I503" s="1036"/>
      <c r="J503" s="1036"/>
      <c r="K503" s="1036"/>
      <c r="L503" s="1036"/>
      <c r="M503" s="1036"/>
      <c r="N503" s="972"/>
      <c r="P503" s="6"/>
      <c r="S503" s="359"/>
    </row>
    <row r="504" spans="1:25" ht="36" customHeight="1" x14ac:dyDescent="0.2">
      <c r="B504" s="417"/>
      <c r="C504" s="417"/>
      <c r="D504" s="441"/>
      <c r="E504" s="1102" t="str">
        <f>Translations!$B$414</f>
        <v>Post or department responsible for the procedure and for any data generated</v>
      </c>
      <c r="F504" s="1103"/>
      <c r="G504" s="870"/>
      <c r="H504" s="1036"/>
      <c r="I504" s="1036"/>
      <c r="J504" s="1036"/>
      <c r="K504" s="1036"/>
      <c r="L504" s="1036"/>
      <c r="M504" s="1036"/>
      <c r="N504" s="972"/>
      <c r="P504" s="6"/>
      <c r="S504" s="359"/>
    </row>
    <row r="505" spans="1:25" ht="25.5" customHeight="1" x14ac:dyDescent="0.2">
      <c r="B505" s="417"/>
      <c r="C505" s="417"/>
      <c r="D505" s="441"/>
      <c r="E505" s="1102" t="str">
        <f>Translations!$B$416</f>
        <v>Location where records are kept</v>
      </c>
      <c r="F505" s="1103"/>
      <c r="G505" s="870"/>
      <c r="H505" s="1036"/>
      <c r="I505" s="1036"/>
      <c r="J505" s="1036"/>
      <c r="K505" s="1036"/>
      <c r="L505" s="1036"/>
      <c r="M505" s="1036"/>
      <c r="N505" s="972"/>
      <c r="P505" s="6"/>
      <c r="S505" s="359"/>
    </row>
    <row r="506" spans="1:25" ht="28.5" customHeight="1" x14ac:dyDescent="0.2">
      <c r="B506" s="417"/>
      <c r="C506" s="417"/>
      <c r="D506" s="441"/>
      <c r="E506" s="1102" t="str">
        <f>Translations!$B$418</f>
        <v>Name of IT system used (where applicable).</v>
      </c>
      <c r="F506" s="1103"/>
      <c r="G506" s="870"/>
      <c r="H506" s="1036"/>
      <c r="I506" s="1036"/>
      <c r="J506" s="1036"/>
      <c r="K506" s="1036"/>
      <c r="L506" s="1036"/>
      <c r="M506" s="1036"/>
      <c r="N506" s="972"/>
      <c r="P506" s="6"/>
      <c r="S506" s="359"/>
    </row>
    <row r="507" spans="1:25" ht="25.5" customHeight="1" x14ac:dyDescent="0.2">
      <c r="B507" s="417"/>
      <c r="C507" s="417"/>
      <c r="D507" s="441"/>
      <c r="E507" s="1102" t="str">
        <f>Translations!$B$420</f>
        <v>List of EN or other standards applied (where relevant)</v>
      </c>
      <c r="F507" s="1103"/>
      <c r="G507" s="870"/>
      <c r="H507" s="1036"/>
      <c r="I507" s="1036"/>
      <c r="J507" s="1036"/>
      <c r="K507" s="1036"/>
      <c r="L507" s="1036"/>
      <c r="M507" s="1036"/>
      <c r="N507" s="972"/>
      <c r="P507" s="6"/>
      <c r="S507" s="359"/>
    </row>
    <row r="508" spans="1:25" ht="12.75" hidden="1" customHeight="1" x14ac:dyDescent="0.2">
      <c r="A508" s="12" t="s">
        <v>1090</v>
      </c>
      <c r="B508" s="417"/>
      <c r="C508" s="417"/>
      <c r="D508" s="417"/>
      <c r="E508" s="417"/>
      <c r="F508" s="417"/>
      <c r="G508" s="417"/>
      <c r="H508" s="417"/>
      <c r="I508" s="417"/>
      <c r="J508" s="417"/>
      <c r="K508" s="417"/>
      <c r="L508" s="417"/>
      <c r="M508" s="417"/>
      <c r="N508" s="417"/>
    </row>
    <row r="509" spans="1:25" s="316" customFormat="1" ht="12.75" hidden="1" customHeight="1" x14ac:dyDescent="0.2">
      <c r="A509" s="12" t="s">
        <v>1090</v>
      </c>
      <c r="B509" s="417"/>
      <c r="C509" s="417"/>
      <c r="D509" s="417"/>
      <c r="E509" s="717" t="str">
        <f>Translations!$B$1150</f>
        <v>Further procedure added by the operator</v>
      </c>
      <c r="F509" s="717"/>
      <c r="G509" s="717"/>
      <c r="H509" s="717"/>
      <c r="I509" s="717"/>
      <c r="J509" s="717"/>
      <c r="K509" s="717"/>
      <c r="L509" s="717"/>
      <c r="M509" s="717"/>
      <c r="N509" s="717"/>
      <c r="O509" s="417"/>
      <c r="P509" s="65"/>
      <c r="Q509" s="65"/>
      <c r="R509" s="65"/>
      <c r="S509" s="65"/>
      <c r="T509" s="65"/>
      <c r="U509" s="65"/>
      <c r="V509" s="65"/>
      <c r="W509" s="65"/>
      <c r="X509" s="317"/>
      <c r="Y509" s="317"/>
    </row>
    <row r="510" spans="1:25" s="316" customFormat="1" ht="12.75" hidden="1" customHeight="1" x14ac:dyDescent="0.2">
      <c r="A510" s="12" t="s">
        <v>1090</v>
      </c>
      <c r="B510" s="417"/>
      <c r="C510" s="417"/>
      <c r="D510" s="417"/>
      <c r="E510" s="717"/>
      <c r="F510" s="717"/>
      <c r="G510" s="717"/>
      <c r="H510" s="717"/>
      <c r="I510" s="717"/>
      <c r="J510" s="717"/>
      <c r="K510" s="717"/>
      <c r="L510" s="717"/>
      <c r="M510" s="717"/>
      <c r="N510" s="717"/>
      <c r="O510" s="417"/>
      <c r="P510" s="65"/>
      <c r="Q510" s="65"/>
      <c r="R510" s="65"/>
      <c r="S510" s="65"/>
      <c r="T510" s="65"/>
      <c r="U510" s="65"/>
      <c r="V510" s="65"/>
      <c r="W510" s="65"/>
      <c r="X510" s="317"/>
      <c r="Y510" s="317"/>
    </row>
    <row r="511" spans="1:25" ht="12.75" hidden="1" customHeight="1" x14ac:dyDescent="0.2">
      <c r="A511" s="12" t="s">
        <v>1090</v>
      </c>
      <c r="B511" s="417"/>
      <c r="C511" s="417"/>
      <c r="D511" s="417"/>
      <c r="E511" s="1102" t="str">
        <f>Translations!$B$405</f>
        <v>Title of procedure</v>
      </c>
      <c r="F511" s="1103"/>
      <c r="G511" s="902"/>
      <c r="H511" s="851"/>
      <c r="I511" s="851"/>
      <c r="J511" s="851"/>
      <c r="K511" s="851"/>
      <c r="L511" s="851"/>
      <c r="M511" s="851"/>
      <c r="N511" s="852"/>
    </row>
    <row r="512" spans="1:25" ht="12.75" hidden="1" customHeight="1" x14ac:dyDescent="0.2">
      <c r="A512" s="12" t="s">
        <v>1090</v>
      </c>
      <c r="B512" s="417"/>
      <c r="C512" s="417"/>
      <c r="D512" s="417"/>
      <c r="E512" s="1102" t="str">
        <f>Translations!$B$407</f>
        <v>Reference for procedure</v>
      </c>
      <c r="F512" s="1103"/>
      <c r="G512" s="902"/>
      <c r="H512" s="851"/>
      <c r="I512" s="851"/>
      <c r="J512" s="851"/>
      <c r="K512" s="851"/>
      <c r="L512" s="851"/>
      <c r="M512" s="851"/>
      <c r="N512" s="852"/>
    </row>
    <row r="513" spans="1:23" ht="12.75" hidden="1" customHeight="1" x14ac:dyDescent="0.2">
      <c r="A513" s="12" t="s">
        <v>1090</v>
      </c>
      <c r="B513" s="417"/>
      <c r="C513" s="417"/>
      <c r="D513" s="417"/>
      <c r="E513" s="1102" t="str">
        <f>Translations!$B$409</f>
        <v>Diagram reference (where applicable)</v>
      </c>
      <c r="F513" s="1103"/>
      <c r="G513" s="902"/>
      <c r="H513" s="851"/>
      <c r="I513" s="851"/>
      <c r="J513" s="851"/>
      <c r="K513" s="851"/>
      <c r="L513" s="851"/>
      <c r="M513" s="851"/>
      <c r="N513" s="852"/>
    </row>
    <row r="514" spans="1:23" ht="25.5" hidden="1" customHeight="1" x14ac:dyDescent="0.2">
      <c r="A514" s="12" t="s">
        <v>1090</v>
      </c>
      <c r="B514" s="417"/>
      <c r="C514" s="417"/>
      <c r="D514" s="417"/>
      <c r="E514" s="1104" t="str">
        <f>Translations!$B$615</f>
        <v>Brief description of procedure    (Description should cover the essential parameters and operations performed)</v>
      </c>
      <c r="F514" s="1105"/>
      <c r="G514" s="954"/>
      <c r="H514" s="955"/>
      <c r="I514" s="955"/>
      <c r="J514" s="955"/>
      <c r="K514" s="955"/>
      <c r="L514" s="955"/>
      <c r="M514" s="955"/>
      <c r="N514" s="956"/>
    </row>
    <row r="515" spans="1:23" ht="25.5" hidden="1" customHeight="1" x14ac:dyDescent="0.2">
      <c r="A515" s="12" t="s">
        <v>1090</v>
      </c>
      <c r="B515" s="417"/>
      <c r="C515" s="417"/>
      <c r="D515" s="417"/>
      <c r="E515" s="125"/>
      <c r="F515" s="126"/>
      <c r="G515" s="957"/>
      <c r="H515" s="958"/>
      <c r="I515" s="958"/>
      <c r="J515" s="958"/>
      <c r="K515" s="958"/>
      <c r="L515" s="958"/>
      <c r="M515" s="958"/>
      <c r="N515" s="959"/>
    </row>
    <row r="516" spans="1:23" ht="25.5" hidden="1" customHeight="1" x14ac:dyDescent="0.2">
      <c r="A516" s="12" t="s">
        <v>1090</v>
      </c>
      <c r="B516" s="417"/>
      <c r="C516" s="417"/>
      <c r="D516" s="417"/>
      <c r="E516" s="127"/>
      <c r="F516" s="128"/>
      <c r="G516" s="960"/>
      <c r="H516" s="961"/>
      <c r="I516" s="961"/>
      <c r="J516" s="961"/>
      <c r="K516" s="961"/>
      <c r="L516" s="961"/>
      <c r="M516" s="961"/>
      <c r="N516" s="962"/>
    </row>
    <row r="517" spans="1:23" ht="25.5" hidden="1" customHeight="1" x14ac:dyDescent="0.2">
      <c r="A517" s="12" t="s">
        <v>1090</v>
      </c>
      <c r="B517" s="417"/>
      <c r="C517" s="417"/>
      <c r="D517" s="417"/>
      <c r="E517" s="1102" t="str">
        <f>Translations!$B$414</f>
        <v>Post or department responsible for the procedure and for any data generated</v>
      </c>
      <c r="F517" s="1103"/>
      <c r="G517" s="902"/>
      <c r="H517" s="903"/>
      <c r="I517" s="903"/>
      <c r="J517" s="903"/>
      <c r="K517" s="903"/>
      <c r="L517" s="903"/>
      <c r="M517" s="903"/>
      <c r="N517" s="904"/>
    </row>
    <row r="518" spans="1:23" ht="12.75" hidden="1" customHeight="1" x14ac:dyDescent="0.2">
      <c r="A518" s="12" t="s">
        <v>1090</v>
      </c>
      <c r="B518" s="417"/>
      <c r="C518" s="417"/>
      <c r="D518" s="417"/>
      <c r="E518" s="1102" t="str">
        <f>Translations!$B$416</f>
        <v>Location where records are kept</v>
      </c>
      <c r="F518" s="1103"/>
      <c r="G518" s="902"/>
      <c r="H518" s="851"/>
      <c r="I518" s="851"/>
      <c r="J518" s="851"/>
      <c r="K518" s="851"/>
      <c r="L518" s="851"/>
      <c r="M518" s="851"/>
      <c r="N518" s="852"/>
    </row>
    <row r="519" spans="1:23" ht="25.5" hidden="1" customHeight="1" x14ac:dyDescent="0.2">
      <c r="A519" s="12" t="s">
        <v>1090</v>
      </c>
      <c r="B519" s="417"/>
      <c r="C519" s="417"/>
      <c r="D519" s="417"/>
      <c r="E519" s="1102" t="str">
        <f>Translations!$B$418</f>
        <v>Name of IT system used (where applicable).</v>
      </c>
      <c r="F519" s="1103"/>
      <c r="G519" s="902"/>
      <c r="H519" s="851"/>
      <c r="I519" s="851"/>
      <c r="J519" s="851"/>
      <c r="K519" s="851"/>
      <c r="L519" s="851"/>
      <c r="M519" s="851"/>
      <c r="N519" s="852"/>
    </row>
    <row r="520" spans="1:23" ht="25.5" hidden="1" customHeight="1" x14ac:dyDescent="0.2">
      <c r="A520" s="12" t="s">
        <v>1090</v>
      </c>
      <c r="B520" s="417"/>
      <c r="C520" s="417"/>
      <c r="D520" s="417"/>
      <c r="E520" s="1102" t="str">
        <f>Translations!$B$420</f>
        <v>List of EN or other standards applied (where relevant)</v>
      </c>
      <c r="F520" s="1103"/>
      <c r="G520" s="902"/>
      <c r="H520" s="851"/>
      <c r="I520" s="851"/>
      <c r="J520" s="851"/>
      <c r="K520" s="851"/>
      <c r="L520" s="851"/>
      <c r="M520" s="851"/>
      <c r="N520" s="852"/>
    </row>
    <row r="521" spans="1:23" ht="12.75" customHeight="1" x14ac:dyDescent="0.2">
      <c r="A521" s="65" t="s">
        <v>5</v>
      </c>
      <c r="B521" s="417"/>
      <c r="C521" s="417"/>
      <c r="D521" s="417"/>
      <c r="E521" s="417"/>
      <c r="F521" s="417"/>
      <c r="G521" s="417"/>
      <c r="H521" s="417"/>
      <c r="I521" s="417"/>
      <c r="J521" s="417"/>
      <c r="K521" s="417"/>
      <c r="L521" s="417"/>
      <c r="M521" s="417"/>
      <c r="N521" s="417"/>
    </row>
    <row r="522" spans="1:23" ht="5.0999999999999996" customHeight="1" x14ac:dyDescent="0.2">
      <c r="A522" s="12"/>
      <c r="B522" s="417"/>
      <c r="C522" s="430"/>
      <c r="D522" s="14"/>
      <c r="E522" s="417"/>
      <c r="F522" s="417"/>
      <c r="G522" s="1025" t="str">
        <f>Translations!$B$429</f>
        <v>Click "+" to add more procedures</v>
      </c>
      <c r="H522" s="1026"/>
      <c r="I522" s="1026"/>
      <c r="J522" s="1026"/>
      <c r="K522" s="1027"/>
      <c r="L522" s="417"/>
      <c r="M522" s="322"/>
      <c r="N522" s="417"/>
      <c r="O522" s="338"/>
      <c r="U522" s="369"/>
    </row>
    <row r="523" spans="1:23" ht="12.75" customHeight="1" x14ac:dyDescent="0.2">
      <c r="A523" s="12"/>
      <c r="B523" s="417"/>
      <c r="C523" s="430"/>
      <c r="D523" s="14"/>
      <c r="E523" s="417"/>
      <c r="F523" s="417"/>
      <c r="G523" s="1028"/>
      <c r="H523" s="1029"/>
      <c r="I523" s="1029"/>
      <c r="J523" s="1029"/>
      <c r="K523" s="854"/>
      <c r="L523" s="417"/>
      <c r="M523" s="322"/>
      <c r="N523" s="417"/>
      <c r="O523" s="338"/>
      <c r="U523" s="369"/>
    </row>
    <row r="524" spans="1:23" ht="5.0999999999999996" customHeight="1" x14ac:dyDescent="0.2">
      <c r="A524" s="12"/>
      <c r="B524" s="417"/>
      <c r="C524" s="430"/>
      <c r="D524" s="14"/>
      <c r="E524" s="417"/>
      <c r="F524" s="417"/>
      <c r="G524" s="1030"/>
      <c r="H524" s="1031"/>
      <c r="I524" s="1031"/>
      <c r="J524" s="1031"/>
      <c r="K524" s="1032"/>
      <c r="L524" s="417"/>
      <c r="M524" s="322"/>
      <c r="N524" s="417"/>
      <c r="O524" s="338"/>
      <c r="U524" s="369"/>
    </row>
    <row r="525" spans="1:23" ht="12.75" customHeight="1" x14ac:dyDescent="0.2">
      <c r="B525" s="417"/>
      <c r="C525" s="417"/>
      <c r="D525" s="417"/>
      <c r="E525" s="417"/>
      <c r="F525" s="417"/>
      <c r="G525" s="417"/>
      <c r="H525" s="417"/>
      <c r="I525" s="417"/>
      <c r="J525" s="417"/>
      <c r="K525" s="417"/>
      <c r="L525" s="417"/>
      <c r="M525" s="417"/>
      <c r="N525" s="417"/>
    </row>
    <row r="526" spans="1:23" ht="15" customHeight="1" x14ac:dyDescent="0.2">
      <c r="B526" s="417"/>
      <c r="C526" s="417"/>
      <c r="D526" s="441"/>
      <c r="E526" s="417"/>
      <c r="F526" s="770" t="str">
        <f>EUconst_MsgNextSheet</f>
        <v xml:space="preserve">&lt;&lt;&lt; Click here to proceed to next sheet &gt;&gt;&gt; </v>
      </c>
      <c r="G526" s="770"/>
      <c r="H526" s="770"/>
      <c r="I526" s="770"/>
      <c r="J526" s="770"/>
      <c r="K526" s="770"/>
      <c r="L526" s="770"/>
      <c r="M526" s="417"/>
      <c r="N526" s="417"/>
      <c r="P526" s="6"/>
      <c r="S526" s="359"/>
    </row>
    <row r="527" spans="1:23" x14ac:dyDescent="0.2">
      <c r="B527" s="417"/>
      <c r="C527" s="417"/>
      <c r="D527" s="441"/>
      <c r="E527" s="417"/>
      <c r="F527" s="417"/>
      <c r="G527" s="417"/>
      <c r="H527" s="417"/>
      <c r="I527" s="417"/>
      <c r="J527" s="417"/>
      <c r="K527" s="417"/>
      <c r="L527" s="417"/>
      <c r="M527" s="417"/>
      <c r="N527" s="417"/>
      <c r="O527" s="417"/>
      <c r="P527" s="453"/>
      <c r="Q527" s="453"/>
      <c r="R527" s="453"/>
      <c r="S527" s="453"/>
      <c r="T527" s="453"/>
      <c r="U527" s="453"/>
      <c r="V527" s="453"/>
      <c r="W527" s="453"/>
    </row>
  </sheetData>
  <sheetProtection sheet="1" objects="1" scenarios="1" formatCells="0" formatColumns="0" formatRows="0"/>
  <mergeCells count="569">
    <mergeCell ref="E453:N453"/>
    <mergeCell ref="E486:F486"/>
    <mergeCell ref="G481:N481"/>
    <mergeCell ref="D451:N451"/>
    <mergeCell ref="G482:N482"/>
    <mergeCell ref="G470:N470"/>
    <mergeCell ref="E470:F470"/>
    <mergeCell ref="E467:N467"/>
    <mergeCell ref="E462:F462"/>
    <mergeCell ref="E456:N456"/>
    <mergeCell ref="G458:N458"/>
    <mergeCell ref="E460:F460"/>
    <mergeCell ref="E475:F475"/>
    <mergeCell ref="G460:N460"/>
    <mergeCell ref="G465:N465"/>
    <mergeCell ref="G461:N461"/>
    <mergeCell ref="G463:N463"/>
    <mergeCell ref="E463:F463"/>
    <mergeCell ref="G475:N475"/>
    <mergeCell ref="E472:F472"/>
    <mergeCell ref="E459:F459"/>
    <mergeCell ref="G462:N462"/>
    <mergeCell ref="E465:F465"/>
    <mergeCell ref="G464:N464"/>
    <mergeCell ref="E473:F473"/>
    <mergeCell ref="E464:F464"/>
    <mergeCell ref="G459:N459"/>
    <mergeCell ref="G483:N483"/>
    <mergeCell ref="G473:N473"/>
    <mergeCell ref="G484:N484"/>
    <mergeCell ref="E476:F476"/>
    <mergeCell ref="E474:F474"/>
    <mergeCell ref="G480:N480"/>
    <mergeCell ref="G474:N474"/>
    <mergeCell ref="E480:F480"/>
    <mergeCell ref="E477:F477"/>
    <mergeCell ref="G476:N476"/>
    <mergeCell ref="E479:N479"/>
    <mergeCell ref="G477:N477"/>
    <mergeCell ref="E215:N215"/>
    <mergeCell ref="E186:N186"/>
    <mergeCell ref="F199:N199"/>
    <mergeCell ref="E187:N187"/>
    <mergeCell ref="F195:N195"/>
    <mergeCell ref="E189:N189"/>
    <mergeCell ref="D207:N207"/>
    <mergeCell ref="E210:N210"/>
    <mergeCell ref="F198:N198"/>
    <mergeCell ref="G82:G83"/>
    <mergeCell ref="F104:G104"/>
    <mergeCell ref="E166:N166"/>
    <mergeCell ref="D154:N154"/>
    <mergeCell ref="D130:N130"/>
    <mergeCell ref="D125:N125"/>
    <mergeCell ref="E159:N159"/>
    <mergeCell ref="E151:N151"/>
    <mergeCell ref="H137:J137"/>
    <mergeCell ref="M139:N139"/>
    <mergeCell ref="M135:N135"/>
    <mergeCell ref="E164:N164"/>
    <mergeCell ref="M137:N137"/>
    <mergeCell ref="E144:N144"/>
    <mergeCell ref="E143:N143"/>
    <mergeCell ref="D146:N146"/>
    <mergeCell ref="I118:K118"/>
    <mergeCell ref="M118:N118"/>
    <mergeCell ref="D131:N131"/>
    <mergeCell ref="D139:G139"/>
    <mergeCell ref="H139:L139"/>
    <mergeCell ref="E148:N148"/>
    <mergeCell ref="E152:N152"/>
    <mergeCell ref="D157:G157"/>
    <mergeCell ref="U82:U83"/>
    <mergeCell ref="H82:H83"/>
    <mergeCell ref="E93:N93"/>
    <mergeCell ref="U74:U75"/>
    <mergeCell ref="U76:U77"/>
    <mergeCell ref="T78:T79"/>
    <mergeCell ref="U78:U79"/>
    <mergeCell ref="L80:L81"/>
    <mergeCell ref="S82:S83"/>
    <mergeCell ref="T80:T81"/>
    <mergeCell ref="U80:U81"/>
    <mergeCell ref="S78:S79"/>
    <mergeCell ref="S80:S81"/>
    <mergeCell ref="E78:F79"/>
    <mergeCell ref="G78:G79"/>
    <mergeCell ref="G74:G75"/>
    <mergeCell ref="E80:F81"/>
    <mergeCell ref="G80:G81"/>
    <mergeCell ref="T82:T83"/>
    <mergeCell ref="H84:H85"/>
    <mergeCell ref="M84:M85"/>
    <mergeCell ref="L82:L83"/>
    <mergeCell ref="M82:M83"/>
    <mergeCell ref="N82:N83"/>
    <mergeCell ref="U84:U85"/>
    <mergeCell ref="L84:L85"/>
    <mergeCell ref="E91:I91"/>
    <mergeCell ref="J91:N91"/>
    <mergeCell ref="S84:S85"/>
    <mergeCell ref="G87:K89"/>
    <mergeCell ref="E471:F471"/>
    <mergeCell ref="D127:N127"/>
    <mergeCell ref="I117:K117"/>
    <mergeCell ref="T84:T85"/>
    <mergeCell ref="E92:N92"/>
    <mergeCell ref="N84:N85"/>
    <mergeCell ref="G84:G85"/>
    <mergeCell ref="E84:F85"/>
    <mergeCell ref="E455:N455"/>
    <mergeCell ref="C84:D85"/>
    <mergeCell ref="D171:G171"/>
    <mergeCell ref="F204:N204"/>
    <mergeCell ref="E177:N177"/>
    <mergeCell ref="F196:N196"/>
    <mergeCell ref="E182:N182"/>
    <mergeCell ref="E176:N176"/>
    <mergeCell ref="E185:N185"/>
    <mergeCell ref="F202:N202"/>
    <mergeCell ref="C58:D59"/>
    <mergeCell ref="N60:N61"/>
    <mergeCell ref="G58:G59"/>
    <mergeCell ref="F113:G113"/>
    <mergeCell ref="I113:K113"/>
    <mergeCell ref="M113:N113"/>
    <mergeCell ref="M105:N105"/>
    <mergeCell ref="C64:D65"/>
    <mergeCell ref="C66:D67"/>
    <mergeCell ref="C72:D73"/>
    <mergeCell ref="C60:D61"/>
    <mergeCell ref="F106:G106"/>
    <mergeCell ref="C76:D77"/>
    <mergeCell ref="C62:D63"/>
    <mergeCell ref="G72:G73"/>
    <mergeCell ref="G76:G77"/>
    <mergeCell ref="C80:D81"/>
    <mergeCell ref="E64:F65"/>
    <mergeCell ref="C68:D69"/>
    <mergeCell ref="C70:D71"/>
    <mergeCell ref="E72:F73"/>
    <mergeCell ref="C78:D79"/>
    <mergeCell ref="E82:F83"/>
    <mergeCell ref="C82:D83"/>
    <mergeCell ref="E3:F3"/>
    <mergeCell ref="I3:J3"/>
    <mergeCell ref="B2:D4"/>
    <mergeCell ref="K2:L2"/>
    <mergeCell ref="K4:L4"/>
    <mergeCell ref="M2:N2"/>
    <mergeCell ref="I2:J2"/>
    <mergeCell ref="M4:N4"/>
    <mergeCell ref="E4:F4"/>
    <mergeCell ref="E2:F2"/>
    <mergeCell ref="G2:H2"/>
    <mergeCell ref="G3:H3"/>
    <mergeCell ref="K3:L3"/>
    <mergeCell ref="M3:N3"/>
    <mergeCell ref="K8:N8"/>
    <mergeCell ref="E13:N13"/>
    <mergeCell ref="E12:N12"/>
    <mergeCell ref="E25:N25"/>
    <mergeCell ref="G4:H4"/>
    <mergeCell ref="I4:J4"/>
    <mergeCell ref="E15:N15"/>
    <mergeCell ref="E24:N24"/>
    <mergeCell ref="E20:N20"/>
    <mergeCell ref="E16:N16"/>
    <mergeCell ref="E22:N22"/>
    <mergeCell ref="E23:N23"/>
    <mergeCell ref="C6:K6"/>
    <mergeCell ref="L6:N6"/>
    <mergeCell ref="D10:N10"/>
    <mergeCell ref="E17:N17"/>
    <mergeCell ref="E18:N18"/>
    <mergeCell ref="E19:N19"/>
    <mergeCell ref="N62:N63"/>
    <mergeCell ref="E44:N44"/>
    <mergeCell ref="E47:N47"/>
    <mergeCell ref="E52:N52"/>
    <mergeCell ref="E53:N53"/>
    <mergeCell ref="E54:N54"/>
    <mergeCell ref="E56:N56"/>
    <mergeCell ref="E26:N26"/>
    <mergeCell ref="N78:N79"/>
    <mergeCell ref="M80:M81"/>
    <mergeCell ref="N80:N81"/>
    <mergeCell ref="H80:H81"/>
    <mergeCell ref="L78:L79"/>
    <mergeCell ref="M78:M79"/>
    <mergeCell ref="H78:H79"/>
    <mergeCell ref="H66:H67"/>
    <mergeCell ref="G66:G67"/>
    <mergeCell ref="L68:L69"/>
    <mergeCell ref="G70:G71"/>
    <mergeCell ref="H70:H71"/>
    <mergeCell ref="L66:L67"/>
    <mergeCell ref="E29:N29"/>
    <mergeCell ref="E27:N27"/>
    <mergeCell ref="E41:N41"/>
    <mergeCell ref="E51:N51"/>
    <mergeCell ref="E48:N48"/>
    <mergeCell ref="E46:N46"/>
    <mergeCell ref="J43:N43"/>
    <mergeCell ref="E40:N40"/>
    <mergeCell ref="E37:N37"/>
    <mergeCell ref="E28:N28"/>
    <mergeCell ref="E43:I43"/>
    <mergeCell ref="E36:N36"/>
    <mergeCell ref="E30:N30"/>
    <mergeCell ref="E35:N35"/>
    <mergeCell ref="E39:N39"/>
    <mergeCell ref="E38:N38"/>
    <mergeCell ref="E32:N32"/>
    <mergeCell ref="E34:N34"/>
    <mergeCell ref="E31:N31"/>
    <mergeCell ref="E33:N33"/>
    <mergeCell ref="E55:N55"/>
    <mergeCell ref="E49:N49"/>
    <mergeCell ref="E50:N50"/>
    <mergeCell ref="U68:U69"/>
    <mergeCell ref="T64:T65"/>
    <mergeCell ref="N64:N65"/>
    <mergeCell ref="S64:S65"/>
    <mergeCell ref="S66:S67"/>
    <mergeCell ref="S68:S69"/>
    <mergeCell ref="N66:N67"/>
    <mergeCell ref="H58:J58"/>
    <mergeCell ref="N58:N59"/>
    <mergeCell ref="H64:H65"/>
    <mergeCell ref="G68:G69"/>
    <mergeCell ref="G64:G65"/>
    <mergeCell ref="L64:L65"/>
    <mergeCell ref="U64:U65"/>
    <mergeCell ref="E58:F59"/>
    <mergeCell ref="H62:H63"/>
    <mergeCell ref="G62:G63"/>
    <mergeCell ref="L62:L63"/>
    <mergeCell ref="H60:H61"/>
    <mergeCell ref="L60:L61"/>
    <mergeCell ref="K58:K59"/>
    <mergeCell ref="L58:M58"/>
    <mergeCell ref="E62:F63"/>
    <mergeCell ref="U72:U73"/>
    <mergeCell ref="T70:T71"/>
    <mergeCell ref="S72:S73"/>
    <mergeCell ref="S70:S71"/>
    <mergeCell ref="U70:U71"/>
    <mergeCell ref="M70:M71"/>
    <mergeCell ref="N68:N69"/>
    <mergeCell ref="T68:T69"/>
    <mergeCell ref="M66:M67"/>
    <mergeCell ref="U66:U67"/>
    <mergeCell ref="T66:T67"/>
    <mergeCell ref="M68:M69"/>
    <mergeCell ref="H72:H73"/>
    <mergeCell ref="H76:H77"/>
    <mergeCell ref="L76:L77"/>
    <mergeCell ref="H74:H75"/>
    <mergeCell ref="L74:L75"/>
    <mergeCell ref="L72:L73"/>
    <mergeCell ref="M60:M61"/>
    <mergeCell ref="E66:F67"/>
    <mergeCell ref="E68:F69"/>
    <mergeCell ref="G60:G61"/>
    <mergeCell ref="E60:F61"/>
    <mergeCell ref="M64:M65"/>
    <mergeCell ref="H68:H69"/>
    <mergeCell ref="M62:M63"/>
    <mergeCell ref="E70:F71"/>
    <mergeCell ref="E74:F75"/>
    <mergeCell ref="E76:F77"/>
    <mergeCell ref="N70:N71"/>
    <mergeCell ref="L70:L71"/>
    <mergeCell ref="T72:T73"/>
    <mergeCell ref="N76:N77"/>
    <mergeCell ref="M72:M73"/>
    <mergeCell ref="N72:N73"/>
    <mergeCell ref="M76:M77"/>
    <mergeCell ref="S76:S77"/>
    <mergeCell ref="T76:T77"/>
    <mergeCell ref="N74:N75"/>
    <mergeCell ref="E137:G137"/>
    <mergeCell ref="C74:D75"/>
    <mergeCell ref="M74:M75"/>
    <mergeCell ref="M109:N109"/>
    <mergeCell ref="F118:G118"/>
    <mergeCell ref="M106:N106"/>
    <mergeCell ref="M108:N108"/>
    <mergeCell ref="F109:G109"/>
    <mergeCell ref="E95:N95"/>
    <mergeCell ref="F115:G115"/>
    <mergeCell ref="I115:K115"/>
    <mergeCell ref="M115:N115"/>
    <mergeCell ref="I116:K116"/>
    <mergeCell ref="G120:K122"/>
    <mergeCell ref="I103:K103"/>
    <mergeCell ref="M100:N100"/>
    <mergeCell ref="F101:G101"/>
    <mergeCell ref="E98:N98"/>
    <mergeCell ref="I100:K100"/>
    <mergeCell ref="E97:N97"/>
    <mergeCell ref="F100:G100"/>
    <mergeCell ref="F105:G105"/>
    <mergeCell ref="M114:N114"/>
    <mergeCell ref="M116:N116"/>
    <mergeCell ref="S74:S75"/>
    <mergeCell ref="T74:T75"/>
    <mergeCell ref="D128:N128"/>
    <mergeCell ref="F107:G107"/>
    <mergeCell ref="F114:G114"/>
    <mergeCell ref="I114:K114"/>
    <mergeCell ref="M107:N107"/>
    <mergeCell ref="I101:K101"/>
    <mergeCell ref="M101:N101"/>
    <mergeCell ref="E96:N96"/>
    <mergeCell ref="F102:G102"/>
    <mergeCell ref="I102:K102"/>
    <mergeCell ref="M102:N102"/>
    <mergeCell ref="I104:K104"/>
    <mergeCell ref="M104:N104"/>
    <mergeCell ref="F103:G103"/>
    <mergeCell ref="M103:N103"/>
    <mergeCell ref="M117:N117"/>
    <mergeCell ref="I107:K107"/>
    <mergeCell ref="F116:G116"/>
    <mergeCell ref="I105:K105"/>
    <mergeCell ref="I106:K106"/>
    <mergeCell ref="M111:N111"/>
    <mergeCell ref="I110:K110"/>
    <mergeCell ref="D135:G135"/>
    <mergeCell ref="F111:G111"/>
    <mergeCell ref="I108:K108"/>
    <mergeCell ref="F112:G112"/>
    <mergeCell ref="M110:N110"/>
    <mergeCell ref="M112:N112"/>
    <mergeCell ref="I112:K112"/>
    <mergeCell ref="I109:K109"/>
    <mergeCell ref="F110:G110"/>
    <mergeCell ref="D129:N129"/>
    <mergeCell ref="H135:L135"/>
    <mergeCell ref="I111:K111"/>
    <mergeCell ref="F117:G117"/>
    <mergeCell ref="F108:G108"/>
    <mergeCell ref="M141:N141"/>
    <mergeCell ref="E160:N160"/>
    <mergeCell ref="E165:N165"/>
    <mergeCell ref="H141:J141"/>
    <mergeCell ref="F149:N149"/>
    <mergeCell ref="F192:N192"/>
    <mergeCell ref="D180:N180"/>
    <mergeCell ref="E209:N209"/>
    <mergeCell ref="E213:N213"/>
    <mergeCell ref="E141:G141"/>
    <mergeCell ref="E190:N190"/>
    <mergeCell ref="F201:N201"/>
    <mergeCell ref="E183:N183"/>
    <mergeCell ref="F193:N193"/>
    <mergeCell ref="E178:N178"/>
    <mergeCell ref="F205:N205"/>
    <mergeCell ref="E211:N211"/>
    <mergeCell ref="E214:N214"/>
    <mergeCell ref="E454:N454"/>
    <mergeCell ref="F526:L526"/>
    <mergeCell ref="E468:N468"/>
    <mergeCell ref="G472:N472"/>
    <mergeCell ref="G471:N471"/>
    <mergeCell ref="G486:N486"/>
    <mergeCell ref="E461:F461"/>
    <mergeCell ref="G493:N493"/>
    <mergeCell ref="E483:F483"/>
    <mergeCell ref="E458:F458"/>
    <mergeCell ref="E492:F492"/>
    <mergeCell ref="G492:N492"/>
    <mergeCell ref="G491:N491"/>
    <mergeCell ref="E490:F490"/>
    <mergeCell ref="G490:N490"/>
    <mergeCell ref="E484:F484"/>
    <mergeCell ref="E481:F481"/>
    <mergeCell ref="E485:F485"/>
    <mergeCell ref="E482:F482"/>
    <mergeCell ref="E487:F487"/>
    <mergeCell ref="G495:N495"/>
    <mergeCell ref="E500:F500"/>
    <mergeCell ref="G485:N485"/>
    <mergeCell ref="E499:N499"/>
    <mergeCell ref="E503:F503"/>
    <mergeCell ref="E502:F502"/>
    <mergeCell ref="E497:F497"/>
    <mergeCell ref="E495:F495"/>
    <mergeCell ref="G487:N487"/>
    <mergeCell ref="E496:F496"/>
    <mergeCell ref="E494:F494"/>
    <mergeCell ref="E491:F491"/>
    <mergeCell ref="E493:F493"/>
    <mergeCell ref="E489:N489"/>
    <mergeCell ref="G494:N494"/>
    <mergeCell ref="E501:F501"/>
    <mergeCell ref="G496:N496"/>
    <mergeCell ref="G497:N497"/>
    <mergeCell ref="G501:N501"/>
    <mergeCell ref="E510:N510"/>
    <mergeCell ref="E509:N509"/>
    <mergeCell ref="E513:F513"/>
    <mergeCell ref="G505:N505"/>
    <mergeCell ref="G522:K524"/>
    <mergeCell ref="G500:N500"/>
    <mergeCell ref="E519:F519"/>
    <mergeCell ref="G519:N519"/>
    <mergeCell ref="G503:N503"/>
    <mergeCell ref="E514:F514"/>
    <mergeCell ref="G513:N513"/>
    <mergeCell ref="G516:N516"/>
    <mergeCell ref="E504:F504"/>
    <mergeCell ref="E505:F505"/>
    <mergeCell ref="E517:F517"/>
    <mergeCell ref="E506:F506"/>
    <mergeCell ref="E512:F512"/>
    <mergeCell ref="G514:N514"/>
    <mergeCell ref="G507:N507"/>
    <mergeCell ref="G515:N515"/>
    <mergeCell ref="E511:F511"/>
    <mergeCell ref="G518:N518"/>
    <mergeCell ref="G502:N502"/>
    <mergeCell ref="G504:N504"/>
    <mergeCell ref="G506:N506"/>
    <mergeCell ref="G517:N517"/>
    <mergeCell ref="E507:F507"/>
    <mergeCell ref="E520:F520"/>
    <mergeCell ref="G520:N520"/>
    <mergeCell ref="G512:N512"/>
    <mergeCell ref="E518:F518"/>
    <mergeCell ref="G511:N511"/>
    <mergeCell ref="D357:N357"/>
    <mergeCell ref="E234:N234"/>
    <mergeCell ref="E235:N235"/>
    <mergeCell ref="E341:N341"/>
    <mergeCell ref="D343:N343"/>
    <mergeCell ref="E349:N349"/>
    <mergeCell ref="E350:N350"/>
    <mergeCell ref="D218:G218"/>
    <mergeCell ref="H218:L218"/>
    <mergeCell ref="M218:N218"/>
    <mergeCell ref="E220:G220"/>
    <mergeCell ref="H220:J220"/>
    <mergeCell ref="M220:N220"/>
    <mergeCell ref="D222:N222"/>
    <mergeCell ref="E225:N225"/>
    <mergeCell ref="D241:N241"/>
    <mergeCell ref="E243:N243"/>
    <mergeCell ref="E244:N244"/>
    <mergeCell ref="E246:N246"/>
    <mergeCell ref="E247:N247"/>
    <mergeCell ref="E248:N248"/>
    <mergeCell ref="D227:N227"/>
    <mergeCell ref="E233:N233"/>
    <mergeCell ref="E351:N351"/>
    <mergeCell ref="E250:N250"/>
    <mergeCell ref="F252:N252"/>
    <mergeCell ref="F253:N253"/>
    <mergeCell ref="F255:N255"/>
    <mergeCell ref="F256:N256"/>
    <mergeCell ref="D338:N338"/>
    <mergeCell ref="F258:N258"/>
    <mergeCell ref="F259:N259"/>
    <mergeCell ref="F261:N261"/>
    <mergeCell ref="F262:N262"/>
    <mergeCell ref="E273:N273"/>
    <mergeCell ref="D276:G276"/>
    <mergeCell ref="H276:L276"/>
    <mergeCell ref="M276:N276"/>
    <mergeCell ref="E278:G278"/>
    <mergeCell ref="H278:J278"/>
    <mergeCell ref="M278:N278"/>
    <mergeCell ref="F264:N264"/>
    <mergeCell ref="F265:N265"/>
    <mergeCell ref="D267:N267"/>
    <mergeCell ref="E269:N269"/>
    <mergeCell ref="E271:N271"/>
    <mergeCell ref="E272:N272"/>
    <mergeCell ref="D280:N280"/>
    <mergeCell ref="E283:N283"/>
    <mergeCell ref="D285:N285"/>
    <mergeCell ref="E291:N291"/>
    <mergeCell ref="E292:N292"/>
    <mergeCell ref="E293:N293"/>
    <mergeCell ref="E336:G336"/>
    <mergeCell ref="H336:J336"/>
    <mergeCell ref="M336:N336"/>
    <mergeCell ref="E308:N308"/>
    <mergeCell ref="F310:N310"/>
    <mergeCell ref="F311:N311"/>
    <mergeCell ref="F313:N313"/>
    <mergeCell ref="F314:N314"/>
    <mergeCell ref="F316:N316"/>
    <mergeCell ref="D299:N299"/>
    <mergeCell ref="E301:N301"/>
    <mergeCell ref="E302:N302"/>
    <mergeCell ref="E304:N304"/>
    <mergeCell ref="E305:N305"/>
    <mergeCell ref="E306:N306"/>
    <mergeCell ref="E327:N327"/>
    <mergeCell ref="E329:N329"/>
    <mergeCell ref="E330:N330"/>
    <mergeCell ref="E331:N331"/>
    <mergeCell ref="D334:G334"/>
    <mergeCell ref="H334:L334"/>
    <mergeCell ref="M334:N334"/>
    <mergeCell ref="F317:N317"/>
    <mergeCell ref="F319:N319"/>
    <mergeCell ref="F320:N320"/>
    <mergeCell ref="F322:N322"/>
    <mergeCell ref="F323:N323"/>
    <mergeCell ref="D325:N325"/>
    <mergeCell ref="F378:N378"/>
    <mergeCell ref="F380:N380"/>
    <mergeCell ref="E366:N366"/>
    <mergeCell ref="F374:N374"/>
    <mergeCell ref="F375:N375"/>
    <mergeCell ref="F381:N381"/>
    <mergeCell ref="F377:N377"/>
    <mergeCell ref="E359:N359"/>
    <mergeCell ref="E360:N360"/>
    <mergeCell ref="F368:N368"/>
    <mergeCell ref="F369:N369"/>
    <mergeCell ref="F371:N371"/>
    <mergeCell ref="F372:N372"/>
    <mergeCell ref="E362:N362"/>
    <mergeCell ref="E363:N363"/>
    <mergeCell ref="E364:N364"/>
    <mergeCell ref="E394:G394"/>
    <mergeCell ref="H394:J394"/>
    <mergeCell ref="M394:N394"/>
    <mergeCell ref="D396:N396"/>
    <mergeCell ref="E399:N399"/>
    <mergeCell ref="D401:N401"/>
    <mergeCell ref="D383:N383"/>
    <mergeCell ref="E385:N385"/>
    <mergeCell ref="E387:N387"/>
    <mergeCell ref="E388:N388"/>
    <mergeCell ref="E389:N389"/>
    <mergeCell ref="D392:G392"/>
    <mergeCell ref="H392:L392"/>
    <mergeCell ref="M392:N392"/>
    <mergeCell ref="E420:N420"/>
    <mergeCell ref="E421:N421"/>
    <mergeCell ref="E422:N422"/>
    <mergeCell ref="E424:N424"/>
    <mergeCell ref="F426:N426"/>
    <mergeCell ref="F427:N427"/>
    <mergeCell ref="E407:N407"/>
    <mergeCell ref="E408:N408"/>
    <mergeCell ref="E409:N409"/>
    <mergeCell ref="D415:N415"/>
    <mergeCell ref="E417:N417"/>
    <mergeCell ref="E418:N418"/>
    <mergeCell ref="E447:N447"/>
    <mergeCell ref="F438:N438"/>
    <mergeCell ref="F439:N439"/>
    <mergeCell ref="D441:N441"/>
    <mergeCell ref="E443:N443"/>
    <mergeCell ref="E445:N445"/>
    <mergeCell ref="E446:N446"/>
    <mergeCell ref="F429:N429"/>
    <mergeCell ref="F430:N430"/>
    <mergeCell ref="F432:N432"/>
    <mergeCell ref="F433:N433"/>
    <mergeCell ref="F435:N435"/>
    <mergeCell ref="F436:N436"/>
  </mergeCells>
  <phoneticPr fontId="39" type="noConversion"/>
  <conditionalFormatting sqref="G490:G497 G500:G507 G480:G487 G458:G465 G470:G477">
    <cfRule type="expression" dxfId="83" priority="44" stopIfTrue="1">
      <formula>($R$13=2)</formula>
    </cfRule>
  </conditionalFormatting>
  <conditionalFormatting sqref="J91:N91">
    <cfRule type="expression" dxfId="82" priority="46" stopIfTrue="1">
      <formula>($Y$6=TRUE)</formula>
    </cfRule>
    <cfRule type="expression" dxfId="81" priority="47" stopIfTrue="1">
      <formula>($W$91=TRUE)</formula>
    </cfRule>
  </conditionalFormatting>
  <conditionalFormatting sqref="F103:N118">
    <cfRule type="expression" dxfId="80" priority="49" stopIfTrue="1">
      <formula>($Y$6=TRUE)</formula>
    </cfRule>
  </conditionalFormatting>
  <conditionalFormatting sqref="E22:N41 J43:N43 E64:N85">
    <cfRule type="expression" dxfId="79" priority="48" stopIfTrue="1">
      <formula>($Y$6=TRUE)</formula>
    </cfRule>
  </conditionalFormatting>
  <dataValidations count="5">
    <dataValidation type="list" allowBlank="1" showInputMessage="1" showErrorMessage="1" sqref="H169 H238 H296 H354 H412" xr:uid="{00000000-0002-0000-0700-000000000000}">
      <formula1>MeasurementTiers</formula1>
    </dataValidation>
    <dataValidation type="list" allowBlank="1" showInputMessage="1" showErrorMessage="1" sqref="H156:L156 H229:L229 H287:L287 H345:L345 H403:L403" xr:uid="{00000000-0002-0000-0700-000001000000}">
      <formula1>CNTR_MeasurementInstrumentListMx</formula1>
    </dataValidation>
    <dataValidation type="list" allowBlank="1" showInputMessage="1" showErrorMessage="1" sqref="H141 H137 H220 H278 H336 H394" xr:uid="{00000000-0002-0000-0700-000002000000}">
      <formula1>OperationType</formula1>
    </dataValidation>
    <dataValidation type="list" allowBlank="1" showInputMessage="1" showErrorMessage="1" sqref="L101:L118" xr:uid="{00000000-0002-0000-0700-000003000000}">
      <formula1>EUconst_TrueFalse</formula1>
    </dataValidation>
    <dataValidation allowBlank="1" showInputMessage="1" sqref="G104:G117 F103:F117 F118:G118" xr:uid="{00000000-0002-0000-0700-000004000000}"/>
  </dataValidations>
  <hyperlinks>
    <hyperlink ref="E4:F4" location="JUMP_F_Bottom" display="End of sheet" xr:uid="{00000000-0004-0000-0700-000000000000}"/>
    <hyperlink ref="G2:H2" location="JUMP_a_Content" display="Table of contents" xr:uid="{00000000-0004-0000-0700-000001000000}"/>
    <hyperlink ref="I2:J2" location="JUMP_E_Top" display="Previous sheet" xr:uid="{00000000-0004-0000-0700-000002000000}"/>
    <hyperlink ref="K2:L2" location="JUMP_G_Top" display="Next sheet" xr:uid="{00000000-0004-0000-0700-000003000000}"/>
    <hyperlink ref="E3:F3" location="JUMP_F_Top" display="Top of sheet" xr:uid="{00000000-0004-0000-0700-000004000000}"/>
    <hyperlink ref="F526:L526" location="JUMP_E_Top" display="JUMP_E_Top" xr:uid="{00000000-0004-0000-0700-000005000000}"/>
    <hyperlink ref="G3:H3" location="JUMP_F_9" display="Measurement of emissions" xr:uid="{00000000-0004-0000-0700-000006000000}"/>
    <hyperlink ref="I3:J3" location="JUMP_F_10" display="Measurement points" xr:uid="{00000000-0004-0000-0700-000007000000}"/>
    <hyperlink ref="G4:H4" location="JUMP_F_11" display="JUMP_F_11" xr:uid="{00000000-0004-0000-0700-000008000000}"/>
  </hyperlinks>
  <pageMargins left="0.78740157480314965" right="0.78740157480314965" top="0.78740157480314965" bottom="0.78740157480314965" header="0.39370078740157483" footer="0.39370078740157483"/>
  <pageSetup paperSize="9" scale="61" fitToHeight="20" orientation="portrait" r:id="rId1"/>
  <headerFooter alignWithMargins="0">
    <oddHeader>&amp;L&amp;F, &amp;A&amp;R&amp;D, &amp;T</oddHeader>
    <oddFooter>&amp;C&amp;P / &amp;N</oddFooter>
  </headerFooter>
  <rowBreaks count="2" manualBreakCount="2">
    <brk id="452" min="1" max="13" man="1"/>
    <brk id="498" max="1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indexed="10"/>
    <pageSetUpPr fitToPage="1"/>
  </sheetPr>
  <dimension ref="A1:O86"/>
  <sheetViews>
    <sheetView workbookViewId="0">
      <pane ySplit="4" topLeftCell="A5" activePane="bottomLeft" state="frozen"/>
      <selection activeCell="B2" sqref="B2"/>
      <selection pane="bottomLeft" activeCell="B2" sqref="B2:D4"/>
    </sheetView>
  </sheetViews>
  <sheetFormatPr defaultColWidth="9.140625" defaultRowHeight="12.75" x14ac:dyDescent="0.2"/>
  <cols>
    <col min="1" max="1" width="3.42578125" style="8" hidden="1" customWidth="1"/>
    <col min="2" max="2" width="3.42578125" style="8" customWidth="1"/>
    <col min="3" max="4" width="4.7109375" style="8" customWidth="1"/>
    <col min="5" max="14" width="12.7109375" style="8" customWidth="1"/>
    <col min="15" max="15" width="4.7109375" style="8" customWidth="1"/>
    <col min="16" max="16384" width="9.140625" style="8"/>
  </cols>
  <sheetData>
    <row r="1" spans="1:15" ht="13.5" hidden="1" thickBot="1" x14ac:dyDescent="0.25">
      <c r="A1" s="12" t="s">
        <v>1090</v>
      </c>
      <c r="B1" s="72"/>
      <c r="C1" s="72"/>
      <c r="D1" s="75"/>
      <c r="E1" s="72"/>
      <c r="F1" s="72"/>
      <c r="G1" s="72"/>
      <c r="H1" s="72"/>
      <c r="I1" s="72"/>
      <c r="J1" s="72"/>
      <c r="K1" s="72"/>
      <c r="L1" s="72"/>
      <c r="M1" s="72"/>
      <c r="N1" s="72"/>
      <c r="O1" s="72"/>
    </row>
    <row r="2" spans="1:15" ht="13.5" customHeight="1" thickBot="1" x14ac:dyDescent="0.25">
      <c r="A2" s="12"/>
      <c r="B2" s="803" t="str">
        <f>Translations!$B$621</f>
        <v>G. Fall-back approaches</v>
      </c>
      <c r="C2" s="804"/>
      <c r="D2" s="805"/>
      <c r="E2" s="814" t="str">
        <f>Translations!$B$59</f>
        <v>Navigation area:</v>
      </c>
      <c r="F2" s="780"/>
      <c r="G2" s="771" t="str">
        <f>Translations!$B$60</f>
        <v>Table of contents</v>
      </c>
      <c r="H2" s="772"/>
      <c r="I2" s="771" t="str">
        <f>Translations!$B$61</f>
        <v>Previous sheet</v>
      </c>
      <c r="J2" s="772"/>
      <c r="K2" s="771" t="str">
        <f>Translations!$B$62</f>
        <v>Next sheet</v>
      </c>
      <c r="L2" s="772"/>
      <c r="M2" s="773"/>
      <c r="N2" s="774"/>
      <c r="O2" s="7"/>
    </row>
    <row r="3" spans="1:15" ht="12.75" customHeight="1" x14ac:dyDescent="0.2">
      <c r="A3" s="12"/>
      <c r="B3" s="806"/>
      <c r="C3" s="807"/>
      <c r="D3" s="808"/>
      <c r="E3" s="776" t="str">
        <f>Translations!$B$63</f>
        <v>Top of sheet</v>
      </c>
      <c r="F3" s="776"/>
      <c r="G3" s="776"/>
      <c r="H3" s="776"/>
      <c r="I3" s="776"/>
      <c r="J3" s="776"/>
      <c r="K3" s="776"/>
      <c r="L3" s="776"/>
      <c r="M3" s="1131"/>
      <c r="N3" s="778"/>
      <c r="O3" s="7"/>
    </row>
    <row r="4" spans="1:15" ht="13.5" customHeight="1" thickBot="1" x14ac:dyDescent="0.25">
      <c r="A4" s="12"/>
      <c r="B4" s="809"/>
      <c r="C4" s="810"/>
      <c r="D4" s="811"/>
      <c r="E4" s="776" t="str">
        <f>Translations!$B$64</f>
        <v>End of sheet</v>
      </c>
      <c r="F4" s="776"/>
      <c r="G4" s="776"/>
      <c r="H4" s="776"/>
      <c r="I4" s="776"/>
      <c r="J4" s="776"/>
      <c r="K4" s="776"/>
      <c r="L4" s="776"/>
      <c r="M4" s="1131"/>
      <c r="N4" s="778"/>
      <c r="O4" s="7"/>
    </row>
    <row r="5" spans="1:15" ht="12.75" customHeight="1" thickBot="1" x14ac:dyDescent="0.25">
      <c r="A5" s="65"/>
      <c r="C5" s="9"/>
      <c r="D5" s="10"/>
      <c r="F5" s="10"/>
      <c r="G5" s="10"/>
      <c r="H5" s="10"/>
      <c r="M5" s="7"/>
      <c r="N5" s="7"/>
      <c r="O5" s="7"/>
    </row>
    <row r="6" spans="1:15" s="184" customFormat="1" ht="25.5" customHeight="1" thickBot="1" x14ac:dyDescent="0.25">
      <c r="A6" s="248"/>
      <c r="B6" s="34"/>
      <c r="C6" s="812" t="str">
        <f>Translations!$B$24</f>
        <v>G. Fall-back Approaches</v>
      </c>
      <c r="D6" s="812"/>
      <c r="E6" s="812"/>
      <c r="F6" s="812"/>
      <c r="G6" s="812"/>
      <c r="H6" s="812"/>
      <c r="I6" s="812"/>
      <c r="J6" s="812"/>
      <c r="K6" s="812"/>
      <c r="L6" s="1000" t="str">
        <f>IF(AND(NOT(ISBLANK(CNTR_InstHasFallBack)), CNTR_InstHasFallBack=FALSE),EUconst_NotRelevant,EUconst_Relevant)</f>
        <v>relevant</v>
      </c>
      <c r="M6" s="1001"/>
      <c r="N6" s="1002"/>
      <c r="O6" s="36"/>
    </row>
    <row r="7" spans="1:15" s="184" customFormat="1" ht="5.0999999999999996" customHeight="1" x14ac:dyDescent="0.2">
      <c r="A7" s="248"/>
      <c r="B7" s="34"/>
      <c r="C7" s="216"/>
      <c r="D7" s="221"/>
      <c r="E7" s="216"/>
      <c r="F7" s="216"/>
      <c r="G7" s="216"/>
      <c r="H7" s="216"/>
      <c r="I7" s="216"/>
      <c r="J7" s="216"/>
      <c r="K7" s="216"/>
      <c r="L7" s="219"/>
      <c r="M7" s="219"/>
      <c r="N7" s="219"/>
      <c r="O7" s="36"/>
    </row>
    <row r="8" spans="1:15" x14ac:dyDescent="0.2">
      <c r="A8" s="65"/>
      <c r="D8" s="10"/>
      <c r="K8" s="918" t="str">
        <f>IF(L6=EUconst_NotRelevant,HYPERLINK("#JUMP_H_Top",EUconst_MsgNextSheet),HYPERLINK("",EUconst_MsgEnterThisSection))</f>
        <v>Please enter data in this section</v>
      </c>
      <c r="L8" s="918"/>
      <c r="M8" s="918"/>
      <c r="N8" s="918"/>
    </row>
    <row r="9" spans="1:15" ht="5.0999999999999996" customHeight="1" x14ac:dyDescent="0.2">
      <c r="A9" s="250"/>
      <c r="B9" s="13"/>
      <c r="C9" s="13"/>
      <c r="D9" s="439"/>
      <c r="E9" s="411"/>
      <c r="F9" s="7"/>
      <c r="G9" s="411"/>
      <c r="H9" s="411"/>
      <c r="I9" s="411"/>
      <c r="J9" s="411"/>
      <c r="K9" s="411"/>
      <c r="L9" s="411"/>
      <c r="M9" s="411"/>
      <c r="N9" s="411"/>
      <c r="O9" s="417"/>
    </row>
    <row r="10" spans="1:15" ht="15.75" x14ac:dyDescent="0.2">
      <c r="A10" s="65"/>
      <c r="B10" s="411"/>
      <c r="C10" s="90">
        <v>12</v>
      </c>
      <c r="D10" s="1134" t="str">
        <f>Translations!$B$25</f>
        <v>Description of the Fall-back approach</v>
      </c>
      <c r="E10" s="732"/>
      <c r="F10" s="732"/>
      <c r="G10" s="732"/>
      <c r="H10" s="732"/>
      <c r="I10" s="732"/>
      <c r="J10" s="732"/>
      <c r="K10" s="732"/>
      <c r="L10" s="732"/>
      <c r="M10" s="732"/>
      <c r="N10" s="732"/>
      <c r="O10" s="417"/>
    </row>
    <row r="11" spans="1:15" ht="9" customHeight="1" x14ac:dyDescent="0.2">
      <c r="A11" s="65"/>
      <c r="B11" s="417"/>
      <c r="C11" s="417"/>
      <c r="D11" s="417"/>
      <c r="E11" s="417"/>
      <c r="F11" s="417"/>
      <c r="G11" s="417"/>
      <c r="H11" s="417"/>
      <c r="I11" s="417"/>
      <c r="J11" s="417"/>
      <c r="K11" s="417"/>
      <c r="L11" s="417"/>
      <c r="M11" s="417"/>
      <c r="N11" s="417"/>
      <c r="O11" s="417"/>
    </row>
    <row r="12" spans="1:15" ht="36.75" customHeight="1" x14ac:dyDescent="0.2">
      <c r="A12" s="65"/>
      <c r="B12" s="328"/>
      <c r="C12" s="1135" t="str">
        <f>Translations!$B$622</f>
        <v>Article 22 of the MRR provides that an operator may use a methodology that is not based on tiers for selected source streams or emission sources, where certain criteria set out in that article are met.  Please complete this section if you propose to apply such a fall-back approach to any source streams or emission sources.  Your competent authority may ask for further information to justify this approach.</v>
      </c>
      <c r="D12" s="1136"/>
      <c r="E12" s="1136"/>
      <c r="F12" s="1136"/>
      <c r="G12" s="1136"/>
      <c r="H12" s="1136"/>
      <c r="I12" s="1136"/>
      <c r="J12" s="1136"/>
      <c r="K12" s="1136"/>
      <c r="L12" s="1136"/>
      <c r="M12" s="1136"/>
      <c r="N12" s="1136"/>
      <c r="O12" s="417"/>
    </row>
    <row r="13" spans="1:15" ht="8.25" customHeight="1" x14ac:dyDescent="0.2">
      <c r="A13" s="65"/>
      <c r="B13" s="417"/>
      <c r="C13" s="417"/>
      <c r="D13" s="417"/>
      <c r="E13" s="1137"/>
      <c r="F13" s="1137"/>
      <c r="G13" s="1137"/>
      <c r="H13" s="1137"/>
      <c r="I13" s="1137"/>
      <c r="J13" s="1137"/>
      <c r="K13" s="1137"/>
      <c r="L13" s="1137"/>
      <c r="M13" s="1137"/>
      <c r="N13" s="1137"/>
      <c r="O13" s="417"/>
    </row>
    <row r="14" spans="1:15" ht="26.25" customHeight="1" x14ac:dyDescent="0.2">
      <c r="A14" s="65"/>
      <c r="B14" s="14"/>
      <c r="C14" s="14"/>
      <c r="D14" s="13" t="s">
        <v>1018</v>
      </c>
      <c r="E14" s="717" t="str">
        <f>Translations!$B$623</f>
        <v>Where a fall-back monitoring methodology is applied in accordance with Article 22 of the MRR, please provide a detailed description of the monitoring methodology applied for all source streams or emission sources, for which no tier approach is used.</v>
      </c>
      <c r="F14" s="732"/>
      <c r="G14" s="732"/>
      <c r="H14" s="732"/>
      <c r="I14" s="732"/>
      <c r="J14" s="732"/>
      <c r="K14" s="732"/>
      <c r="L14" s="732"/>
      <c r="M14" s="732"/>
      <c r="N14" s="732"/>
      <c r="O14" s="417"/>
    </row>
    <row r="15" spans="1:15" s="316" customFormat="1" ht="12.75" customHeight="1" x14ac:dyDescent="0.2">
      <c r="A15" s="72"/>
      <c r="B15" s="417"/>
      <c r="C15" s="417"/>
      <c r="D15" s="337"/>
      <c r="E15" s="869" t="str">
        <f>Translations!$B$624</f>
        <v>Please provide a concise description of the monitoring approach, including formulae, used to determine your annual CO2 or CO2(e) emissions in the text box below.</v>
      </c>
      <c r="F15" s="869"/>
      <c r="G15" s="869"/>
      <c r="H15" s="869"/>
      <c r="I15" s="869"/>
      <c r="J15" s="869"/>
      <c r="K15" s="869"/>
      <c r="L15" s="869"/>
      <c r="M15" s="869"/>
      <c r="N15" s="869"/>
      <c r="O15" s="8"/>
    </row>
    <row r="16" spans="1:15" s="316" customFormat="1" ht="25.5" customHeight="1" x14ac:dyDescent="0.2">
      <c r="A16" s="72"/>
      <c r="B16" s="417"/>
      <c r="C16" s="417"/>
      <c r="D16" s="337"/>
      <c r="E16" s="869" t="str">
        <f>Translations!$B$338</f>
        <v>If the description is too complex, e.g. complex formulas are applied, you may provide the description in a separate document using a file format acceptable for the CA. In this case please reference this file here, by using the file name and date.</v>
      </c>
      <c r="F16" s="869"/>
      <c r="G16" s="869"/>
      <c r="H16" s="869"/>
      <c r="I16" s="869"/>
      <c r="J16" s="869"/>
      <c r="K16" s="869"/>
      <c r="L16" s="869"/>
      <c r="M16" s="869"/>
      <c r="N16" s="869"/>
      <c r="O16" s="8"/>
    </row>
    <row r="17" spans="1:15" s="112" customFormat="1" ht="25.5" customHeight="1" x14ac:dyDescent="0.2">
      <c r="A17" s="65"/>
      <c r="C17" s="331"/>
      <c r="E17" s="869" t="str">
        <f>Translations!$B$195</f>
        <v>This description should provide the linking information which is needed to understand, how the information given in other parts of this template are used together for calculating the emissions. It may be as short as the given example in sheet D_CalculationBasedApproaches, section 7(a).</v>
      </c>
      <c r="F17" s="869"/>
      <c r="G17" s="869"/>
      <c r="H17" s="869"/>
      <c r="I17" s="869"/>
      <c r="J17" s="869"/>
      <c r="K17" s="869"/>
      <c r="L17" s="869"/>
      <c r="M17" s="869"/>
      <c r="N17" s="869"/>
    </row>
    <row r="18" spans="1:15" ht="5.0999999999999996" customHeight="1" x14ac:dyDescent="0.2">
      <c r="A18" s="65"/>
      <c r="B18" s="417"/>
      <c r="C18" s="444"/>
      <c r="D18" s="444"/>
      <c r="E18" s="444"/>
      <c r="F18" s="444"/>
      <c r="G18" s="444"/>
      <c r="H18" s="444"/>
      <c r="I18" s="444"/>
      <c r="J18" s="444"/>
      <c r="K18" s="417"/>
      <c r="L18" s="417"/>
      <c r="M18" s="417"/>
      <c r="N18" s="417"/>
      <c r="O18" s="417"/>
    </row>
    <row r="19" spans="1:15" x14ac:dyDescent="0.2">
      <c r="A19" s="65"/>
      <c r="B19" s="417"/>
      <c r="C19" s="444"/>
      <c r="D19" s="444"/>
      <c r="E19" s="1133"/>
      <c r="F19" s="955"/>
      <c r="G19" s="955"/>
      <c r="H19" s="955"/>
      <c r="I19" s="955"/>
      <c r="J19" s="955"/>
      <c r="K19" s="955"/>
      <c r="L19" s="955"/>
      <c r="M19" s="955"/>
      <c r="N19" s="956"/>
      <c r="O19" s="417"/>
    </row>
    <row r="20" spans="1:15" x14ac:dyDescent="0.2">
      <c r="A20" s="65"/>
      <c r="B20" s="417"/>
      <c r="C20" s="444"/>
      <c r="D20" s="444"/>
      <c r="E20" s="1132"/>
      <c r="F20" s="958"/>
      <c r="G20" s="958"/>
      <c r="H20" s="958"/>
      <c r="I20" s="958"/>
      <c r="J20" s="958"/>
      <c r="K20" s="958"/>
      <c r="L20" s="958"/>
      <c r="M20" s="958"/>
      <c r="N20" s="959"/>
      <c r="O20" s="417"/>
    </row>
    <row r="21" spans="1:15" x14ac:dyDescent="0.2">
      <c r="A21" s="65"/>
      <c r="B21" s="417"/>
      <c r="C21" s="444"/>
      <c r="D21" s="444"/>
      <c r="E21" s="1132"/>
      <c r="F21" s="958"/>
      <c r="G21" s="958"/>
      <c r="H21" s="958"/>
      <c r="I21" s="958"/>
      <c r="J21" s="958"/>
      <c r="K21" s="958"/>
      <c r="L21" s="958"/>
      <c r="M21" s="958"/>
      <c r="N21" s="959"/>
      <c r="O21" s="417"/>
    </row>
    <row r="22" spans="1:15" x14ac:dyDescent="0.2">
      <c r="A22" s="65"/>
      <c r="B22" s="417"/>
      <c r="C22" s="444"/>
      <c r="D22" s="444"/>
      <c r="E22" s="1132"/>
      <c r="F22" s="958"/>
      <c r="G22" s="958"/>
      <c r="H22" s="958"/>
      <c r="I22" s="958"/>
      <c r="J22" s="958"/>
      <c r="K22" s="958"/>
      <c r="L22" s="958"/>
      <c r="M22" s="958"/>
      <c r="N22" s="959"/>
      <c r="O22" s="417"/>
    </row>
    <row r="23" spans="1:15" x14ac:dyDescent="0.2">
      <c r="A23" s="65"/>
      <c r="B23" s="417"/>
      <c r="C23" s="444"/>
      <c r="D23" s="444"/>
      <c r="E23" s="1132"/>
      <c r="F23" s="958"/>
      <c r="G23" s="958"/>
      <c r="H23" s="958"/>
      <c r="I23" s="958"/>
      <c r="J23" s="958"/>
      <c r="K23" s="958"/>
      <c r="L23" s="958"/>
      <c r="M23" s="958"/>
      <c r="N23" s="959"/>
      <c r="O23" s="417"/>
    </row>
    <row r="24" spans="1:15" x14ac:dyDescent="0.2">
      <c r="A24" s="65"/>
      <c r="B24" s="417"/>
      <c r="C24" s="444"/>
      <c r="D24" s="444"/>
      <c r="E24" s="1132"/>
      <c r="F24" s="958"/>
      <c r="G24" s="958"/>
      <c r="H24" s="958"/>
      <c r="I24" s="958"/>
      <c r="J24" s="958"/>
      <c r="K24" s="958"/>
      <c r="L24" s="958"/>
      <c r="M24" s="958"/>
      <c r="N24" s="959"/>
      <c r="O24" s="417"/>
    </row>
    <row r="25" spans="1:15" x14ac:dyDescent="0.2">
      <c r="A25" s="65"/>
      <c r="B25" s="417"/>
      <c r="C25" s="444"/>
      <c r="D25" s="444"/>
      <c r="E25" s="1132"/>
      <c r="F25" s="958"/>
      <c r="G25" s="958"/>
      <c r="H25" s="958"/>
      <c r="I25" s="958"/>
      <c r="J25" s="958"/>
      <c r="K25" s="958"/>
      <c r="L25" s="958"/>
      <c r="M25" s="958"/>
      <c r="N25" s="959"/>
      <c r="O25" s="417"/>
    </row>
    <row r="26" spans="1:15" x14ac:dyDescent="0.2">
      <c r="A26" s="65"/>
      <c r="B26" s="417"/>
      <c r="C26" s="444"/>
      <c r="D26" s="444"/>
      <c r="E26" s="1132"/>
      <c r="F26" s="958"/>
      <c r="G26" s="958"/>
      <c r="H26" s="958"/>
      <c r="I26" s="958"/>
      <c r="J26" s="958"/>
      <c r="K26" s="958"/>
      <c r="L26" s="958"/>
      <c r="M26" s="958"/>
      <c r="N26" s="959"/>
      <c r="O26" s="417"/>
    </row>
    <row r="27" spans="1:15" x14ac:dyDescent="0.2">
      <c r="A27" s="65"/>
      <c r="B27" s="417"/>
      <c r="C27" s="444"/>
      <c r="D27" s="444"/>
      <c r="E27" s="1132"/>
      <c r="F27" s="958"/>
      <c r="G27" s="958"/>
      <c r="H27" s="958"/>
      <c r="I27" s="958"/>
      <c r="J27" s="958"/>
      <c r="K27" s="958"/>
      <c r="L27" s="958"/>
      <c r="M27" s="958"/>
      <c r="N27" s="959"/>
      <c r="O27" s="417"/>
    </row>
    <row r="28" spans="1:15" x14ac:dyDescent="0.2">
      <c r="A28" s="65"/>
      <c r="B28" s="417"/>
      <c r="C28" s="444"/>
      <c r="D28" s="444"/>
      <c r="E28" s="1132"/>
      <c r="F28" s="958"/>
      <c r="G28" s="958"/>
      <c r="H28" s="958"/>
      <c r="I28" s="958"/>
      <c r="J28" s="958"/>
      <c r="K28" s="958"/>
      <c r="L28" s="958"/>
      <c r="M28" s="958"/>
      <c r="N28" s="959"/>
      <c r="O28" s="417"/>
    </row>
    <row r="29" spans="1:15" x14ac:dyDescent="0.2">
      <c r="A29" s="65"/>
      <c r="B29" s="417"/>
      <c r="C29" s="444"/>
      <c r="D29" s="444"/>
      <c r="E29" s="1132"/>
      <c r="F29" s="958"/>
      <c r="G29" s="958"/>
      <c r="H29" s="958"/>
      <c r="I29" s="958"/>
      <c r="J29" s="958"/>
      <c r="K29" s="958"/>
      <c r="L29" s="958"/>
      <c r="M29" s="958"/>
      <c r="N29" s="959"/>
      <c r="O29" s="417"/>
    </row>
    <row r="30" spans="1:15" x14ac:dyDescent="0.2">
      <c r="A30" s="65"/>
      <c r="B30" s="417"/>
      <c r="C30" s="444"/>
      <c r="D30" s="444"/>
      <c r="E30" s="1132"/>
      <c r="F30" s="958"/>
      <c r="G30" s="958"/>
      <c r="H30" s="958"/>
      <c r="I30" s="958"/>
      <c r="J30" s="958"/>
      <c r="K30" s="958"/>
      <c r="L30" s="958"/>
      <c r="M30" s="958"/>
      <c r="N30" s="959"/>
      <c r="O30" s="417"/>
    </row>
    <row r="31" spans="1:15" x14ac:dyDescent="0.2">
      <c r="A31" s="65"/>
      <c r="B31" s="417"/>
      <c r="C31" s="444"/>
      <c r="D31" s="444"/>
      <c r="E31" s="1132"/>
      <c r="F31" s="958"/>
      <c r="G31" s="958"/>
      <c r="H31" s="958"/>
      <c r="I31" s="958"/>
      <c r="J31" s="958"/>
      <c r="K31" s="958"/>
      <c r="L31" s="958"/>
      <c r="M31" s="958"/>
      <c r="N31" s="959"/>
      <c r="O31" s="417"/>
    </row>
    <row r="32" spans="1:15" x14ac:dyDescent="0.2">
      <c r="A32" s="65"/>
      <c r="B32" s="417"/>
      <c r="C32" s="444"/>
      <c r="D32" s="444"/>
      <c r="E32" s="1132"/>
      <c r="F32" s="958"/>
      <c r="G32" s="958"/>
      <c r="H32" s="958"/>
      <c r="I32" s="958"/>
      <c r="J32" s="958"/>
      <c r="K32" s="958"/>
      <c r="L32" s="958"/>
      <c r="M32" s="958"/>
      <c r="N32" s="959"/>
      <c r="O32" s="417"/>
    </row>
    <row r="33" spans="1:15" x14ac:dyDescent="0.2">
      <c r="A33" s="65"/>
      <c r="B33" s="417"/>
      <c r="C33" s="444"/>
      <c r="D33" s="444"/>
      <c r="E33" s="1132"/>
      <c r="F33" s="958"/>
      <c r="G33" s="958"/>
      <c r="H33" s="958"/>
      <c r="I33" s="958"/>
      <c r="J33" s="958"/>
      <c r="K33" s="958"/>
      <c r="L33" s="958"/>
      <c r="M33" s="958"/>
      <c r="N33" s="959"/>
      <c r="O33" s="417"/>
    </row>
    <row r="34" spans="1:15" x14ac:dyDescent="0.2">
      <c r="A34" s="65"/>
      <c r="B34" s="417"/>
      <c r="C34" s="444"/>
      <c r="D34" s="444"/>
      <c r="E34" s="1132"/>
      <c r="F34" s="958"/>
      <c r="G34" s="958"/>
      <c r="H34" s="958"/>
      <c r="I34" s="958"/>
      <c r="J34" s="958"/>
      <c r="K34" s="958"/>
      <c r="L34" s="958"/>
      <c r="M34" s="958"/>
      <c r="N34" s="959"/>
      <c r="O34" s="417"/>
    </row>
    <row r="35" spans="1:15" x14ac:dyDescent="0.2">
      <c r="A35" s="65"/>
      <c r="B35" s="417"/>
      <c r="C35" s="444"/>
      <c r="D35" s="444"/>
      <c r="E35" s="1132"/>
      <c r="F35" s="958"/>
      <c r="G35" s="958"/>
      <c r="H35" s="958"/>
      <c r="I35" s="958"/>
      <c r="J35" s="958"/>
      <c r="K35" s="958"/>
      <c r="L35" s="958"/>
      <c r="M35" s="958"/>
      <c r="N35" s="959"/>
      <c r="O35" s="417"/>
    </row>
    <row r="36" spans="1:15" x14ac:dyDescent="0.2">
      <c r="A36" s="65"/>
      <c r="B36" s="417"/>
      <c r="C36" s="444"/>
      <c r="D36" s="444"/>
      <c r="E36" s="1132"/>
      <c r="F36" s="958"/>
      <c r="G36" s="958"/>
      <c r="H36" s="958"/>
      <c r="I36" s="958"/>
      <c r="J36" s="958"/>
      <c r="K36" s="958"/>
      <c r="L36" s="958"/>
      <c r="M36" s="958"/>
      <c r="N36" s="959"/>
      <c r="O36" s="417"/>
    </row>
    <row r="37" spans="1:15" x14ac:dyDescent="0.2">
      <c r="A37" s="65"/>
      <c r="B37" s="417"/>
      <c r="C37" s="444"/>
      <c r="D37" s="444"/>
      <c r="E37" s="1132"/>
      <c r="F37" s="958"/>
      <c r="G37" s="958"/>
      <c r="H37" s="958"/>
      <c r="I37" s="958"/>
      <c r="J37" s="958"/>
      <c r="K37" s="958"/>
      <c r="L37" s="958"/>
      <c r="M37" s="958"/>
      <c r="N37" s="959"/>
      <c r="O37" s="417"/>
    </row>
    <row r="38" spans="1:15" x14ac:dyDescent="0.2">
      <c r="A38" s="65"/>
      <c r="B38" s="417"/>
      <c r="C38" s="444"/>
      <c r="D38" s="444"/>
      <c r="E38" s="1139"/>
      <c r="F38" s="961"/>
      <c r="G38" s="961"/>
      <c r="H38" s="961"/>
      <c r="I38" s="961"/>
      <c r="J38" s="961"/>
      <c r="K38" s="961"/>
      <c r="L38" s="961"/>
      <c r="M38" s="961"/>
      <c r="N38" s="962"/>
      <c r="O38" s="417"/>
    </row>
    <row r="39" spans="1:15" x14ac:dyDescent="0.2">
      <c r="A39" s="65"/>
      <c r="B39" s="417"/>
      <c r="C39" s="417"/>
      <c r="D39" s="417"/>
      <c r="E39" s="417"/>
      <c r="F39" s="417"/>
      <c r="G39" s="417"/>
      <c r="H39" s="417"/>
      <c r="I39" s="417"/>
      <c r="J39" s="417"/>
      <c r="K39" s="417"/>
      <c r="L39" s="417"/>
      <c r="M39" s="417"/>
      <c r="N39" s="417"/>
      <c r="O39" s="417"/>
    </row>
    <row r="40" spans="1:15" ht="25.5" customHeight="1" x14ac:dyDescent="0.2">
      <c r="A40" s="65"/>
      <c r="B40" s="417"/>
      <c r="C40" s="417"/>
      <c r="D40" s="13" t="s">
        <v>595</v>
      </c>
      <c r="E40" s="1138" t="str">
        <f>Translations!$B$625</f>
        <v>Please provide a concise justification for the application of a fall-back approach to the above emission sources, in line with the provisions set out in Article 22.</v>
      </c>
      <c r="F40" s="991"/>
      <c r="G40" s="991"/>
      <c r="H40" s="991"/>
      <c r="I40" s="991"/>
      <c r="J40" s="991"/>
      <c r="K40" s="991"/>
      <c r="L40" s="991"/>
      <c r="M40" s="991"/>
      <c r="N40" s="991"/>
      <c r="O40" s="417"/>
    </row>
    <row r="41" spans="1:15" ht="40.5" customHeight="1" x14ac:dyDescent="0.2">
      <c r="A41" s="65"/>
      <c r="B41" s="417"/>
      <c r="C41" s="417"/>
      <c r="D41" s="417"/>
      <c r="E41" s="869" t="str">
        <f>Translations!$B$626</f>
        <v>You must be able to demonstrate that the overall uncertainty for the annual level of greenhouse gas emissions for the whole installation does not exceed 7.5% for category A, 5.0% for category B and 2.5 % for category C installations. Note: Your competent authority may request full details of your justification to demonstrate that application of a tiered calculation based method or measurement approach is technically not feasible or would lead to unreasonable costs.</v>
      </c>
      <c r="F41" s="869"/>
      <c r="G41" s="869"/>
      <c r="H41" s="869"/>
      <c r="I41" s="869"/>
      <c r="J41" s="869"/>
      <c r="K41" s="869"/>
      <c r="L41" s="869"/>
      <c r="M41" s="869"/>
      <c r="N41" s="869"/>
      <c r="O41" s="417"/>
    </row>
    <row r="42" spans="1:15" s="316" customFormat="1" ht="25.5" customHeight="1" x14ac:dyDescent="0.2">
      <c r="A42" s="72"/>
      <c r="B42" s="417"/>
      <c r="C42" s="417"/>
      <c r="D42" s="337"/>
      <c r="E42" s="869" t="str">
        <f>Translations!$B$338</f>
        <v>If the description is too complex, e.g. complex formulas are applied, you may provide the description in a separate document using a file format acceptable for the CA. In this case please reference this file here, by using the file name and date.</v>
      </c>
      <c r="F42" s="869"/>
      <c r="G42" s="869"/>
      <c r="H42" s="869"/>
      <c r="I42" s="869"/>
      <c r="J42" s="869"/>
      <c r="K42" s="869"/>
      <c r="L42" s="869"/>
      <c r="M42" s="869"/>
      <c r="N42" s="869"/>
      <c r="O42" s="8"/>
    </row>
    <row r="43" spans="1:15" ht="5.0999999999999996" customHeight="1" x14ac:dyDescent="0.2">
      <c r="A43" s="65"/>
      <c r="B43" s="417"/>
      <c r="C43" s="444"/>
      <c r="D43" s="444"/>
      <c r="E43" s="444"/>
      <c r="F43" s="444"/>
      <c r="G43" s="444"/>
      <c r="H43" s="444"/>
      <c r="I43" s="444"/>
      <c r="J43" s="444"/>
      <c r="K43" s="417"/>
      <c r="L43" s="417"/>
      <c r="M43" s="417"/>
      <c r="N43" s="417"/>
      <c r="O43" s="417"/>
    </row>
    <row r="44" spans="1:15" ht="12.75" customHeight="1" x14ac:dyDescent="0.2">
      <c r="A44" s="65"/>
      <c r="B44" s="417"/>
      <c r="C44" s="417"/>
      <c r="D44" s="417"/>
      <c r="E44" s="1133"/>
      <c r="F44" s="955"/>
      <c r="G44" s="955"/>
      <c r="H44" s="955"/>
      <c r="I44" s="955"/>
      <c r="J44" s="955"/>
      <c r="K44" s="955"/>
      <c r="L44" s="955"/>
      <c r="M44" s="955"/>
      <c r="N44" s="956"/>
      <c r="O44" s="417"/>
    </row>
    <row r="45" spans="1:15" ht="12.75" customHeight="1" x14ac:dyDescent="0.2">
      <c r="A45" s="65"/>
      <c r="B45" s="417"/>
      <c r="C45" s="417"/>
      <c r="D45" s="417"/>
      <c r="E45" s="1132"/>
      <c r="F45" s="958"/>
      <c r="G45" s="958"/>
      <c r="H45" s="958"/>
      <c r="I45" s="958"/>
      <c r="J45" s="958"/>
      <c r="K45" s="958"/>
      <c r="L45" s="958"/>
      <c r="M45" s="958"/>
      <c r="N45" s="959"/>
      <c r="O45" s="417"/>
    </row>
    <row r="46" spans="1:15" ht="12.75" customHeight="1" x14ac:dyDescent="0.2">
      <c r="A46" s="65"/>
      <c r="B46" s="417"/>
      <c r="C46" s="417"/>
      <c r="D46" s="417"/>
      <c r="E46" s="1132"/>
      <c r="F46" s="958"/>
      <c r="G46" s="958"/>
      <c r="H46" s="958"/>
      <c r="I46" s="958"/>
      <c r="J46" s="958"/>
      <c r="K46" s="958"/>
      <c r="L46" s="958"/>
      <c r="M46" s="958"/>
      <c r="N46" s="959"/>
      <c r="O46" s="417"/>
    </row>
    <row r="47" spans="1:15" ht="12.75" customHeight="1" x14ac:dyDescent="0.2">
      <c r="A47" s="65"/>
      <c r="B47" s="417"/>
      <c r="C47" s="417"/>
      <c r="D47" s="417"/>
      <c r="E47" s="1132"/>
      <c r="F47" s="958"/>
      <c r="G47" s="958"/>
      <c r="H47" s="958"/>
      <c r="I47" s="958"/>
      <c r="J47" s="958"/>
      <c r="K47" s="958"/>
      <c r="L47" s="958"/>
      <c r="M47" s="958"/>
      <c r="N47" s="959"/>
      <c r="O47" s="417"/>
    </row>
    <row r="48" spans="1:15" ht="12.75" customHeight="1" x14ac:dyDescent="0.2">
      <c r="A48" s="65"/>
      <c r="B48" s="417"/>
      <c r="C48" s="417"/>
      <c r="D48" s="417"/>
      <c r="E48" s="1132"/>
      <c r="F48" s="958"/>
      <c r="G48" s="958"/>
      <c r="H48" s="958"/>
      <c r="I48" s="958"/>
      <c r="J48" s="958"/>
      <c r="K48" s="958"/>
      <c r="L48" s="958"/>
      <c r="M48" s="958"/>
      <c r="N48" s="959"/>
      <c r="O48" s="417"/>
    </row>
    <row r="49" spans="1:15" x14ac:dyDescent="0.2">
      <c r="A49" s="65"/>
      <c r="B49" s="417"/>
      <c r="C49" s="417"/>
      <c r="D49" s="417"/>
      <c r="E49" s="1132"/>
      <c r="F49" s="958"/>
      <c r="G49" s="958"/>
      <c r="H49" s="958"/>
      <c r="I49" s="958"/>
      <c r="J49" s="958"/>
      <c r="K49" s="958"/>
      <c r="L49" s="958"/>
      <c r="M49" s="958"/>
      <c r="N49" s="959"/>
      <c r="O49" s="417"/>
    </row>
    <row r="50" spans="1:15" x14ac:dyDescent="0.2">
      <c r="A50" s="65"/>
      <c r="B50" s="417"/>
      <c r="C50" s="417"/>
      <c r="D50" s="417"/>
      <c r="E50" s="1132"/>
      <c r="F50" s="958"/>
      <c r="G50" s="958"/>
      <c r="H50" s="958"/>
      <c r="I50" s="958"/>
      <c r="J50" s="958"/>
      <c r="K50" s="958"/>
      <c r="L50" s="958"/>
      <c r="M50" s="958"/>
      <c r="N50" s="959"/>
      <c r="O50" s="417"/>
    </row>
    <row r="51" spans="1:15" x14ac:dyDescent="0.2">
      <c r="A51" s="65"/>
      <c r="B51" s="417"/>
      <c r="C51" s="417"/>
      <c r="D51" s="417"/>
      <c r="E51" s="1132"/>
      <c r="F51" s="958"/>
      <c r="G51" s="958"/>
      <c r="H51" s="958"/>
      <c r="I51" s="958"/>
      <c r="J51" s="958"/>
      <c r="K51" s="958"/>
      <c r="L51" s="958"/>
      <c r="M51" s="958"/>
      <c r="N51" s="959"/>
      <c r="O51" s="417"/>
    </row>
    <row r="52" spans="1:15" x14ac:dyDescent="0.2">
      <c r="A52" s="65"/>
      <c r="B52" s="417"/>
      <c r="C52" s="417"/>
      <c r="D52" s="417"/>
      <c r="E52" s="1132"/>
      <c r="F52" s="958"/>
      <c r="G52" s="958"/>
      <c r="H52" s="958"/>
      <c r="I52" s="958"/>
      <c r="J52" s="958"/>
      <c r="K52" s="958"/>
      <c r="L52" s="958"/>
      <c r="M52" s="958"/>
      <c r="N52" s="959"/>
      <c r="O52" s="417"/>
    </row>
    <row r="53" spans="1:15" x14ac:dyDescent="0.2">
      <c r="A53" s="65"/>
      <c r="B53" s="417"/>
      <c r="C53" s="417"/>
      <c r="D53" s="417"/>
      <c r="E53" s="1132"/>
      <c r="F53" s="958"/>
      <c r="G53" s="958"/>
      <c r="H53" s="958"/>
      <c r="I53" s="958"/>
      <c r="J53" s="958"/>
      <c r="K53" s="958"/>
      <c r="L53" s="958"/>
      <c r="M53" s="958"/>
      <c r="N53" s="959"/>
      <c r="O53" s="417"/>
    </row>
    <row r="54" spans="1:15" x14ac:dyDescent="0.2">
      <c r="A54" s="65"/>
      <c r="B54" s="417"/>
      <c r="C54" s="417"/>
      <c r="D54" s="417"/>
      <c r="E54" s="1132"/>
      <c r="F54" s="958"/>
      <c r="G54" s="958"/>
      <c r="H54" s="958"/>
      <c r="I54" s="958"/>
      <c r="J54" s="958"/>
      <c r="K54" s="958"/>
      <c r="L54" s="958"/>
      <c r="M54" s="958"/>
      <c r="N54" s="959"/>
      <c r="O54" s="417"/>
    </row>
    <row r="55" spans="1:15" x14ac:dyDescent="0.2">
      <c r="A55" s="65"/>
      <c r="B55" s="417"/>
      <c r="C55" s="417"/>
      <c r="D55" s="417"/>
      <c r="E55" s="1132"/>
      <c r="F55" s="958"/>
      <c r="G55" s="958"/>
      <c r="H55" s="958"/>
      <c r="I55" s="958"/>
      <c r="J55" s="958"/>
      <c r="K55" s="958"/>
      <c r="L55" s="958"/>
      <c r="M55" s="958"/>
      <c r="N55" s="959"/>
      <c r="O55" s="417"/>
    </row>
    <row r="56" spans="1:15" x14ac:dyDescent="0.2">
      <c r="A56" s="65"/>
      <c r="B56" s="417"/>
      <c r="C56" s="417"/>
      <c r="D56" s="417"/>
      <c r="E56" s="1139"/>
      <c r="F56" s="961"/>
      <c r="G56" s="961"/>
      <c r="H56" s="961"/>
      <c r="I56" s="961"/>
      <c r="J56" s="961"/>
      <c r="K56" s="961"/>
      <c r="L56" s="961"/>
      <c r="M56" s="961"/>
      <c r="N56" s="962"/>
      <c r="O56" s="417"/>
    </row>
    <row r="57" spans="1:15" ht="17.25" customHeight="1" x14ac:dyDescent="0.2">
      <c r="A57" s="65"/>
      <c r="B57" s="417"/>
      <c r="C57" s="417"/>
      <c r="D57" s="417"/>
      <c r="E57" s="417"/>
      <c r="F57" s="417"/>
      <c r="G57" s="417"/>
      <c r="H57" s="417"/>
      <c r="I57" s="417"/>
      <c r="J57" s="417"/>
      <c r="K57" s="417"/>
      <c r="L57" s="417"/>
      <c r="M57" s="417"/>
      <c r="N57" s="417"/>
      <c r="O57" s="417"/>
    </row>
    <row r="58" spans="1:15" ht="25.5" customHeight="1" x14ac:dyDescent="0.2">
      <c r="A58" s="65"/>
      <c r="B58" s="417"/>
      <c r="C58" s="417"/>
      <c r="D58" s="445" t="s">
        <v>554</v>
      </c>
      <c r="E58" s="924" t="str">
        <f>Translations!$B$627</f>
        <v>Please provide details about the written procedures used for carrying out the annual uncertainty analysis required under Article 22 of the MRR.</v>
      </c>
      <c r="F58" s="732"/>
      <c r="G58" s="732"/>
      <c r="H58" s="732"/>
      <c r="I58" s="732"/>
      <c r="J58" s="732"/>
      <c r="K58" s="732"/>
      <c r="L58" s="732"/>
      <c r="M58" s="732"/>
      <c r="N58" s="732"/>
      <c r="O58" s="417"/>
    </row>
    <row r="59" spans="1:15" ht="5.0999999999999996" customHeight="1" x14ac:dyDescent="0.2">
      <c r="A59" s="65"/>
      <c r="B59" s="417"/>
      <c r="C59" s="444"/>
      <c r="D59" s="444"/>
      <c r="E59" s="444"/>
      <c r="F59" s="444"/>
      <c r="G59" s="444"/>
      <c r="H59" s="444"/>
      <c r="I59" s="444"/>
      <c r="J59" s="444"/>
      <c r="K59" s="417"/>
      <c r="L59" s="417"/>
      <c r="M59" s="417"/>
      <c r="N59" s="417"/>
      <c r="O59" s="417"/>
    </row>
    <row r="60" spans="1:15" ht="15" customHeight="1" x14ac:dyDescent="0.2">
      <c r="A60" s="72"/>
      <c r="B60" s="417"/>
      <c r="C60" s="417"/>
      <c r="D60" s="441"/>
      <c r="E60" s="1102" t="str">
        <f>Translations!$B$405</f>
        <v>Title of procedure</v>
      </c>
      <c r="F60" s="1103"/>
      <c r="G60" s="870"/>
      <c r="H60" s="1036"/>
      <c r="I60" s="1036"/>
      <c r="J60" s="1036"/>
      <c r="K60" s="1036"/>
      <c r="L60" s="1036"/>
      <c r="M60" s="1036"/>
      <c r="N60" s="972"/>
      <c r="O60" s="337"/>
    </row>
    <row r="61" spans="1:15" ht="15" customHeight="1" x14ac:dyDescent="0.2">
      <c r="A61" s="72"/>
      <c r="B61" s="417"/>
      <c r="C61" s="417"/>
      <c r="D61" s="441"/>
      <c r="E61" s="1102" t="str">
        <f>Translations!$B$407</f>
        <v>Reference for procedure</v>
      </c>
      <c r="F61" s="1103"/>
      <c r="G61" s="870"/>
      <c r="H61" s="1036"/>
      <c r="I61" s="1036"/>
      <c r="J61" s="1036"/>
      <c r="K61" s="1036"/>
      <c r="L61" s="1036"/>
      <c r="M61" s="1036"/>
      <c r="N61" s="972"/>
      <c r="O61" s="417"/>
    </row>
    <row r="62" spans="1:15" ht="25.5" customHeight="1" x14ac:dyDescent="0.2">
      <c r="A62" s="72"/>
      <c r="B62" s="417"/>
      <c r="C62" s="417"/>
      <c r="D62" s="441"/>
      <c r="E62" s="1102" t="str">
        <f>Translations!$B$409</f>
        <v>Diagram reference (where applicable)</v>
      </c>
      <c r="F62" s="1103"/>
      <c r="G62" s="870"/>
      <c r="H62" s="1036"/>
      <c r="I62" s="1036"/>
      <c r="J62" s="1036"/>
      <c r="K62" s="1036"/>
      <c r="L62" s="1036"/>
      <c r="M62" s="1036"/>
      <c r="N62" s="972"/>
      <c r="O62" s="417"/>
    </row>
    <row r="63" spans="1:15" ht="105" customHeight="1" x14ac:dyDescent="0.2">
      <c r="A63" s="72"/>
      <c r="B63" s="417"/>
      <c r="C63" s="417"/>
      <c r="D63" s="441"/>
      <c r="E63" s="1102" t="str">
        <f>Translations!$B$615</f>
        <v>Brief description of procedure    (Description should cover the essential parameters and operations performed)</v>
      </c>
      <c r="F63" s="1103"/>
      <c r="G63" s="870"/>
      <c r="H63" s="1036"/>
      <c r="I63" s="1036"/>
      <c r="J63" s="1036"/>
      <c r="K63" s="1036"/>
      <c r="L63" s="1036"/>
      <c r="M63" s="1036"/>
      <c r="N63" s="972"/>
      <c r="O63" s="417"/>
    </row>
    <row r="64" spans="1:15" ht="39" customHeight="1" x14ac:dyDescent="0.2">
      <c r="A64" s="72"/>
      <c r="B64" s="417"/>
      <c r="C64" s="417"/>
      <c r="D64" s="441"/>
      <c r="E64" s="1102" t="str">
        <f>Translations!$B$414</f>
        <v>Post or department responsible for the procedure and for any data generated</v>
      </c>
      <c r="F64" s="1103"/>
      <c r="G64" s="870"/>
      <c r="H64" s="1036"/>
      <c r="I64" s="1036"/>
      <c r="J64" s="1036"/>
      <c r="K64" s="1036"/>
      <c r="L64" s="1036"/>
      <c r="M64" s="1036"/>
      <c r="N64" s="972"/>
      <c r="O64" s="417"/>
    </row>
    <row r="65" spans="1:15" ht="27.75" customHeight="1" x14ac:dyDescent="0.2">
      <c r="A65" s="72"/>
      <c r="B65" s="417"/>
      <c r="C65" s="417"/>
      <c r="D65" s="441"/>
      <c r="E65" s="1102" t="str">
        <f>Translations!$B$416</f>
        <v>Location where records are kept</v>
      </c>
      <c r="F65" s="1103"/>
      <c r="G65" s="870"/>
      <c r="H65" s="1036"/>
      <c r="I65" s="1036"/>
      <c r="J65" s="1036"/>
      <c r="K65" s="1036"/>
      <c r="L65" s="1036"/>
      <c r="M65" s="1036"/>
      <c r="N65" s="972"/>
      <c r="O65" s="417"/>
    </row>
    <row r="66" spans="1:15" ht="30" customHeight="1" x14ac:dyDescent="0.2">
      <c r="A66" s="72"/>
      <c r="B66" s="417"/>
      <c r="C66" s="417"/>
      <c r="D66" s="441"/>
      <c r="E66" s="1102" t="str">
        <f>Translations!$B$418</f>
        <v>Name of IT system used (where applicable).</v>
      </c>
      <c r="F66" s="1103"/>
      <c r="G66" s="870"/>
      <c r="H66" s="1036"/>
      <c r="I66" s="1036"/>
      <c r="J66" s="1036"/>
      <c r="K66" s="1036"/>
      <c r="L66" s="1036"/>
      <c r="M66" s="1036"/>
      <c r="N66" s="972"/>
      <c r="O66" s="417"/>
    </row>
    <row r="67" spans="1:15" ht="31.5" customHeight="1" x14ac:dyDescent="0.2">
      <c r="A67" s="72"/>
      <c r="B67" s="417"/>
      <c r="C67" s="417"/>
      <c r="D67" s="441"/>
      <c r="E67" s="1102" t="str">
        <f>Translations!$B$420</f>
        <v>List of EN or other standards applied (where relevant)</v>
      </c>
      <c r="F67" s="1103"/>
      <c r="G67" s="870"/>
      <c r="H67" s="1036"/>
      <c r="I67" s="1036"/>
      <c r="J67" s="1036"/>
      <c r="K67" s="1036"/>
      <c r="L67" s="1036"/>
      <c r="M67" s="1036"/>
      <c r="N67" s="972"/>
      <c r="O67" s="417"/>
    </row>
    <row r="68" spans="1:15" ht="12.75" hidden="1" customHeight="1" x14ac:dyDescent="0.2">
      <c r="A68" s="17" t="s">
        <v>1090</v>
      </c>
      <c r="B68" s="417"/>
      <c r="C68" s="417"/>
      <c r="D68" s="417"/>
      <c r="E68" s="417"/>
      <c r="F68" s="417"/>
      <c r="G68" s="417"/>
      <c r="H68" s="417"/>
      <c r="I68" s="417"/>
      <c r="J68" s="417"/>
      <c r="K68" s="417"/>
      <c r="L68" s="417"/>
      <c r="M68" s="417"/>
      <c r="N68" s="417"/>
    </row>
    <row r="69" spans="1:15" s="316" customFormat="1" ht="12.75" hidden="1" customHeight="1" x14ac:dyDescent="0.2">
      <c r="A69" s="17" t="s">
        <v>1090</v>
      </c>
      <c r="B69" s="417"/>
      <c r="C69" s="417"/>
      <c r="D69" s="417"/>
      <c r="E69" s="717" t="str">
        <f>Translations!$B$1150</f>
        <v>Further procedure added by the operator</v>
      </c>
      <c r="F69" s="717"/>
      <c r="G69" s="717"/>
      <c r="H69" s="717"/>
      <c r="I69" s="717"/>
      <c r="J69" s="717"/>
      <c r="K69" s="717"/>
      <c r="L69" s="717"/>
      <c r="M69" s="717"/>
      <c r="N69" s="717"/>
      <c r="O69" s="417"/>
    </row>
    <row r="70" spans="1:15" ht="12.75" hidden="1" customHeight="1" x14ac:dyDescent="0.2">
      <c r="A70" s="17" t="s">
        <v>1090</v>
      </c>
      <c r="B70" s="417"/>
      <c r="C70" s="417"/>
      <c r="D70" s="417"/>
      <c r="E70" s="417"/>
      <c r="F70" s="417"/>
      <c r="G70" s="417"/>
      <c r="H70" s="417"/>
      <c r="I70" s="417"/>
      <c r="J70" s="417"/>
      <c r="K70" s="417"/>
      <c r="L70" s="417"/>
      <c r="M70" s="417"/>
      <c r="N70" s="417"/>
      <c r="O70" s="417"/>
    </row>
    <row r="71" spans="1:15" ht="12.75" hidden="1" customHeight="1" x14ac:dyDescent="0.2">
      <c r="A71" s="17" t="s">
        <v>1090</v>
      </c>
      <c r="B71" s="417"/>
      <c r="C71" s="417"/>
      <c r="D71" s="417"/>
      <c r="E71" s="950" t="str">
        <f>Translations!$B$405</f>
        <v>Title of procedure</v>
      </c>
      <c r="F71" s="951"/>
      <c r="G71" s="902"/>
      <c r="H71" s="851"/>
      <c r="I71" s="851"/>
      <c r="J71" s="851"/>
      <c r="K71" s="851"/>
      <c r="L71" s="851"/>
      <c r="M71" s="851"/>
      <c r="N71" s="852"/>
      <c r="O71" s="417"/>
    </row>
    <row r="72" spans="1:15" ht="12.75" hidden="1" customHeight="1" x14ac:dyDescent="0.2">
      <c r="A72" s="17" t="s">
        <v>1090</v>
      </c>
      <c r="B72" s="417"/>
      <c r="C72" s="417"/>
      <c r="D72" s="417"/>
      <c r="E72" s="950" t="str">
        <f>Translations!$B$407</f>
        <v>Reference for procedure</v>
      </c>
      <c r="F72" s="951"/>
      <c r="G72" s="902"/>
      <c r="H72" s="851"/>
      <c r="I72" s="851"/>
      <c r="J72" s="851"/>
      <c r="K72" s="851"/>
      <c r="L72" s="851"/>
      <c r="M72" s="851"/>
      <c r="N72" s="852"/>
      <c r="O72" s="417"/>
    </row>
    <row r="73" spans="1:15" ht="12.75" hidden="1" customHeight="1" x14ac:dyDescent="0.2">
      <c r="A73" s="17" t="s">
        <v>1090</v>
      </c>
      <c r="B73" s="417"/>
      <c r="C73" s="417"/>
      <c r="D73" s="417"/>
      <c r="E73" s="950" t="str">
        <f>Translations!$B$409</f>
        <v>Diagram reference (where applicable)</v>
      </c>
      <c r="F73" s="951"/>
      <c r="G73" s="902"/>
      <c r="H73" s="851"/>
      <c r="I73" s="851"/>
      <c r="J73" s="851"/>
      <c r="K73" s="851"/>
      <c r="L73" s="851"/>
      <c r="M73" s="851"/>
      <c r="N73" s="852"/>
      <c r="O73" s="417"/>
    </row>
    <row r="74" spans="1:15" ht="25.5" hidden="1" customHeight="1" x14ac:dyDescent="0.2">
      <c r="A74" s="17" t="s">
        <v>1090</v>
      </c>
      <c r="B74" s="417"/>
      <c r="C74" s="417"/>
      <c r="D74" s="417"/>
      <c r="E74" s="952" t="str">
        <f>Translations!$B$411</f>
        <v xml:space="preserve">Brief description of procedure    </v>
      </c>
      <c r="F74" s="953"/>
      <c r="G74" s="954"/>
      <c r="H74" s="955"/>
      <c r="I74" s="955"/>
      <c r="J74" s="955"/>
      <c r="K74" s="955"/>
      <c r="L74" s="955"/>
      <c r="M74" s="955"/>
      <c r="N74" s="956"/>
      <c r="O74" s="417"/>
    </row>
    <row r="75" spans="1:15" ht="25.5" hidden="1" customHeight="1" x14ac:dyDescent="0.2">
      <c r="A75" s="17" t="s">
        <v>1090</v>
      </c>
      <c r="B75" s="417"/>
      <c r="C75" s="417"/>
      <c r="D75" s="417"/>
      <c r="E75" s="590"/>
      <c r="F75" s="591"/>
      <c r="G75" s="957"/>
      <c r="H75" s="958"/>
      <c r="I75" s="958"/>
      <c r="J75" s="958"/>
      <c r="K75" s="958"/>
      <c r="L75" s="958"/>
      <c r="M75" s="958"/>
      <c r="N75" s="959"/>
      <c r="O75" s="417"/>
    </row>
    <row r="76" spans="1:15" ht="25.5" hidden="1" customHeight="1" x14ac:dyDescent="0.2">
      <c r="A76" s="17" t="s">
        <v>1090</v>
      </c>
      <c r="B76" s="417"/>
      <c r="C76" s="417"/>
      <c r="D76" s="417"/>
      <c r="E76" s="592"/>
      <c r="F76" s="593"/>
      <c r="G76" s="960"/>
      <c r="H76" s="961"/>
      <c r="I76" s="961"/>
      <c r="J76" s="961"/>
      <c r="K76" s="961"/>
      <c r="L76" s="961"/>
      <c r="M76" s="961"/>
      <c r="N76" s="962"/>
      <c r="O76" s="417"/>
    </row>
    <row r="77" spans="1:15" ht="25.5" hidden="1" customHeight="1" x14ac:dyDescent="0.2">
      <c r="A77" s="17" t="s">
        <v>1090</v>
      </c>
      <c r="B77" s="417"/>
      <c r="C77" s="417"/>
      <c r="D77" s="417"/>
      <c r="E77" s="950" t="str">
        <f>Translations!$B$414</f>
        <v>Post or department responsible for the procedure and for any data generated</v>
      </c>
      <c r="F77" s="951"/>
      <c r="G77" s="902"/>
      <c r="H77" s="903"/>
      <c r="I77" s="903"/>
      <c r="J77" s="903"/>
      <c r="K77" s="903"/>
      <c r="L77" s="903"/>
      <c r="M77" s="903"/>
      <c r="N77" s="904"/>
      <c r="O77" s="417"/>
    </row>
    <row r="78" spans="1:15" ht="12.75" hidden="1" customHeight="1" x14ac:dyDescent="0.2">
      <c r="A78" s="17" t="s">
        <v>1090</v>
      </c>
      <c r="B78" s="417"/>
      <c r="C78" s="417"/>
      <c r="D78" s="417"/>
      <c r="E78" s="950" t="str">
        <f>Translations!$B$416</f>
        <v>Location where records are kept</v>
      </c>
      <c r="F78" s="951"/>
      <c r="G78" s="902"/>
      <c r="H78" s="851"/>
      <c r="I78" s="851"/>
      <c r="J78" s="851"/>
      <c r="K78" s="851"/>
      <c r="L78" s="851"/>
      <c r="M78" s="851"/>
      <c r="N78" s="852"/>
      <c r="O78" s="417"/>
    </row>
    <row r="79" spans="1:15" ht="25.5" hidden="1" customHeight="1" x14ac:dyDescent="0.2">
      <c r="A79" s="17" t="s">
        <v>1090</v>
      </c>
      <c r="B79" s="417"/>
      <c r="C79" s="417"/>
      <c r="D79" s="417"/>
      <c r="E79" s="950" t="str">
        <f>Translations!$B$418</f>
        <v>Name of IT system used (where applicable).</v>
      </c>
      <c r="F79" s="951"/>
      <c r="G79" s="902"/>
      <c r="H79" s="851"/>
      <c r="I79" s="851"/>
      <c r="J79" s="851"/>
      <c r="K79" s="851"/>
      <c r="L79" s="851"/>
      <c r="M79" s="851"/>
      <c r="N79" s="852"/>
      <c r="O79" s="417"/>
    </row>
    <row r="80" spans="1:15" ht="25.5" hidden="1" customHeight="1" x14ac:dyDescent="0.2">
      <c r="A80" s="17" t="s">
        <v>1090</v>
      </c>
      <c r="B80" s="417"/>
      <c r="C80" s="417"/>
      <c r="D80" s="417"/>
      <c r="E80" s="950" t="str">
        <f>Translations!$B$420</f>
        <v>List of EN or other standards applied (where relevant)</v>
      </c>
      <c r="F80" s="951"/>
      <c r="G80" s="902"/>
      <c r="H80" s="851"/>
      <c r="I80" s="851"/>
      <c r="J80" s="851"/>
      <c r="K80" s="851"/>
      <c r="L80" s="851"/>
      <c r="M80" s="851"/>
      <c r="N80" s="852"/>
      <c r="O80" s="417"/>
    </row>
    <row r="81" spans="1:15" ht="12.75" customHeight="1" x14ac:dyDescent="0.2">
      <c r="A81" s="72" t="s">
        <v>5</v>
      </c>
      <c r="B81" s="417"/>
      <c r="C81" s="417"/>
      <c r="D81" s="417"/>
      <c r="E81" s="417"/>
      <c r="F81" s="417"/>
      <c r="G81" s="417"/>
      <c r="H81" s="417"/>
      <c r="I81" s="417"/>
      <c r="J81" s="417"/>
      <c r="K81" s="417"/>
      <c r="L81" s="417"/>
      <c r="M81" s="417"/>
      <c r="N81" s="417"/>
      <c r="O81" s="417"/>
    </row>
    <row r="82" spans="1:15" ht="5.0999999999999996" customHeight="1" x14ac:dyDescent="0.2">
      <c r="A82" s="17"/>
      <c r="B82" s="417"/>
      <c r="C82" s="430"/>
      <c r="D82" s="14"/>
      <c r="E82" s="417"/>
      <c r="F82" s="417"/>
      <c r="G82" s="1025" t="str">
        <f>Translations!$B$429</f>
        <v>Click "+" to add more procedures</v>
      </c>
      <c r="H82" s="1026"/>
      <c r="I82" s="1026"/>
      <c r="J82" s="1026"/>
      <c r="K82" s="1027"/>
      <c r="L82" s="417"/>
      <c r="M82" s="322"/>
      <c r="N82" s="417"/>
      <c r="O82" s="337"/>
    </row>
    <row r="83" spans="1:15" ht="12.75" customHeight="1" x14ac:dyDescent="0.2">
      <c r="A83" s="17"/>
      <c r="B83" s="417"/>
      <c r="C83" s="430"/>
      <c r="D83" s="14"/>
      <c r="E83" s="417"/>
      <c r="F83" s="417"/>
      <c r="G83" s="1028"/>
      <c r="H83" s="1029"/>
      <c r="I83" s="1029"/>
      <c r="J83" s="1029"/>
      <c r="K83" s="854"/>
      <c r="L83" s="417"/>
      <c r="M83" s="322"/>
      <c r="N83" s="417"/>
      <c r="O83" s="337"/>
    </row>
    <row r="84" spans="1:15" ht="5.0999999999999996" customHeight="1" x14ac:dyDescent="0.2">
      <c r="A84" s="17"/>
      <c r="B84" s="417"/>
      <c r="C84" s="430"/>
      <c r="D84" s="14"/>
      <c r="E84" s="417"/>
      <c r="F84" s="417"/>
      <c r="G84" s="1030"/>
      <c r="H84" s="1031"/>
      <c r="I84" s="1031"/>
      <c r="J84" s="1031"/>
      <c r="K84" s="1032"/>
      <c r="L84" s="417"/>
      <c r="M84" s="322"/>
      <c r="N84" s="417"/>
      <c r="O84" s="337"/>
    </row>
    <row r="85" spans="1:15" ht="12.75" customHeight="1" x14ac:dyDescent="0.2">
      <c r="A85" s="72"/>
      <c r="B85" s="417"/>
      <c r="C85" s="417"/>
      <c r="D85" s="417"/>
      <c r="E85" s="417"/>
      <c r="F85" s="417"/>
      <c r="G85" s="417"/>
      <c r="H85" s="417"/>
      <c r="I85" s="417"/>
      <c r="J85" s="417"/>
      <c r="K85" s="417"/>
      <c r="L85" s="417"/>
      <c r="M85" s="417"/>
      <c r="N85" s="417"/>
      <c r="O85" s="417"/>
    </row>
    <row r="86" spans="1:15" ht="15" customHeight="1" x14ac:dyDescent="0.2">
      <c r="A86" s="72"/>
      <c r="B86" s="417"/>
      <c r="C86" s="417"/>
      <c r="D86" s="441"/>
      <c r="E86" s="417"/>
      <c r="F86" s="770" t="str">
        <f>EUconst_MsgNextSheet</f>
        <v xml:space="preserve">&lt;&lt;&lt; Click here to proceed to next sheet &gt;&gt;&gt; </v>
      </c>
      <c r="G86" s="770"/>
      <c r="H86" s="770"/>
      <c r="I86" s="770"/>
      <c r="J86" s="770"/>
      <c r="K86" s="770"/>
      <c r="L86" s="770"/>
      <c r="M86" s="417"/>
      <c r="N86" s="417"/>
      <c r="O86" s="417"/>
    </row>
  </sheetData>
  <sheetProtection sheet="1" objects="1" scenarios="1" formatCells="0" formatColumns="0" formatRows="0"/>
  <mergeCells count="100">
    <mergeCell ref="E78:F78"/>
    <mergeCell ref="E74:F74"/>
    <mergeCell ref="G64:N64"/>
    <mergeCell ref="G66:N66"/>
    <mergeCell ref="G76:N76"/>
    <mergeCell ref="G74:N74"/>
    <mergeCell ref="G71:N71"/>
    <mergeCell ref="G65:N65"/>
    <mergeCell ref="E67:F67"/>
    <mergeCell ref="G63:N63"/>
    <mergeCell ref="F86:L86"/>
    <mergeCell ref="G82:K84"/>
    <mergeCell ref="G77:N77"/>
    <mergeCell ref="E73:F73"/>
    <mergeCell ref="G80:N80"/>
    <mergeCell ref="G73:N73"/>
    <mergeCell ref="E79:F79"/>
    <mergeCell ref="E80:F80"/>
    <mergeCell ref="G79:N79"/>
    <mergeCell ref="G75:N75"/>
    <mergeCell ref="G78:N78"/>
    <mergeCell ref="G72:N72"/>
    <mergeCell ref="E77:F77"/>
    <mergeCell ref="E72:F72"/>
    <mergeCell ref="E56:N56"/>
    <mergeCell ref="E46:N46"/>
    <mergeCell ref="G67:N67"/>
    <mergeCell ref="E63:F63"/>
    <mergeCell ref="E60:F60"/>
    <mergeCell ref="G60:N60"/>
    <mergeCell ref="E65:F65"/>
    <mergeCell ref="E64:F64"/>
    <mergeCell ref="E66:F66"/>
    <mergeCell ref="E61:F61"/>
    <mergeCell ref="E62:F62"/>
    <mergeCell ref="G62:N62"/>
    <mergeCell ref="G61:N61"/>
    <mergeCell ref="E69:N69"/>
    <mergeCell ref="E71:F71"/>
    <mergeCell ref="E51:N51"/>
    <mergeCell ref="E52:N52"/>
    <mergeCell ref="E58:N58"/>
    <mergeCell ref="E41:N41"/>
    <mergeCell ref="E53:N53"/>
    <mergeCell ref="E54:N54"/>
    <mergeCell ref="E55:N55"/>
    <mergeCell ref="E44:N44"/>
    <mergeCell ref="E42:N42"/>
    <mergeCell ref="E45:N45"/>
    <mergeCell ref="E40:N40"/>
    <mergeCell ref="E38:N38"/>
    <mergeCell ref="E50:N50"/>
    <mergeCell ref="E49:N49"/>
    <mergeCell ref="E47:N47"/>
    <mergeCell ref="E48:N48"/>
    <mergeCell ref="E27:N27"/>
    <mergeCell ref="E28:N28"/>
    <mergeCell ref="I4:J4"/>
    <mergeCell ref="E4:F4"/>
    <mergeCell ref="E26:N26"/>
    <mergeCell ref="E17:N17"/>
    <mergeCell ref="E24:N24"/>
    <mergeCell ref="E25:N25"/>
    <mergeCell ref="E22:N22"/>
    <mergeCell ref="G4:H4"/>
    <mergeCell ref="E36:N36"/>
    <mergeCell ref="E37:N37"/>
    <mergeCell ref="E29:N29"/>
    <mergeCell ref="E30:N30"/>
    <mergeCell ref="E34:N34"/>
    <mergeCell ref="E35:N35"/>
    <mergeCell ref="E31:N31"/>
    <mergeCell ref="E32:N32"/>
    <mergeCell ref="E33:N33"/>
    <mergeCell ref="E3:F3"/>
    <mergeCell ref="G3:H3"/>
    <mergeCell ref="I3:J3"/>
    <mergeCell ref="M3:N3"/>
    <mergeCell ref="D10:N10"/>
    <mergeCell ref="B2:D4"/>
    <mergeCell ref="K2:L2"/>
    <mergeCell ref="C6:K6"/>
    <mergeCell ref="G2:H2"/>
    <mergeCell ref="I2:J2"/>
    <mergeCell ref="K3:L3"/>
    <mergeCell ref="E2:F2"/>
    <mergeCell ref="L6:N6"/>
    <mergeCell ref="K4:L4"/>
    <mergeCell ref="M2:N2"/>
    <mergeCell ref="M4:N4"/>
    <mergeCell ref="E21:N21"/>
    <mergeCell ref="E23:N23"/>
    <mergeCell ref="E19:N19"/>
    <mergeCell ref="E20:N20"/>
    <mergeCell ref="K8:N8"/>
    <mergeCell ref="E16:N16"/>
    <mergeCell ref="E15:N15"/>
    <mergeCell ref="C12:N12"/>
    <mergeCell ref="E14:N14"/>
    <mergeCell ref="E13:N13"/>
  </mergeCells>
  <phoneticPr fontId="9" type="noConversion"/>
  <conditionalFormatting sqref="G71:N80 G60:N67 E44:N56 E19:N38">
    <cfRule type="expression" dxfId="78" priority="1" stopIfTrue="1">
      <formula>$L$6=EUconst_NotRelevant</formula>
    </cfRule>
  </conditionalFormatting>
  <hyperlinks>
    <hyperlink ref="E4:F4" location="JUMP_G_Bottom" display="JUMP_G_Bottom" xr:uid="{00000000-0004-0000-0800-000000000000}"/>
    <hyperlink ref="G2:H2" location="JUMP_a_Content" display="Table of contents" xr:uid="{00000000-0004-0000-0800-000001000000}"/>
    <hyperlink ref="I2:J2" location="JUMP_F_Top" display="JUMP_F_Top" xr:uid="{00000000-0004-0000-0800-000002000000}"/>
    <hyperlink ref="K2:L2" location="JUMP_H_Top" display="JUMP_H_Top" xr:uid="{00000000-0004-0000-0800-000003000000}"/>
    <hyperlink ref="E3:F3" location="JUMP_G_Top" display="JUMP_G_Top" xr:uid="{00000000-0004-0000-0800-000004000000}"/>
    <hyperlink ref="F86:L86" location="JUMP_H_Top" display="JUMP_H_Top" xr:uid="{00000000-0004-0000-0800-000005000000}"/>
  </hyperlinks>
  <pageMargins left="0.78740157480314965" right="0.78740157480314965" top="0.78740157480314965" bottom="0.78740157480314965" header="0.39370078740157483" footer="0.39370078740157483"/>
  <pageSetup paperSize="9" scale="61" fitToHeight="10" orientation="portrait" r:id="rId1"/>
  <headerFooter alignWithMargins="0">
    <oddHeader>&amp;L&amp;F, &amp;A&amp;R&amp;D, &amp;T</oddHeader>
    <oddFooter>&amp;C&amp;P /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200</vt:i4>
      </vt:variant>
    </vt:vector>
  </HeadingPairs>
  <TitlesOfParts>
    <vt:vector size="221" baseType="lpstr">
      <vt:lpstr>a_Contents</vt:lpstr>
      <vt:lpstr>b_Guidelines and conditions</vt:lpstr>
      <vt:lpstr>A_MPversions</vt:lpstr>
      <vt:lpstr>B_Operator&amp;Inst.ID</vt:lpstr>
      <vt:lpstr>C_InstallationDescription</vt:lpstr>
      <vt:lpstr>D_CalculationBasedApproaches</vt:lpstr>
      <vt:lpstr>E_SourceStreams</vt:lpstr>
      <vt:lpstr>F_MeasurementBasedApproaches</vt:lpstr>
      <vt:lpstr>G_Fall-backApproach</vt:lpstr>
      <vt:lpstr>H_N2O</vt:lpstr>
      <vt:lpstr>I_PFC</vt:lpstr>
      <vt:lpstr>J_Transferred GHG</vt:lpstr>
      <vt:lpstr>J2_PermCCU</vt:lpstr>
      <vt:lpstr>K_ManagementControl</vt:lpstr>
      <vt:lpstr>L_MS specific content</vt:lpstr>
      <vt:lpstr>M_Accounting</vt:lpstr>
      <vt:lpstr>MSParameters</vt:lpstr>
      <vt:lpstr>EUwideConstants</vt:lpstr>
      <vt:lpstr>Translations</vt:lpstr>
      <vt:lpstr>VersionDocumentation</vt:lpstr>
      <vt:lpstr>empty</vt:lpstr>
      <vt:lpstr>ActivityDataTiers</vt:lpstr>
      <vt:lpstr>AnalysisFrequency</vt:lpstr>
      <vt:lpstr>AnnexIActivities</vt:lpstr>
      <vt:lpstr>BiomassTiers</vt:lpstr>
      <vt:lpstr>CarbonContentTiers</vt:lpstr>
      <vt:lpstr>CNTR_ActivityListActivities</vt:lpstr>
      <vt:lpstr>CNTR_ActivityListAx</vt:lpstr>
      <vt:lpstr>CNTR_Category</vt:lpstr>
      <vt:lpstr>CNTR_CheckPFC</vt:lpstr>
      <vt:lpstr>CNTR_EmissionPointsListEPx</vt:lpstr>
      <vt:lpstr>CNTR_InformationSourceListISx</vt:lpstr>
      <vt:lpstr>CNTR_InstHasCalculation</vt:lpstr>
      <vt:lpstr>CNTR_InstHasCCU</vt:lpstr>
      <vt:lpstr>CNTR_InstHasFallBack</vt:lpstr>
      <vt:lpstr>CNTR_InstHasMeasurement</vt:lpstr>
      <vt:lpstr>CNTR_InstHasN2O</vt:lpstr>
      <vt:lpstr>CNTR_InstHasPFC</vt:lpstr>
      <vt:lpstr>CNTR_InstHasTransferredCO2</vt:lpstr>
      <vt:lpstr>CNTR_LaboratoriesListLCx</vt:lpstr>
      <vt:lpstr>CNTR_LaboratoriesListLx</vt:lpstr>
      <vt:lpstr>CNTR_ListPFCmethods</vt:lpstr>
      <vt:lpstr>CNTR_ListRelevantSections</vt:lpstr>
      <vt:lpstr>CNTR_MeasurementInstrumentListMIx</vt:lpstr>
      <vt:lpstr>CNTR_MeasurementInstrumentListMx</vt:lpstr>
      <vt:lpstr>CNTR_PFCSourceStreams</vt:lpstr>
      <vt:lpstr>CNTR_SmallEmitter</vt:lpstr>
      <vt:lpstr>CNTR_SourceStreamListSx</vt:lpstr>
      <vt:lpstr>CNTR_TierList</vt:lpstr>
      <vt:lpstr>CNTR_TierListColumn</vt:lpstr>
      <vt:lpstr>CNTR_TotalEmissions</vt:lpstr>
      <vt:lpstr>CNTR_TransportApproach</vt:lpstr>
      <vt:lpstr>ConversionFactorTiers</vt:lpstr>
      <vt:lpstr>EFTiers</vt:lpstr>
      <vt:lpstr>EFUnits</vt:lpstr>
      <vt:lpstr>EUconst_ActivityDeterminationMethod</vt:lpstr>
      <vt:lpstr>EUconst_AnnexIList</vt:lpstr>
      <vt:lpstr>EUConst_AnnexIListGHG</vt:lpstr>
      <vt:lpstr>EUconst_CEMSHighestTiers</vt:lpstr>
      <vt:lpstr>EUconst_CEMSMinimumTiers</vt:lpstr>
      <vt:lpstr>EUconst_CEMSTiers</vt:lpstr>
      <vt:lpstr>EUconst_CEMSTiersMsg</vt:lpstr>
      <vt:lpstr>EUconst_CEMSType</vt:lpstr>
      <vt:lpstr>EUconst_CEMSTypes</vt:lpstr>
      <vt:lpstr>EUconst_CNTR_ActivityData</vt:lpstr>
      <vt:lpstr>EUconst_CNTR_BiomassContent</vt:lpstr>
      <vt:lpstr>EUconst_CNTR_CarbonContent</vt:lpstr>
      <vt:lpstr>EUconst_CNTR_CEMS</vt:lpstr>
      <vt:lpstr>EUconst_CNTR_ConversionFactor</vt:lpstr>
      <vt:lpstr>EUconst_CNTR_EF</vt:lpstr>
      <vt:lpstr>EUconst_CNTR_NCV</vt:lpstr>
      <vt:lpstr>EUconst_CNTR_NoSmallEmitter</vt:lpstr>
      <vt:lpstr>EUconst_CNTR_OxidationFactor</vt:lpstr>
      <vt:lpstr>EUconst_CNTR_SmallEmitter</vt:lpstr>
      <vt:lpstr>EUconst_CNTR_SourceCategory</vt:lpstr>
      <vt:lpstr>EUconst_CNTR_SourceStreamClass</vt:lpstr>
      <vt:lpstr>EUconst_CNTR_SourceStreamName</vt:lpstr>
      <vt:lpstr>EUconst_CO2TransferTypes</vt:lpstr>
      <vt:lpstr>EUConst_CombustionList</vt:lpstr>
      <vt:lpstr>EUconst_ERR_CheckEstimatedEmissions</vt:lpstr>
      <vt:lpstr>EUconst_ERR_NoN2OSmallEmitters</vt:lpstr>
      <vt:lpstr>EUconst_ERR_ThreshholdDeminimis</vt:lpstr>
      <vt:lpstr>EUconst_ERR_ThreshholdMinor</vt:lpstr>
      <vt:lpstr>EUconst_Fuel</vt:lpstr>
      <vt:lpstr>EUconst_FurtherGuidancePoint1</vt:lpstr>
      <vt:lpstr>EUconst_IRMonth</vt:lpstr>
      <vt:lpstr>EUconst_MassBalance</vt:lpstr>
      <vt:lpstr>EUconst_MeasurementPoint</vt:lpstr>
      <vt:lpstr>Euconst_MPReferenceDateTypes</vt:lpstr>
      <vt:lpstr>EUconst_MsgEnterThisSection</vt:lpstr>
      <vt:lpstr>EUconst_MsgGoOn</vt:lpstr>
      <vt:lpstr>EUconst_MsgNextSheet</vt:lpstr>
      <vt:lpstr>EUconst_MsgSmallEmitters</vt:lpstr>
      <vt:lpstr>EUconst_MsgTierActivityLevel</vt:lpstr>
      <vt:lpstr>EUconst_MsgTierCKD</vt:lpstr>
      <vt:lpstr>EUconst_MSlist</vt:lpstr>
      <vt:lpstr>EUconst_MSlistISOcodes</vt:lpstr>
      <vt:lpstr>EUconst_NA</vt:lpstr>
      <vt:lpstr>EUconst_NotApplicable</vt:lpstr>
      <vt:lpstr>EUconst_NoTier</vt:lpstr>
      <vt:lpstr>EUconst_NotRelevant</vt:lpstr>
      <vt:lpstr>EUconst_OwnerInstrument</vt:lpstr>
      <vt:lpstr>EUconst_PipelineApproaches</vt:lpstr>
      <vt:lpstr>EUconst_ProcessCarbonate</vt:lpstr>
      <vt:lpstr>EUconst_ProcessPFC</vt:lpstr>
      <vt:lpstr>EUconst_Relevant</vt:lpstr>
      <vt:lpstr>EUConst_RelSectionCalc</vt:lpstr>
      <vt:lpstr>EUConst_RelSectionCCS</vt:lpstr>
      <vt:lpstr>EUConst_RelSectionCCU</vt:lpstr>
      <vt:lpstr>EUConst_RelSectionFallback</vt:lpstr>
      <vt:lpstr>EUConst_RelSectionMeasure</vt:lpstr>
      <vt:lpstr>EUConst_RelSectionN2O</vt:lpstr>
      <vt:lpstr>EUConst_RelSectionPFC</vt:lpstr>
      <vt:lpstr>EUconst_SmallEmiSouStream</vt:lpstr>
      <vt:lpstr>EUconst_SmallEmiSouStreamMsg</vt:lpstr>
      <vt:lpstr>Euconst_SourceStream</vt:lpstr>
      <vt:lpstr>EUConst_TierActivityListNames</vt:lpstr>
      <vt:lpstr>EUconst_TransCO2Approach</vt:lpstr>
      <vt:lpstr>EUconst_TransportApproaches</vt:lpstr>
      <vt:lpstr>EUconst_TrueFalse</vt:lpstr>
      <vt:lpstr>Euconst_VersionTracking</vt:lpstr>
      <vt:lpstr>InformationSources</vt:lpstr>
      <vt:lpstr>JUMP_14</vt:lpstr>
      <vt:lpstr>JUMP_15</vt:lpstr>
      <vt:lpstr>JUMP_16</vt:lpstr>
      <vt:lpstr>JUMP_6d</vt:lpstr>
      <vt:lpstr>JUMP_7a</vt:lpstr>
      <vt:lpstr>JUMP_7b</vt:lpstr>
      <vt:lpstr>JUMP_7d</vt:lpstr>
      <vt:lpstr>JUMP_7e</vt:lpstr>
      <vt:lpstr>JUMP_7f</vt:lpstr>
      <vt:lpstr>JUMP_A_1</vt:lpstr>
      <vt:lpstr>JUMP_A_Bottom</vt:lpstr>
      <vt:lpstr>JUMP_a_Content</vt:lpstr>
      <vt:lpstr>JUMP_A_Top</vt:lpstr>
      <vt:lpstr>JUMP_Accounting</vt:lpstr>
      <vt:lpstr>JUMP_B_2</vt:lpstr>
      <vt:lpstr>JUMP_B_3</vt:lpstr>
      <vt:lpstr>JUMP_B_4</vt:lpstr>
      <vt:lpstr>JUMP_B_Bottom</vt:lpstr>
      <vt:lpstr>JUMP_b_Guidelines_Top</vt:lpstr>
      <vt:lpstr>JUMP_b_Guidlines_Bottom</vt:lpstr>
      <vt:lpstr>JUMP_B_Top</vt:lpstr>
      <vt:lpstr>JUMP_C_5</vt:lpstr>
      <vt:lpstr>JUMP_C_6</vt:lpstr>
      <vt:lpstr>JUMP_C_6a</vt:lpstr>
      <vt:lpstr>JUMP_C_6b</vt:lpstr>
      <vt:lpstr>JUMP_C_6e</vt:lpstr>
      <vt:lpstr>JUMP_C_6g</vt:lpstr>
      <vt:lpstr>JUMP_C_Bottom</vt:lpstr>
      <vt:lpstr>JUMP_C_Top</vt:lpstr>
      <vt:lpstr>JUMP_D_7</vt:lpstr>
      <vt:lpstr>JUMP_D_Bottom</vt:lpstr>
      <vt:lpstr>JUMP_D_Top</vt:lpstr>
      <vt:lpstr>JUMP_E_1</vt:lpstr>
      <vt:lpstr>JUMP_E_2</vt:lpstr>
      <vt:lpstr>JUMP_E_3</vt:lpstr>
      <vt:lpstr>JUMP_E_4</vt:lpstr>
      <vt:lpstr>JUMP_E_5</vt:lpstr>
      <vt:lpstr>JUMP_E_6</vt:lpstr>
      <vt:lpstr>JUMP_E_8</vt:lpstr>
      <vt:lpstr>JUMP_E_Bottom</vt:lpstr>
      <vt:lpstr>JUMP_E_Top</vt:lpstr>
      <vt:lpstr>JUMP_F_10</vt:lpstr>
      <vt:lpstr>JUMP_F_11</vt:lpstr>
      <vt:lpstr>JUMP_F_9</vt:lpstr>
      <vt:lpstr>JUMP_F_Bottom</vt:lpstr>
      <vt:lpstr>JUMP_F_Top</vt:lpstr>
      <vt:lpstr>JUMP_G_12</vt:lpstr>
      <vt:lpstr>JUMP_G_Bottom</vt:lpstr>
      <vt:lpstr>JUMP_G_Top</vt:lpstr>
      <vt:lpstr>JUMP_H_13</vt:lpstr>
      <vt:lpstr>JUMP_H_Bottom</vt:lpstr>
      <vt:lpstr>JUMP_H_Top</vt:lpstr>
      <vt:lpstr>JUMP_I_Bottom</vt:lpstr>
      <vt:lpstr>JUMP_I_Top</vt:lpstr>
      <vt:lpstr>JUMP_J_17</vt:lpstr>
      <vt:lpstr>JUMP_J_18</vt:lpstr>
      <vt:lpstr>JUMP_J_19</vt:lpstr>
      <vt:lpstr>JUMP_J_Bottom</vt:lpstr>
      <vt:lpstr>JUMP_J_Top</vt:lpstr>
      <vt:lpstr>JUMP_J2_19a</vt:lpstr>
      <vt:lpstr>JUMP_J2_Bottom</vt:lpstr>
      <vt:lpstr>JUMP_J2_Top</vt:lpstr>
      <vt:lpstr>JUMP_K_14</vt:lpstr>
      <vt:lpstr>JUMP_K_15</vt:lpstr>
      <vt:lpstr>JUMP_K_16</vt:lpstr>
      <vt:lpstr>JUMP_K_17</vt:lpstr>
      <vt:lpstr>JUMP_K_18</vt:lpstr>
      <vt:lpstr>JUMP_K_19</vt:lpstr>
      <vt:lpstr>JUMP_K_Bottom</vt:lpstr>
      <vt:lpstr>JUMP_K_Top</vt:lpstr>
      <vt:lpstr>JUMP_L_26</vt:lpstr>
      <vt:lpstr>JUMP_L_Top</vt:lpstr>
      <vt:lpstr>MeasurementTiers</vt:lpstr>
      <vt:lpstr>MeteringDevices</vt:lpstr>
      <vt:lpstr>NCVTiers</vt:lpstr>
      <vt:lpstr>NCVUnits</vt:lpstr>
      <vt:lpstr>OperationType</vt:lpstr>
      <vt:lpstr>PctUnits</vt:lpstr>
      <vt:lpstr>PFCCellTypes</vt:lpstr>
      <vt:lpstr>PFCMethods</vt:lpstr>
      <vt:lpstr>PFCTiers</vt:lpstr>
      <vt:lpstr>a_Contents!Print_Area</vt:lpstr>
      <vt:lpstr>A_MPversions!Print_Area</vt:lpstr>
      <vt:lpstr>'b_Guidelines and conditions'!Print_Area</vt:lpstr>
      <vt:lpstr>'B_Operator&amp;Inst.ID'!Print_Area</vt:lpstr>
      <vt:lpstr>C_InstallationDescription!Print_Area</vt:lpstr>
      <vt:lpstr>D_CalculationBasedApproaches!Print_Area</vt:lpstr>
      <vt:lpstr>E_SourceStreams!Print_Area</vt:lpstr>
      <vt:lpstr>F_MeasurementBasedApproaches!Print_Area</vt:lpstr>
      <vt:lpstr>'G_Fall-backApproach'!Print_Area</vt:lpstr>
      <vt:lpstr>H_N2O!Print_Area</vt:lpstr>
      <vt:lpstr>I_PFC!Print_Area</vt:lpstr>
      <vt:lpstr>'J_Transferred GHG'!Print_Area</vt:lpstr>
      <vt:lpstr>K_ManagementControl!Print_Area</vt:lpstr>
      <vt:lpstr>'L_MS specific content'!Print_Area</vt:lpstr>
      <vt:lpstr>VersionDocumentation!Print_Area</vt:lpstr>
      <vt:lpstr>SourceCategory</vt:lpstr>
      <vt:lpstr>SourceCategoryCEMS</vt:lpstr>
      <vt:lpstr>SpecifiedEmissions2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Installations</dc:title>
  <dc:subject>in accordance with the Regulation pursuant to Article 14 of the EU ETS Directive</dc:subject>
  <dc:creator>Fallmann Hubert</dc:creator>
  <dc:description>The template for Monitoring plans was developed by Umweltbundesamt on behalf of DG CLIMA. _x000d_
Authors: Christian Heller / Hubert Fallmann</dc:description>
  <cp:lastModifiedBy>Dace Vesterdāla</cp:lastModifiedBy>
  <cp:lastPrinted>2012-11-15T12:55:14Z</cp:lastPrinted>
  <dcterms:created xsi:type="dcterms:W3CDTF">2008-05-26T08:52:55Z</dcterms:created>
  <dcterms:modified xsi:type="dcterms:W3CDTF">2025-01-21T15:26:34Z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Version">
    <vt:lpwstr>2.0</vt:lpwstr>
  </property>
</Properties>
</file>